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tba\Emily\各年統計\2024統計\2024正本\"/>
    </mc:Choice>
  </mc:AlternateContent>
  <xr:revisionPtr revIDLastSave="0" documentId="13_ncr:1_{089B1626-B4D5-4C82-B89B-8C0F222E61B2}" xr6:coauthVersionLast="47" xr6:coauthVersionMax="47" xr10:uidLastSave="{00000000-0000-0000-0000-000000000000}"/>
  <bookViews>
    <workbookView xWindow="2325" yWindow="90" windowWidth="14805" windowHeight="11955" tabRatio="841" xr2:uid="{00000000-000D-0000-FFFF-FFFF00000000}"/>
  </bookViews>
  <sheets>
    <sheet name="整車" sheetId="1" r:id="rId1"/>
    <sheet name="整車比較" sheetId="2" r:id="rId2"/>
    <sheet name="整車出口全球總表更新至8月(記得隱藏)" sheetId="18" state="hidden" r:id="rId3"/>
    <sheet name="整車同期比較" sheetId="27" r:id="rId4"/>
    <sheet name="出口地區(整車)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4">'出口地區(整車)'!$A$1:$J$34</definedName>
    <definedName name="_xlnm.Print_Area" localSheetId="10">'電動折疊同期比較 '!$A$1:$G$42</definedName>
    <definedName name="_xlnm.Print_Area" localSheetId="3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1" l="1"/>
  <c r="B13" i="11"/>
  <c r="B47" i="1"/>
  <c r="L20" i="22"/>
  <c r="L17" i="22"/>
  <c r="M59" i="22"/>
  <c r="L59" i="22"/>
  <c r="M56" i="22"/>
  <c r="L56" i="22"/>
  <c r="M53" i="22"/>
  <c r="L53" i="22"/>
  <c r="M51" i="22"/>
  <c r="L51" i="22"/>
  <c r="M49" i="22"/>
  <c r="L49" i="22"/>
  <c r="M46" i="22"/>
  <c r="L46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M19" i="22"/>
  <c r="L19" i="22"/>
  <c r="M16" i="22"/>
  <c r="L16" i="22"/>
  <c r="M13" i="22"/>
  <c r="L13" i="22"/>
  <c r="I20" i="22"/>
  <c r="I17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J19" i="22"/>
  <c r="I19" i="22"/>
  <c r="J16" i="22"/>
  <c r="I16" i="22"/>
  <c r="J13" i="22"/>
  <c r="I13" i="22"/>
  <c r="F20" i="22"/>
  <c r="F17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G19" i="22"/>
  <c r="F19" i="22"/>
  <c r="G16" i="22"/>
  <c r="F16" i="22"/>
  <c r="G13" i="22"/>
  <c r="F13" i="22"/>
  <c r="C17" i="22"/>
  <c r="C20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D19" i="22"/>
  <c r="C19" i="22"/>
  <c r="D16" i="22"/>
  <c r="C16" i="22"/>
  <c r="D13" i="22"/>
  <c r="C13" i="22"/>
  <c r="G68" i="9"/>
  <c r="G66" i="9"/>
  <c r="G58" i="9"/>
  <c r="G57" i="9"/>
  <c r="G56" i="9"/>
  <c r="G49" i="9"/>
  <c r="G50" i="9"/>
  <c r="E68" i="9"/>
  <c r="E49" i="9"/>
  <c r="E50" i="9"/>
  <c r="E56" i="9"/>
  <c r="E57" i="9"/>
  <c r="E58" i="9"/>
  <c r="E66" i="9"/>
  <c r="G38" i="9"/>
  <c r="E38" i="9"/>
  <c r="G13" i="9"/>
  <c r="E13" i="9"/>
  <c r="G8" i="9"/>
  <c r="E8" i="9"/>
  <c r="G64" i="11"/>
  <c r="G62" i="11"/>
  <c r="G61" i="11"/>
  <c r="G55" i="11"/>
  <c r="G56" i="11"/>
  <c r="G57" i="11"/>
  <c r="G58" i="11"/>
  <c r="G54" i="11"/>
  <c r="G53" i="11"/>
  <c r="G52" i="11"/>
  <c r="G50" i="11"/>
  <c r="G49" i="11"/>
  <c r="G45" i="11"/>
  <c r="G44" i="11"/>
  <c r="G43" i="11"/>
  <c r="G39" i="11"/>
  <c r="G26" i="11"/>
  <c r="G27" i="11"/>
  <c r="G28" i="11"/>
  <c r="G29" i="11"/>
  <c r="G30" i="11"/>
  <c r="G25" i="11"/>
  <c r="G23" i="11"/>
  <c r="G15" i="11"/>
  <c r="G16" i="11"/>
  <c r="G17" i="11"/>
  <c r="G18" i="11"/>
  <c r="G19" i="11"/>
  <c r="G20" i="11"/>
  <c r="G21" i="11"/>
  <c r="G14" i="11"/>
  <c r="G10" i="11"/>
  <c r="G11" i="11"/>
  <c r="G9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3" i="11"/>
  <c r="E25" i="11"/>
  <c r="E26" i="11"/>
  <c r="E27" i="11"/>
  <c r="E28" i="11"/>
  <c r="E29" i="11"/>
  <c r="E30" i="11"/>
  <c r="E39" i="11"/>
  <c r="E14" i="11"/>
  <c r="E10" i="11"/>
  <c r="E11" i="11"/>
  <c r="E9" i="11"/>
  <c r="C64" i="11"/>
  <c r="C62" i="11"/>
  <c r="C61" i="11"/>
  <c r="C57" i="11"/>
  <c r="C58" i="11"/>
  <c r="C56" i="11"/>
  <c r="C55" i="11"/>
  <c r="C54" i="11"/>
  <c r="C52" i="11"/>
  <c r="C50" i="11"/>
  <c r="C49" i="11"/>
  <c r="C43" i="11"/>
  <c r="C28" i="11"/>
  <c r="C20" i="11"/>
  <c r="C15" i="11"/>
  <c r="C16" i="11"/>
  <c r="C17" i="11"/>
  <c r="C18" i="11"/>
  <c r="C14" i="11"/>
  <c r="C11" i="11"/>
  <c r="C10" i="11"/>
  <c r="C9" i="11"/>
  <c r="B64" i="11"/>
  <c r="B50" i="11"/>
  <c r="B52" i="11"/>
  <c r="B54" i="11"/>
  <c r="B55" i="11"/>
  <c r="B56" i="11"/>
  <c r="B57" i="11"/>
  <c r="B58" i="11"/>
  <c r="B61" i="11"/>
  <c r="B62" i="11"/>
  <c r="B49" i="11"/>
  <c r="B43" i="11"/>
  <c r="B15" i="11"/>
  <c r="B16" i="11"/>
  <c r="B17" i="11"/>
  <c r="B18" i="11"/>
  <c r="B20" i="11"/>
  <c r="B28" i="11"/>
  <c r="B14" i="11"/>
  <c r="B10" i="11"/>
  <c r="B11" i="11"/>
  <c r="B9" i="11"/>
  <c r="G66" i="5"/>
  <c r="G61" i="5"/>
  <c r="G60" i="5"/>
  <c r="G59" i="5"/>
  <c r="G58" i="5"/>
  <c r="G49" i="5"/>
  <c r="G48" i="5"/>
  <c r="G42" i="5"/>
  <c r="G38" i="5"/>
  <c r="G24" i="5"/>
  <c r="G14" i="5"/>
  <c r="G15" i="5"/>
  <c r="G16" i="5"/>
  <c r="G17" i="5"/>
  <c r="G18" i="5"/>
  <c r="G13" i="5"/>
  <c r="G8" i="5"/>
  <c r="E66" i="5"/>
  <c r="E49" i="5"/>
  <c r="E58" i="5"/>
  <c r="E59" i="5"/>
  <c r="E60" i="5"/>
  <c r="E61" i="5"/>
  <c r="E48" i="5"/>
  <c r="E42" i="5"/>
  <c r="E14" i="5"/>
  <c r="E15" i="5"/>
  <c r="E16" i="5"/>
  <c r="E17" i="5"/>
  <c r="E18" i="5"/>
  <c r="E24" i="5"/>
  <c r="E38" i="5"/>
  <c r="E13" i="5"/>
  <c r="E8" i="5"/>
  <c r="C66" i="5"/>
  <c r="C61" i="5"/>
  <c r="C59" i="5"/>
  <c r="C49" i="5"/>
  <c r="C48" i="5"/>
  <c r="C24" i="5"/>
  <c r="C17" i="5"/>
  <c r="C15" i="5"/>
  <c r="C14" i="5"/>
  <c r="C8" i="5"/>
  <c r="B66" i="5"/>
  <c r="B49" i="5"/>
  <c r="B59" i="5"/>
  <c r="B61" i="5"/>
  <c r="B48" i="5"/>
  <c r="B14" i="5"/>
  <c r="B15" i="5"/>
  <c r="B17" i="5"/>
  <c r="B24" i="5"/>
  <c r="B8" i="5"/>
  <c r="G67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48" i="1"/>
  <c r="G44" i="1"/>
  <c r="G43" i="1"/>
  <c r="G42" i="1"/>
  <c r="G39" i="1"/>
  <c r="G38" i="1"/>
  <c r="G34" i="1"/>
  <c r="G35" i="1"/>
  <c r="G36" i="1"/>
  <c r="G33" i="1"/>
  <c r="G31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3" i="1"/>
  <c r="G9" i="1"/>
  <c r="G10" i="1"/>
  <c r="G8" i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3" i="1"/>
  <c r="E34" i="1"/>
  <c r="E35" i="1"/>
  <c r="E36" i="1"/>
  <c r="E38" i="1"/>
  <c r="E39" i="1"/>
  <c r="E13" i="1"/>
  <c r="E9" i="1"/>
  <c r="E10" i="1"/>
  <c r="E8" i="1"/>
  <c r="C67" i="1"/>
  <c r="C65" i="1"/>
  <c r="C64" i="1"/>
  <c r="C61" i="1"/>
  <c r="C62" i="1"/>
  <c r="C60" i="1"/>
  <c r="C49" i="1"/>
  <c r="C50" i="1"/>
  <c r="C51" i="1"/>
  <c r="C52" i="1"/>
  <c r="C53" i="1"/>
  <c r="C54" i="1"/>
  <c r="C55" i="1"/>
  <c r="C56" i="1"/>
  <c r="C57" i="1"/>
  <c r="C48" i="1"/>
  <c r="C42" i="1"/>
  <c r="C28" i="1"/>
  <c r="C27" i="1"/>
  <c r="C23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60" i="1"/>
  <c r="B61" i="1"/>
  <c r="B62" i="1"/>
  <c r="B64" i="1"/>
  <c r="B65" i="1"/>
  <c r="B48" i="1"/>
  <c r="B42" i="1"/>
  <c r="B14" i="1"/>
  <c r="B15" i="1"/>
  <c r="B16" i="1"/>
  <c r="B17" i="1"/>
  <c r="B18" i="1"/>
  <c r="B19" i="1"/>
  <c r="B23" i="1"/>
  <c r="B27" i="1"/>
  <c r="B28" i="1"/>
  <c r="B13" i="1"/>
  <c r="B9" i="1"/>
  <c r="B10" i="1"/>
  <c r="B8" i="1"/>
  <c r="F65" i="25"/>
  <c r="C65" i="25"/>
  <c r="C58" i="23"/>
  <c r="C55" i="23"/>
  <c r="C52" i="23"/>
  <c r="C50" i="23"/>
  <c r="C48" i="23"/>
  <c r="C45" i="23"/>
  <c r="C39" i="23"/>
  <c r="C37" i="23"/>
  <c r="C35" i="23"/>
  <c r="C32" i="23"/>
  <c r="C29" i="23"/>
  <c r="C27" i="23"/>
  <c r="C24" i="23"/>
  <c r="C22" i="23"/>
  <c r="C19" i="23"/>
  <c r="C16" i="23"/>
  <c r="C13" i="23"/>
  <c r="C65" i="23" s="1"/>
  <c r="G36" i="26"/>
  <c r="D36" i="26"/>
  <c r="G15" i="26"/>
  <c r="D15" i="26"/>
  <c r="B24" i="28"/>
  <c r="B23" i="28"/>
  <c r="L20" i="10" l="1"/>
  <c r="L17" i="10"/>
  <c r="F54" i="5"/>
  <c r="F23" i="5"/>
  <c r="F66" i="5"/>
  <c r="F44" i="5"/>
  <c r="F15" i="5"/>
  <c r="F17" i="5"/>
  <c r="F24" i="5"/>
  <c r="F27" i="5"/>
  <c r="F35" i="5"/>
  <c r="B22" i="28"/>
  <c r="B21" i="28"/>
  <c r="H10" i="1"/>
  <c r="H9" i="1"/>
  <c r="H8" i="1"/>
  <c r="D35" i="26"/>
  <c r="G35" i="26"/>
  <c r="G14" i="26"/>
  <c r="D14" i="26"/>
  <c r="F34" i="5" l="1"/>
  <c r="F52" i="5"/>
  <c r="F9" i="5"/>
  <c r="F25" i="5"/>
  <c r="F53" i="5"/>
  <c r="F32" i="5"/>
  <c r="F50" i="5"/>
  <c r="F10" i="5"/>
  <c r="F26" i="5"/>
  <c r="F39" i="5"/>
  <c r="F29" i="5"/>
  <c r="F19" i="5"/>
  <c r="F64" i="5"/>
  <c r="F20" i="5"/>
  <c r="F57" i="5"/>
  <c r="F28" i="5"/>
  <c r="F42" i="5"/>
  <c r="F62" i="5"/>
  <c r="F21" i="5"/>
  <c r="F56" i="5"/>
  <c r="F22" i="5"/>
  <c r="F55" i="5"/>
  <c r="F36" i="5"/>
  <c r="F31" i="5"/>
  <c r="F43" i="5"/>
  <c r="F59" i="5"/>
  <c r="F13" i="5"/>
  <c r="F38" i="5"/>
  <c r="F33" i="5"/>
  <c r="F45" i="5"/>
  <c r="F61" i="5"/>
  <c r="F49" i="5"/>
  <c r="F18" i="5"/>
  <c r="F16" i="5"/>
  <c r="F14" i="5"/>
  <c r="F48" i="5"/>
  <c r="F63" i="5"/>
  <c r="F58" i="5"/>
  <c r="F51" i="5"/>
  <c r="F37" i="5"/>
  <c r="F30" i="5"/>
  <c r="F60" i="5"/>
  <c r="C47" i="1"/>
  <c r="B20" i="28" l="1"/>
  <c r="B19" i="28"/>
  <c r="B17" i="28"/>
  <c r="B18" i="28"/>
  <c r="G34" i="26" l="1"/>
  <c r="D34" i="26"/>
  <c r="G13" i="26"/>
  <c r="D13" i="26"/>
  <c r="C105" i="30"/>
  <c r="B23" i="2" l="1"/>
  <c r="B30" i="2"/>
  <c r="B32" i="2"/>
  <c r="B37" i="2"/>
  <c r="B45" i="2"/>
  <c r="E23" i="2"/>
  <c r="E30" i="2"/>
  <c r="E32" i="2"/>
  <c r="E37" i="2"/>
  <c r="E45" i="2"/>
  <c r="B72" i="2" l="1"/>
  <c r="G33" i="26"/>
  <c r="D33" i="26"/>
  <c r="G12" i="26"/>
  <c r="D12" i="26"/>
  <c r="G32" i="2"/>
  <c r="G12" i="27"/>
  <c r="E67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48" i="2"/>
  <c r="E43" i="2"/>
  <c r="E44" i="2"/>
  <c r="E42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1" i="2"/>
  <c r="E33" i="2"/>
  <c r="E34" i="2"/>
  <c r="E35" i="2"/>
  <c r="E36" i="2"/>
  <c r="E38" i="2"/>
  <c r="E39" i="2"/>
  <c r="E13" i="2"/>
  <c r="E9" i="2"/>
  <c r="E10" i="2"/>
  <c r="E8" i="2"/>
  <c r="B67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8" i="2"/>
  <c r="B43" i="2"/>
  <c r="B44" i="2"/>
  <c r="B42" i="2"/>
  <c r="B14" i="2"/>
  <c r="B15" i="2"/>
  <c r="B16" i="2"/>
  <c r="B17" i="2"/>
  <c r="B18" i="2"/>
  <c r="B19" i="2"/>
  <c r="B20" i="2"/>
  <c r="B21" i="2"/>
  <c r="B22" i="2"/>
  <c r="B24" i="2"/>
  <c r="B25" i="2"/>
  <c r="B26" i="2"/>
  <c r="B27" i="2"/>
  <c r="B28" i="2"/>
  <c r="B29" i="2"/>
  <c r="B31" i="2"/>
  <c r="B33" i="2"/>
  <c r="B34" i="2"/>
  <c r="B35" i="2"/>
  <c r="B36" i="2"/>
  <c r="B38" i="2"/>
  <c r="B39" i="2"/>
  <c r="B13" i="2"/>
  <c r="B9" i="2"/>
  <c r="B10" i="2"/>
  <c r="B8" i="2"/>
  <c r="D11" i="26"/>
  <c r="B16" i="28"/>
  <c r="B15" i="28"/>
  <c r="D32" i="26"/>
  <c r="G32" i="26"/>
  <c r="G11" i="26"/>
  <c r="E13" i="11" l="1"/>
  <c r="B12" i="5"/>
  <c r="G47" i="1"/>
  <c r="G41" i="1"/>
  <c r="C41" i="1"/>
  <c r="B41" i="1"/>
  <c r="C12" i="1"/>
  <c r="C7" i="1"/>
  <c r="B12" i="1"/>
  <c r="B7" i="1"/>
  <c r="B41" i="5"/>
  <c r="F67" i="22"/>
  <c r="G67" i="22"/>
  <c r="D71" i="5"/>
  <c r="D66" i="5"/>
  <c r="E41" i="5"/>
  <c r="B14" i="28"/>
  <c r="B13" i="28"/>
  <c r="G10" i="26"/>
  <c r="D10" i="26"/>
  <c r="D31" i="26"/>
  <c r="G31" i="26"/>
  <c r="E47" i="1" l="1"/>
  <c r="E41" i="1"/>
  <c r="G47" i="5"/>
  <c r="E47" i="5"/>
  <c r="G41" i="5"/>
  <c r="G12" i="5"/>
  <c r="E12" i="5"/>
  <c r="G7" i="5"/>
  <c r="B12" i="28"/>
  <c r="B11" i="28"/>
  <c r="F32" i="1"/>
  <c r="G30" i="26"/>
  <c r="D30" i="26"/>
  <c r="G9" i="26"/>
  <c r="D9" i="26"/>
  <c r="I67" i="2"/>
  <c r="I72" i="2"/>
  <c r="G65" i="5" l="1"/>
  <c r="G29" i="26"/>
  <c r="D29" i="26"/>
  <c r="G8" i="26"/>
  <c r="D8" i="26"/>
  <c r="E42" i="11"/>
  <c r="E8" i="11"/>
  <c r="E7" i="5"/>
  <c r="E65" i="5" s="1"/>
  <c r="B10" i="28"/>
  <c r="B9" i="28"/>
  <c r="G48" i="11" l="1"/>
  <c r="G42" i="11"/>
  <c r="G13" i="11"/>
  <c r="G8" i="11"/>
  <c r="E48" i="11"/>
  <c r="G28" i="27"/>
  <c r="G29" i="27"/>
  <c r="D28" i="27"/>
  <c r="D8" i="27"/>
  <c r="G8" i="27"/>
  <c r="H45" i="1"/>
  <c r="G7" i="1"/>
  <c r="H7" i="1" s="1"/>
  <c r="F67" i="1"/>
  <c r="E7" i="1"/>
  <c r="D8" i="28"/>
  <c r="D7" i="28"/>
  <c r="B63" i="23"/>
  <c r="E68" i="10"/>
  <c r="G63" i="11" l="1"/>
  <c r="E63" i="11"/>
  <c r="E12" i="1"/>
  <c r="G12" i="1"/>
  <c r="B8" i="28"/>
  <c r="B7" i="28"/>
  <c r="F49" i="11" l="1"/>
  <c r="H49" i="11"/>
  <c r="C45" i="9"/>
  <c r="C44" i="9"/>
  <c r="C43" i="9"/>
  <c r="C42" i="9"/>
  <c r="H105" i="30"/>
  <c r="B41" i="9" l="1"/>
  <c r="B12" i="9"/>
  <c r="C7" i="9"/>
  <c r="H120" i="30"/>
  <c r="C30" i="30"/>
  <c r="J120" i="30"/>
  <c r="E150" i="30"/>
  <c r="E165" i="30"/>
  <c r="C60" i="30"/>
  <c r="H165" i="30"/>
  <c r="E30" i="30"/>
  <c r="H30" i="30"/>
  <c r="C165" i="30"/>
  <c r="H150" i="30"/>
  <c r="J150" i="30"/>
  <c r="J165" i="30"/>
  <c r="J30" i="30"/>
  <c r="C4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J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H50" i="10" l="1"/>
  <c r="D55" i="10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G44" i="2"/>
  <c r="G43" i="2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D29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D12" i="27"/>
  <c r="G11" i="27"/>
  <c r="D11" i="27"/>
  <c r="D10" i="27"/>
  <c r="G9" i="27"/>
  <c r="D9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G48" i="2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D49" i="2"/>
  <c r="D47" i="1" l="1"/>
  <c r="I47" i="2"/>
  <c r="H48" i="10"/>
  <c r="J48" i="10" s="1"/>
  <c r="H49" i="12"/>
  <c r="J49" i="12" s="1"/>
  <c r="D47" i="5"/>
  <c r="E47" i="9"/>
  <c r="C48" i="11"/>
  <c r="G19" i="25"/>
  <c r="X38" i="18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D48" i="2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M67" i="22"/>
  <c r="L67" i="22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9" i="2"/>
  <c r="D10" i="2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E24" i="12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E32" i="12"/>
  <c r="G32" i="12" s="1"/>
  <c r="E33" i="12"/>
  <c r="E34" i="12"/>
  <c r="E35" i="12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B24" i="12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B32" i="12"/>
  <c r="D32" i="12" s="1"/>
  <c r="B33" i="12"/>
  <c r="H33" i="12" s="1"/>
  <c r="B34" i="12"/>
  <c r="B35" i="12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I66" i="5"/>
  <c r="H38" i="10" l="1"/>
  <c r="H9" i="10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N36" i="18" s="1"/>
  <c r="M38" i="18"/>
  <c r="M36" i="18" s="1"/>
  <c r="L38" i="18"/>
  <c r="K38" i="18"/>
  <c r="J38" i="18"/>
  <c r="I38" i="18"/>
  <c r="H38" i="18"/>
  <c r="G38" i="18"/>
  <c r="F38" i="18"/>
  <c r="F36" i="18" s="1"/>
  <c r="E38" i="18"/>
  <c r="D38" i="18"/>
  <c r="C38" i="18"/>
  <c r="B38" i="18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N9" i="18" l="1"/>
  <c r="B36" i="18"/>
  <c r="H36" i="18"/>
  <c r="H9" i="18" s="1"/>
  <c r="J36" i="18"/>
  <c r="J9" i="18" s="1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G67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49" i="2"/>
  <c r="G42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1" i="2"/>
  <c r="G33" i="2"/>
  <c r="G34" i="2"/>
  <c r="G35" i="2"/>
  <c r="G38" i="2"/>
  <c r="G39" i="2"/>
  <c r="G13" i="2"/>
  <c r="G9" i="2"/>
  <c r="G10" i="2"/>
  <c r="G8" i="2"/>
  <c r="D14" i="2"/>
  <c r="D15" i="2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1" i="2"/>
  <c r="D32" i="2"/>
  <c r="D33" i="2"/>
  <c r="D34" i="2"/>
  <c r="D35" i="2"/>
  <c r="D38" i="2"/>
  <c r="D39" i="2"/>
  <c r="D13" i="2"/>
  <c r="D67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43" i="2"/>
  <c r="D44" i="2"/>
  <c r="H45" i="2"/>
  <c r="D42" i="2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C65" i="5" s="1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C7" i="5"/>
  <c r="B7" i="5"/>
  <c r="B65" i="5" s="1"/>
  <c r="D72" i="2"/>
  <c r="H67" i="2"/>
  <c r="D72" i="1"/>
  <c r="H67" i="1"/>
  <c r="H65" i="1"/>
  <c r="F65" i="1"/>
  <c r="H64" i="1"/>
  <c r="H63" i="1"/>
  <c r="H62" i="1"/>
  <c r="H61" i="1"/>
  <c r="H60" i="1"/>
  <c r="H44" i="1"/>
  <c r="H43" i="1"/>
  <c r="H42" i="1"/>
  <c r="F27" i="1"/>
  <c r="F26" i="1"/>
  <c r="F25" i="1"/>
  <c r="F24" i="1"/>
  <c r="F23" i="1"/>
  <c r="F22" i="1"/>
  <c r="D41" i="5" l="1"/>
  <c r="D12" i="5"/>
  <c r="I45" i="2"/>
  <c r="J45" i="2" s="1"/>
  <c r="D7" i="5"/>
  <c r="D7" i="1"/>
  <c r="F7" i="1"/>
  <c r="I7" i="1"/>
  <c r="G41" i="10"/>
  <c r="C41" i="9"/>
  <c r="B41" i="10"/>
  <c r="B7" i="9"/>
  <c r="D41" i="9"/>
  <c r="E41" i="9"/>
  <c r="E41" i="10"/>
  <c r="G41" i="9"/>
  <c r="H41" i="9" s="1"/>
  <c r="F28" i="1"/>
  <c r="F30" i="1"/>
  <c r="F34" i="1"/>
  <c r="F36" i="1"/>
  <c r="F49" i="1"/>
  <c r="F51" i="1"/>
  <c r="F52" i="1"/>
  <c r="F54" i="1"/>
  <c r="F59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61" i="1"/>
  <c r="F62" i="1"/>
  <c r="F63" i="1"/>
  <c r="F64" i="1"/>
  <c r="E7" i="10"/>
  <c r="H7" i="5"/>
  <c r="H43" i="11"/>
  <c r="G12" i="9"/>
  <c r="H12" i="9" s="1"/>
  <c r="H72" i="2"/>
  <c r="H12" i="1"/>
  <c r="D41" i="1"/>
  <c r="F58" i="1"/>
  <c r="G72" i="2"/>
  <c r="F8" i="5"/>
  <c r="F41" i="5"/>
  <c r="I71" i="5"/>
  <c r="E12" i="9"/>
  <c r="H18" i="11"/>
  <c r="C42" i="11"/>
  <c r="B41" i="2"/>
  <c r="H15" i="5"/>
  <c r="H44" i="11"/>
  <c r="H64" i="11"/>
  <c r="H19" i="11"/>
  <c r="B42" i="11"/>
  <c r="H42" i="11"/>
  <c r="H50" i="11"/>
  <c r="H56" i="11"/>
  <c r="C12" i="9"/>
  <c r="B7" i="10"/>
  <c r="D7" i="10" s="1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J67" i="2"/>
  <c r="E12" i="2"/>
  <c r="E41" i="2"/>
  <c r="H49" i="1"/>
  <c r="H50" i="1"/>
  <c r="H51" i="1"/>
  <c r="H52" i="1"/>
  <c r="H53" i="1"/>
  <c r="H54" i="1"/>
  <c r="H55" i="1"/>
  <c r="H56" i="1"/>
  <c r="H57" i="1"/>
  <c r="H58" i="1"/>
  <c r="I67" i="1"/>
  <c r="F7" i="5" l="1"/>
  <c r="F47" i="5"/>
  <c r="D7" i="9"/>
  <c r="B63" i="11"/>
  <c r="G8" i="12"/>
  <c r="D12" i="10"/>
  <c r="G42" i="12"/>
  <c r="H41" i="10"/>
  <c r="B67" i="10"/>
  <c r="D67" i="10" s="1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I42" i="12"/>
  <c r="F7" i="9"/>
  <c r="I7" i="9"/>
  <c r="H12" i="10"/>
  <c r="F13" i="11"/>
  <c r="I13" i="11"/>
  <c r="H41" i="2"/>
  <c r="I7" i="5"/>
  <c r="D13" i="11"/>
  <c r="D8" i="12"/>
  <c r="I8" i="12"/>
  <c r="I7" i="10"/>
  <c r="F8" i="11"/>
  <c r="I8" i="11"/>
  <c r="D65" i="5"/>
  <c r="F41" i="9"/>
  <c r="I41" i="9"/>
  <c r="I41" i="2"/>
  <c r="B66" i="1"/>
  <c r="D12" i="1"/>
  <c r="F12" i="1"/>
  <c r="I12" i="1"/>
  <c r="H47" i="5"/>
  <c r="F12" i="5"/>
  <c r="J72" i="2"/>
  <c r="E63" i="12"/>
  <c r="C67" i="9"/>
  <c r="B67" i="9"/>
  <c r="C66" i="1"/>
  <c r="C63" i="11"/>
  <c r="E67" i="9"/>
  <c r="B66" i="2"/>
  <c r="B63" i="12"/>
  <c r="H13" i="11"/>
  <c r="F48" i="11"/>
  <c r="H12" i="5"/>
  <c r="E66" i="2"/>
  <c r="F65" i="5" l="1"/>
  <c r="J7" i="10"/>
  <c r="D63" i="12"/>
  <c r="G63" i="12"/>
  <c r="J41" i="2"/>
  <c r="J42" i="12"/>
  <c r="G66" i="2"/>
  <c r="J12" i="10"/>
  <c r="J12" i="2"/>
  <c r="J13" i="12"/>
  <c r="H63" i="12"/>
  <c r="J8" i="12"/>
  <c r="D63" i="11"/>
  <c r="I67" i="10"/>
  <c r="I65" i="5"/>
  <c r="I63" i="12"/>
  <c r="F67" i="9"/>
  <c r="I63" i="11"/>
  <c r="H66" i="2"/>
  <c r="D67" i="9"/>
  <c r="D66" i="1"/>
  <c r="F63" i="11"/>
  <c r="H63" i="11"/>
  <c r="H65" i="5"/>
  <c r="J63" i="12" l="1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  <c r="H41" i="1" l="1"/>
  <c r="H47" i="1"/>
  <c r="G66" i="1"/>
  <c r="H66" i="1" s="1"/>
  <c r="F41" i="1"/>
  <c r="I41" i="1"/>
  <c r="I47" i="1"/>
  <c r="F47" i="1"/>
  <c r="E66" i="1"/>
  <c r="I66" i="1" l="1"/>
  <c r="F66" i="1"/>
  <c r="I8" i="2" l="1"/>
  <c r="J8" i="2" s="1"/>
  <c r="D8" i="2"/>
  <c r="D66" i="2" l="1"/>
  <c r="I66" i="2"/>
  <c r="J66" i="2" s="1"/>
  <c r="D7" i="2"/>
  <c r="I7" i="2"/>
  <c r="J7" i="2" s="1"/>
</calcChain>
</file>

<file path=xl/sharedStrings.xml><?xml version="1.0" encoding="utf-8"?>
<sst xmlns="http://schemas.openxmlformats.org/spreadsheetml/2006/main" count="1817" uniqueCount="535">
  <si>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</si>
  <si>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</si>
  <si>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</si>
  <si>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</si>
  <si>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</si>
  <si>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</si>
  <si>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</si>
  <si>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</si>
  <si>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</si>
  <si>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</si>
  <si>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</si>
  <si>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</si>
  <si>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</si>
  <si>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</si>
  <si>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</si>
  <si>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</si>
  <si>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</si>
  <si>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</si>
  <si>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</si>
  <si>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</si>
  <si>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</si>
  <si>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</si>
  <si>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</si>
  <si>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</si>
  <si>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</si>
  <si>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</si>
  <si>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</si>
  <si>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</si>
  <si>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</si>
  <si>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</si>
  <si>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</si>
  <si>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</si>
  <si>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</si>
  <si>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</si>
  <si>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</si>
  <si>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</si>
  <si>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</si>
  <si>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</si>
  <si>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</si>
  <si>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</si>
  <si>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</si>
  <si>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</si>
  <si>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</si>
  <si>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</si>
  <si>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</si>
  <si>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</si>
  <si>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</si>
  <si>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</si>
  <si>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</si>
  <si>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</si>
  <si>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</si>
  <si>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</si>
  <si>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</si>
  <si>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</si>
  <si>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</si>
  <si>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</si>
  <si>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</si>
  <si>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</si>
  <si>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</si>
  <si>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</si>
  <si>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</si>
  <si>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</si>
  <si>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</si>
  <si>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</si>
  <si>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</si>
  <si>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</si>
  <si>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</si>
  <si>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</si>
  <si>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</si>
  <si>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</si>
  <si>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</si>
  <si>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</si>
  <si>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</si>
  <si>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</si>
  <si>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</si>
  <si>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</si>
  <si>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</si>
  <si>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</si>
  <si>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</si>
  <si>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</si>
  <si>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</si>
  <si>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</si>
  <si>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</si>
  <si>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</si>
  <si>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</si>
  <si>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</si>
  <si>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</si>
  <si>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</si>
  <si>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</si>
  <si>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</si>
  <si>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</si>
  <si>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</si>
  <si>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</si>
  <si>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</si>
  <si>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</si>
  <si>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</si>
  <si>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</si>
  <si>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</si>
  <si>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</si>
  <si>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</si>
  <si>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</si>
  <si>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</si>
  <si>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</si>
  <si>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</si>
  <si>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</si>
  <si>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</si>
  <si>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</si>
  <si>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</si>
  <si>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</si>
  <si>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</si>
  <si>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</si>
  <si>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</si>
  <si>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</si>
  <si>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</si>
  <si>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</si>
  <si>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</si>
  <si>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</si>
  <si>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</si>
  <si>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</si>
  <si>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</si>
  <si>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</si>
  <si>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</si>
  <si>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</si>
  <si>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</si>
  <si>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</si>
  <si>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</si>
  <si>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</si>
  <si>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</si>
  <si>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</si>
  <si>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</si>
  <si>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</si>
  <si>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</si>
  <si>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</si>
  <si>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</si>
  <si>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</si>
  <si>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</si>
  <si>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</si>
  <si>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</si>
  <si>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</si>
  <si>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</si>
  <si>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</si>
  <si>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</si>
  <si>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</si>
  <si>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</si>
  <si>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</si>
  <si>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</si>
  <si>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</si>
  <si>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</si>
  <si>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</si>
  <si>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</si>
  <si>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</si>
  <si>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</si>
  <si>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</si>
  <si>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</si>
  <si>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</si>
  <si>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</si>
  <si>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</si>
  <si>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</si>
  <si>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</si>
  <si>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</si>
  <si>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</si>
  <si>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</si>
  <si>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</si>
  <si>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</si>
  <si>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</si>
  <si>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</si>
  <si>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</si>
  <si>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</si>
  <si>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</si>
  <si>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</si>
  <si>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</si>
  <si>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</si>
  <si>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</si>
  <si>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</si>
  <si>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</si>
  <si>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</si>
  <si>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</si>
  <si>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</si>
  <si>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</si>
  <si>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</si>
  <si>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</si>
  <si>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</si>
  <si>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</si>
  <si>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</si>
  <si>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</si>
  <si>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</si>
  <si>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</si>
  <si>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</si>
  <si>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</si>
  <si>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</si>
  <si>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</si>
  <si>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</si>
  <si>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</si>
  <si>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</si>
  <si>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</si>
  <si>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</si>
  <si>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</si>
  <si>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</si>
  <si>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</si>
  <si>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</si>
  <si>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</si>
  <si>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</si>
  <si>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</si>
  <si>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</si>
  <si>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</si>
  <si>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</si>
  <si>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</si>
  <si>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</si>
  <si>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</si>
  <si>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</si>
  <si>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</si>
  <si>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</si>
  <si>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</si>
  <si>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</si>
  <si>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</si>
  <si>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</si>
  <si>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</si>
  <si>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</si>
  <si>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</si>
  <si>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</si>
  <si>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</si>
  <si>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</si>
  <si>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</si>
  <si>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</si>
  <si>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</si>
  <si>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</si>
  <si>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</si>
  <si>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</si>
  <si>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</si>
  <si>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</si>
  <si>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</si>
  <si>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</si>
  <si>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</si>
  <si>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</si>
  <si>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</si>
  <si>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</si>
  <si>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</si>
  <si>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</si>
  <si>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</si>
  <si>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</si>
  <si>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</si>
  <si>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</si>
  <si>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</si>
  <si>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</si>
  <si>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</si>
  <si>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</si>
  <si>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</si>
  <si>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</si>
  <si>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</si>
  <si>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</si>
  <si>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</si>
  <si>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</si>
  <si>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</si>
  <si>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</si>
  <si>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</si>
  <si>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</si>
  <si>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</si>
  <si>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</si>
  <si>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</si>
  <si>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</si>
  <si>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</si>
  <si>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</si>
  <si>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</si>
  <si>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</si>
  <si>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</si>
  <si>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</si>
  <si>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</si>
  <si>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</si>
  <si>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</si>
  <si>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</si>
  <si>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</si>
  <si>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</si>
  <si>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</si>
  <si>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</si>
  <si>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</si>
  <si>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</si>
  <si>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</si>
  <si>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</si>
  <si>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</si>
  <si>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</si>
  <si>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</si>
  <si>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</si>
  <si>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</si>
  <si>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</si>
  <si>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</si>
  <si>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</si>
  <si>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</si>
  <si>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</si>
  <si>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</si>
  <si>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</si>
  <si>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</si>
  <si>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</si>
  <si>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</si>
  <si>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</si>
  <si>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</si>
  <si>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</si>
  <si>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</si>
  <si>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</si>
  <si>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</si>
  <si>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</si>
  <si>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</si>
  <si>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</si>
  <si>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</si>
  <si>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</si>
  <si>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</si>
  <si>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</si>
  <si>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</si>
  <si>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</si>
  <si>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</si>
  <si>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</si>
  <si>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</si>
  <si>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</si>
  <si>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</si>
  <si>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</si>
  <si>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</si>
  <si>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</si>
  <si>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</si>
  <si>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</si>
  <si>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</si>
  <si>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</si>
  <si>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</si>
  <si>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</si>
  <si>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</si>
  <si>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</si>
  <si>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</si>
  <si>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</si>
  <si>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</si>
  <si>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</si>
  <si>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</si>
  <si>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</si>
  <si>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</si>
  <si>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</si>
  <si>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</si>
  <si>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</si>
  <si>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</si>
  <si>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</si>
  <si>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</si>
  <si>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</si>
  <si>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</si>
  <si>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</si>
  <si>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</si>
  <si>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</si>
  <si>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</si>
  <si>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</si>
  <si>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</si>
  <si>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</si>
  <si>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</si>
  <si>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</si>
  <si>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</si>
  <si>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</si>
  <si>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</si>
  <si>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</si>
  <si>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</si>
  <si>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</si>
  <si>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</si>
  <si>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</si>
  <si>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</si>
  <si>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</si>
  <si>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</si>
  <si>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</si>
  <si>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</si>
  <si>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</si>
  <si>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</si>
  <si>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</si>
  <si>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</si>
  <si>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</si>
  <si>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</si>
  <si>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</si>
  <si>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</si>
  <si>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</si>
  <si>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</si>
  <si>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</si>
  <si>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</si>
  <si>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</si>
  <si>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</si>
  <si>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</si>
  <si>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</si>
  <si>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</si>
  <si>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</si>
  <si>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</si>
  <si>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</si>
  <si>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</si>
  <si>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</si>
  <si>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</si>
  <si>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</si>
  <si>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</si>
  <si>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</si>
  <si>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</si>
  <si>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</si>
  <si>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</si>
  <si>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</si>
  <si>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</si>
  <si>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</si>
  <si>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</si>
  <si>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</si>
  <si>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</si>
  <si>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</si>
  <si>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</si>
  <si>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</si>
  <si>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</si>
  <si>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</si>
  <si>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</si>
  <si>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</si>
  <si>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</si>
  <si>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</si>
  <si>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</si>
  <si>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</si>
  <si>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</si>
  <si>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</si>
  <si>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</si>
  <si>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</si>
  <si>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</si>
  <si>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</si>
  <si>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</si>
  <si>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</si>
  <si>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</si>
  <si>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</si>
  <si>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</si>
  <si>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</si>
  <si>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</si>
  <si>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</si>
  <si>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</si>
  <si>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</si>
  <si>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</si>
  <si>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</si>
  <si>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</si>
  <si>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</si>
  <si>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</si>
  <si>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</si>
  <si>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</si>
  <si>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</si>
  <si>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</si>
  <si>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</si>
  <si>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</si>
  <si>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</si>
  <si>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</si>
  <si>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</si>
  <si>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</si>
  <si>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</si>
  <si>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</si>
  <si>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</si>
  <si>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</si>
  <si>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</si>
  <si>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</si>
  <si>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</si>
  <si>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</si>
  <si>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r>
      <t>2024</t>
    </r>
    <r>
      <rPr>
        <sz val="12"/>
        <rFont val="新細明體"/>
        <family val="1"/>
        <charset val="136"/>
      </rPr>
      <t>年</t>
    </r>
    <phoneticPr fontId="3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</si>
  <si>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</si>
  <si>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</si>
  <si>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2024-2023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</si>
  <si>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2024</t>
    </r>
    <r>
      <rPr>
        <sz val="12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</si>
  <si>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</si>
  <si>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</si>
  <si>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t>2024年</t>
    <phoneticPr fontId="4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</si>
  <si>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2024 -2023</t>
    </r>
    <r>
      <rPr>
        <sz val="12"/>
        <rFont val="新細明體"/>
        <family val="1"/>
        <charset val="136"/>
      </rPr>
      <t>年同期比較</t>
    </r>
    <phoneticPr fontId="3" type="noConversion"/>
  </si>
  <si>
    <t>CCC CODE:  87120090004 (Other Cycles)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</si>
  <si>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</si>
  <si>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</si>
  <si>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</si>
  <si>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</si>
  <si>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</si>
  <si>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</si>
  <si>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</si>
  <si>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</si>
  <si>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</si>
  <si>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</si>
  <si>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孟加拉</t>
  </si>
  <si>
    <t>2023年</t>
  </si>
  <si>
    <t>數量(kg)</t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</si>
  <si>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</si>
  <si>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</si>
  <si>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</si>
  <si>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微軟正黑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</si>
  <si>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非</t>
    </r>
    <r>
      <rPr>
        <sz val="12"/>
        <rFont val="細明體-ExtB"/>
        <family val="1"/>
        <charset val="136"/>
      </rPr>
      <t xml:space="preserve">  </t>
    </r>
    <r>
      <rPr>
        <sz val="12"/>
        <rFont val="新細明體"/>
        <family val="1"/>
        <charset val="136"/>
      </rPr>
      <t>洲</t>
    </r>
    <phoneticPr fontId="3" type="noConversion"/>
  </si>
  <si>
    <r>
      <t>2023</t>
    </r>
    <r>
      <rPr>
        <sz val="12"/>
        <color indexed="12"/>
        <rFont val="MS Gothic"/>
        <family val="3"/>
        <charset val="128"/>
      </rPr>
      <t>年</t>
    </r>
  </si>
  <si>
    <t>香港</t>
  </si>
  <si>
    <t>金額(US$)</t>
    <phoneticPr fontId="3" type="noConversion"/>
  </si>
  <si>
    <r>
      <t>CCC CODE: 87120010</t>
    </r>
    <r>
      <rPr>
        <sz val="12"/>
        <color theme="1"/>
        <rFont val="Times New Roman"/>
        <family val="2"/>
      </rPr>
      <t>(Bicycles)</t>
    </r>
    <phoneticPr fontId="6" type="noConversion"/>
  </si>
  <si>
    <t>新加坡</t>
  </si>
  <si>
    <t>菲律賓</t>
  </si>
  <si>
    <t>土耳其</t>
  </si>
  <si>
    <r>
      <t>2024</t>
    </r>
    <r>
      <rPr>
        <sz val="12"/>
        <rFont val="新細明體"/>
        <family val="1"/>
        <charset val="136"/>
      </rPr>
      <t>年9月</t>
    </r>
    <phoneticPr fontId="4" type="noConversion"/>
  </si>
  <si>
    <r>
      <t>9</t>
    </r>
    <r>
      <rPr>
        <sz val="12"/>
        <rFont val="新細明體"/>
        <family val="1"/>
        <charset val="136"/>
      </rPr>
      <t>月數量</t>
    </r>
    <phoneticPr fontId="4" type="noConversion"/>
  </si>
  <si>
    <r>
      <t>9</t>
    </r>
    <r>
      <rPr>
        <sz val="12"/>
        <rFont val="新細明體"/>
        <family val="1"/>
        <charset val="136"/>
      </rPr>
      <t>月金額</t>
    </r>
    <phoneticPr fontId="4" type="noConversion"/>
  </si>
  <si>
    <r>
      <t>1-9</t>
    </r>
    <r>
      <rPr>
        <sz val="12"/>
        <rFont val="新細明體"/>
        <family val="1"/>
        <charset val="136"/>
      </rPr>
      <t>月數量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</si>
  <si>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</si>
  <si>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1-9</t>
    </r>
    <r>
      <rPr>
        <sz val="12"/>
        <rFont val="新細明體"/>
        <family val="1"/>
        <charset val="136"/>
      </rPr>
      <t>月金額</t>
    </r>
    <phoneticPr fontId="4" type="noConversion"/>
  </si>
  <si>
    <r>
      <t>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</si>
  <si>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2024/2023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1-9</t>
    </r>
    <r>
      <rPr>
        <sz val="10"/>
        <rFont val="新細明體"/>
        <family val="1"/>
        <charset val="136"/>
      </rPr>
      <t>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</si>
  <si>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1-9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2023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</si>
  <si>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</si>
  <si>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年9月台灣自行車出口地區別統計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</si>
  <si>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1-9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</si>
  <si>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1-9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</si>
  <si>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'2024/2023年1-9月台灣電動自行車主要出口國家比較        </t>
    <phoneticPr fontId="4" type="noConversion"/>
  </si>
  <si>
    <t>2024年1-9月台灣折疊式自行車主要出口國家統計</t>
    <phoneticPr fontId="4" type="noConversion"/>
  </si>
  <si>
    <r>
      <t xml:space="preserve">     2024/2023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1-9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</si>
  <si>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</si>
  <si>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1-9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</si>
  <si>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9月出口量</t>
    <phoneticPr fontId="4" type="noConversion"/>
  </si>
  <si>
    <t>9月出口金額</t>
    <phoneticPr fontId="4" type="noConversion"/>
  </si>
  <si>
    <r>
      <t>1-9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</si>
  <si>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1-9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</si>
  <si>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9月進口量</t>
    <phoneticPr fontId="4" type="noConversion"/>
  </si>
  <si>
    <t>9月進口金額</t>
    <phoneticPr fontId="4" type="noConversion"/>
  </si>
  <si>
    <r>
      <t>1-9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</si>
  <si>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1-9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</si>
  <si>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1-9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</si>
  <si>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>2024</t>
    </r>
    <r>
      <rPr>
        <sz val="16"/>
        <rFont val="新細明體"/>
        <family val="1"/>
        <charset val="136"/>
      </rPr>
      <t>年9月台灣自行車主要零件進出口統計</t>
    </r>
    <phoneticPr fontId="4" type="noConversion"/>
  </si>
  <si>
    <r>
      <t>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2023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</si>
  <si>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</si>
  <si>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t>日本</t>
    <phoneticPr fontId="4" type="noConversion"/>
  </si>
  <si>
    <t>芬蘭</t>
    <phoneticPr fontId="4" type="noConversion"/>
  </si>
  <si>
    <t>法國</t>
    <phoneticPr fontId="4" type="noConversion"/>
  </si>
  <si>
    <t>＊中華民國</t>
    <phoneticPr fontId="4" type="noConversion"/>
  </si>
  <si>
    <t>荷蘭</t>
    <phoneticPr fontId="4" type="noConversion"/>
  </si>
  <si>
    <t>挪威</t>
  </si>
  <si>
    <t>阿拉伯聯合大公國</t>
  </si>
  <si>
    <t>多明尼加</t>
  </si>
  <si>
    <t>墨西哥</t>
    <phoneticPr fontId="4" type="noConversion"/>
  </si>
  <si>
    <t>波蘭</t>
    <phoneticPr fontId="4" type="noConversion"/>
  </si>
  <si>
    <t>孟加拉</t>
    <phoneticPr fontId="4" type="noConversion"/>
  </si>
  <si>
    <t>英國</t>
    <phoneticPr fontId="4" type="noConversion"/>
  </si>
  <si>
    <t>荷蘭</t>
    <phoneticPr fontId="4" type="noConversion"/>
  </si>
  <si>
    <t>中國大陸</t>
    <phoneticPr fontId="4" type="noConversion"/>
  </si>
  <si>
    <t>越南</t>
    <phoneticPr fontId="4" type="noConversion"/>
  </si>
  <si>
    <t>馬來西亞</t>
    <phoneticPr fontId="4" type="noConversion"/>
  </si>
  <si>
    <t>韓國</t>
    <phoneticPr fontId="4" type="noConversion"/>
  </si>
  <si>
    <t>越南</t>
    <phoneticPr fontId="4" type="noConversion"/>
  </si>
  <si>
    <t>*中華民國</t>
    <phoneticPr fontId="4" type="noConversion"/>
  </si>
  <si>
    <t>美國</t>
    <phoneticPr fontId="4" type="noConversion"/>
  </si>
  <si>
    <t>印尼</t>
    <phoneticPr fontId="4" type="noConversion"/>
  </si>
  <si>
    <t>德國</t>
    <phoneticPr fontId="4" type="noConversion"/>
  </si>
  <si>
    <t>泰國</t>
    <phoneticPr fontId="4" type="noConversion"/>
  </si>
  <si>
    <r>
      <t xml:space="preserve">     2024/2023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1-9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</si>
</sst>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  <numFmt numFmtId="182" formatCode="#,##0.00_);[Red]\(#,##0.00\)"/>
  </numFmts>
  <fonts count="9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2"/>
      <color rgb="FF0000FF"/>
      <name val="華康仿宋體"/>
      <family val="3"/>
      <charset val="136"/>
    </font>
    <font>
      <sz val="12"/>
      <name val="微軟正黑體"/>
      <family val="1"/>
      <charset val="136"/>
    </font>
    <font>
      <b/>
      <sz val="16"/>
      <name val="華康仿宋體"/>
      <family val="1"/>
    </font>
    <font>
      <sz val="12"/>
      <color indexed="12"/>
      <name val="華康仿宋體"/>
      <family val="1"/>
      <charset val="136"/>
    </font>
    <font>
      <sz val="12"/>
      <color indexed="12"/>
      <name val="MS Gothic"/>
      <family val="3"/>
      <charset val="128"/>
    </font>
    <font>
      <sz val="12"/>
      <color indexed="12"/>
      <name val="細明體"/>
      <family val="3"/>
      <charset val="136"/>
    </font>
    <font>
      <sz val="12"/>
      <color indexed="12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b/>
      <sz val="14"/>
      <name val="華康仿宋體"/>
      <family val="1"/>
    </font>
    <font>
      <sz val="12"/>
      <color theme="1"/>
      <name val="Times New Roman"/>
      <family val="2"/>
    </font>
    <font>
      <sz val="1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  <xf numFmtId="44" fontId="1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7" fillId="0" borderId="0"/>
  </cellStyleXfs>
  <cellXfs count="602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0" fillId="0" borderId="9" xfId="0" applyNumberForma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80" fontId="55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0" fontId="69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10" fontId="14" fillId="0" borderId="9" xfId="0" applyNumberFormat="1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7" fillId="0" borderId="9" xfId="0" applyNumberFormat="1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78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79" fillId="0" borderId="0" xfId="0" applyFont="1" applyAlignment="1"/>
    <xf numFmtId="0" fontId="80" fillId="2" borderId="2" xfId="0" applyFont="1" applyFill="1" applyBorder="1" applyAlignment="1"/>
    <xf numFmtId="0" fontId="80" fillId="0" borderId="4" xfId="0" quotePrefix="1" applyFont="1" applyBorder="1" applyAlignment="1">
      <alignment horizontal="center"/>
    </xf>
    <xf numFmtId="0" fontId="80" fillId="0" borderId="9" xfId="0" quotePrefix="1" applyFont="1" applyBorder="1" applyAlignment="1">
      <alignment horizontal="center"/>
    </xf>
    <xf numFmtId="0" fontId="79" fillId="2" borderId="11" xfId="0" applyFont="1" applyFill="1" applyBorder="1" applyAlignment="1"/>
    <xf numFmtId="176" fontId="79" fillId="2" borderId="9" xfId="0" applyNumberFormat="1" applyFont="1" applyFill="1" applyBorder="1" applyAlignment="1"/>
    <xf numFmtId="176" fontId="79" fillId="0" borderId="9" xfId="0" applyNumberFormat="1" applyFont="1" applyBorder="1" applyAlignment="1"/>
    <xf numFmtId="176" fontId="79" fillId="0" borderId="10" xfId="0" applyNumberFormat="1" applyFont="1" applyBorder="1" applyAlignment="1"/>
    <xf numFmtId="176" fontId="79" fillId="2" borderId="10" xfId="0" applyNumberFormat="1" applyFont="1" applyFill="1" applyBorder="1" applyAlignment="1"/>
    <xf numFmtId="176" fontId="79" fillId="2" borderId="0" xfId="0" applyNumberFormat="1" applyFont="1" applyFill="1" applyAlignment="1"/>
    <xf numFmtId="0" fontId="80" fillId="0" borderId="0" xfId="0" applyFont="1" applyAlignment="1"/>
    <xf numFmtId="0" fontId="81" fillId="0" borderId="0" xfId="0" applyFont="1" applyAlignment="1">
      <alignment horizontal="centerContinuous"/>
    </xf>
    <xf numFmtId="0" fontId="85" fillId="0" borderId="8" xfId="0" quotePrefix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84" fillId="2" borderId="8" xfId="0" applyFont="1" applyFill="1" applyBorder="1" applyAlignment="1"/>
    <xf numFmtId="176" fontId="54" fillId="5" borderId="10" xfId="4" applyNumberFormat="1" applyFont="1" applyFill="1" applyBorder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0" fontId="9" fillId="2" borderId="12" xfId="3" applyNumberFormat="1" applyFont="1" applyFill="1" applyBorder="1" applyAlignment="1"/>
    <xf numFmtId="176" fontId="9" fillId="0" borderId="9" xfId="0" applyNumberFormat="1" applyFont="1" applyBorder="1" applyAlignment="1"/>
    <xf numFmtId="176" fontId="9" fillId="2" borderId="9" xfId="0" quotePrefix="1" applyNumberFormat="1" applyFont="1" applyFill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176" fontId="73" fillId="0" borderId="3" xfId="0" applyNumberFormat="1" applyFont="1" applyBorder="1" applyAlignment="1">
      <alignment horizontal="center"/>
    </xf>
    <xf numFmtId="176" fontId="7" fillId="5" borderId="5" xfId="0" applyNumberFormat="1" applyFont="1" applyFill="1" applyBorder="1" applyAlignment="1"/>
    <xf numFmtId="178" fontId="64" fillId="0" borderId="11" xfId="2" applyNumberFormat="1" applyFont="1" applyFill="1" applyBorder="1" applyAlignment="1"/>
    <xf numFmtId="0" fontId="73" fillId="0" borderId="5" xfId="0" applyFont="1" applyBorder="1" applyAlignment="1">
      <alignment wrapText="1"/>
    </xf>
    <xf numFmtId="0" fontId="64" fillId="0" borderId="0" xfId="0" applyFont="1" applyAlignment="1">
      <alignment horizontal="left"/>
    </xf>
    <xf numFmtId="10" fontId="0" fillId="2" borderId="1" xfId="3" applyNumberFormat="1" applyFont="1" applyFill="1" applyBorder="1" applyAlignment="1"/>
    <xf numFmtId="10" fontId="23" fillId="2" borderId="10" xfId="3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182" fontId="0" fillId="0" borderId="0" xfId="0" applyNumberFormat="1" applyAlignment="1"/>
    <xf numFmtId="182" fontId="0" fillId="0" borderId="2" xfId="0" applyNumberFormat="1" applyBorder="1" applyAlignment="1"/>
    <xf numFmtId="182" fontId="8" fillId="0" borderId="4" xfId="0" quotePrefix="1" applyNumberFormat="1" applyFont="1" applyBorder="1" applyAlignment="1">
      <alignment horizontal="center"/>
    </xf>
    <xf numFmtId="182" fontId="16" fillId="0" borderId="8" xfId="0" quotePrefix="1" applyNumberFormat="1" applyFont="1" applyBorder="1" applyAlignment="1">
      <alignment horizontal="center"/>
    </xf>
    <xf numFmtId="182" fontId="20" fillId="0" borderId="9" xfId="0" applyNumberFormat="1" applyFont="1" applyBorder="1" applyAlignment="1">
      <alignment horizontal="center"/>
    </xf>
    <xf numFmtId="182" fontId="22" fillId="0" borderId="9" xfId="0" applyNumberFormat="1" applyFont="1" applyBorder="1" applyAlignment="1">
      <alignment horizontal="center"/>
    </xf>
    <xf numFmtId="182" fontId="19" fillId="2" borderId="8" xfId="0" applyNumberFormat="1" applyFont="1" applyFill="1" applyBorder="1" applyAlignment="1"/>
    <xf numFmtId="182" fontId="13" fillId="2" borderId="8" xfId="0" applyNumberFormat="1" applyFont="1" applyFill="1" applyBorder="1" applyAlignment="1"/>
    <xf numFmtId="182" fontId="19" fillId="0" borderId="6" xfId="0" applyNumberFormat="1" applyFont="1" applyBorder="1" applyAlignment="1"/>
    <xf numFmtId="182" fontId="13" fillId="2" borderId="6" xfId="0" applyNumberFormat="1" applyFont="1" applyFill="1" applyBorder="1" applyAlignment="1"/>
    <xf numFmtId="182" fontId="13" fillId="0" borderId="6" xfId="0" applyNumberFormat="1" applyFont="1" applyBorder="1" applyAlignment="1"/>
    <xf numFmtId="182" fontId="13" fillId="0" borderId="10" xfId="0" applyNumberFormat="1" applyFont="1" applyBorder="1" applyAlignment="1"/>
    <xf numFmtId="182" fontId="13" fillId="2" borderId="10" xfId="0" applyNumberFormat="1" applyFont="1" applyFill="1" applyBorder="1" applyAlignment="1"/>
    <xf numFmtId="182" fontId="0" fillId="0" borderId="10" xfId="0" applyNumberFormat="1" applyBorder="1" applyAlignment="1"/>
    <xf numFmtId="182" fontId="14" fillId="0" borderId="0" xfId="0" applyNumberFormat="1" applyFont="1" applyAlignment="1"/>
    <xf numFmtId="0" fontId="64" fillId="2" borderId="15" xfId="0" applyFont="1" applyFill="1" applyBorder="1" applyAlignment="1">
      <alignment horizontal="center"/>
    </xf>
    <xf numFmtId="41" fontId="13" fillId="0" borderId="6" xfId="0" applyNumberFormat="1" applyFont="1" applyBorder="1" applyAlignment="1"/>
    <xf numFmtId="41" fontId="13" fillId="0" borderId="10" xfId="0" applyNumberFormat="1" applyFont="1" applyBorder="1" applyAlignment="1"/>
    <xf numFmtId="0" fontId="90" fillId="0" borderId="9" xfId="0" applyFont="1" applyBorder="1" applyAlignment="1">
      <alignment horizontal="center"/>
    </xf>
    <xf numFmtId="0" fontId="90" fillId="0" borderId="8" xfId="0" applyFont="1" applyBorder="1" applyAlignment="1"/>
    <xf numFmtId="41" fontId="13" fillId="0" borderId="6" xfId="0" applyNumberFormat="1" applyFont="1" applyBorder="1" applyAlignment="1">
      <alignment horizontal="center"/>
    </xf>
    <xf numFmtId="41" fontId="13" fillId="0" borderId="10" xfId="0" applyNumberFormat="1" applyFont="1" applyBorder="1" applyAlignment="1">
      <alignment horizontal="center"/>
    </xf>
    <xf numFmtId="0" fontId="88" fillId="0" borderId="10" xfId="0" quotePrefix="1" applyFont="1" applyBorder="1" applyAlignment="1">
      <alignment horizontal="center"/>
    </xf>
    <xf numFmtId="41" fontId="13" fillId="5" borderId="6" xfId="0" applyNumberFormat="1" applyFont="1" applyFill="1" applyBorder="1" applyAlignment="1"/>
    <xf numFmtId="0" fontId="91" fillId="0" borderId="9" xfId="0" applyFont="1" applyBorder="1" applyAlignment="1">
      <alignment horizontal="center"/>
    </xf>
    <xf numFmtId="0" fontId="91" fillId="0" borderId="8" xfId="0" applyFont="1" applyBorder="1" applyAlignment="1"/>
    <xf numFmtId="41" fontId="13" fillId="5" borderId="10" xfId="0" applyNumberFormat="1" applyFont="1" applyFill="1" applyBorder="1" applyAlignment="1"/>
    <xf numFmtId="0" fontId="13" fillId="0" borderId="8" xfId="0" applyFont="1" applyBorder="1" applyAlignment="1"/>
    <xf numFmtId="41" fontId="13" fillId="0" borderId="9" xfId="0" applyNumberFormat="1" applyFont="1" applyBorder="1" applyAlignment="1"/>
    <xf numFmtId="41" fontId="13" fillId="0" borderId="5" xfId="0" applyNumberFormat="1" applyFont="1" applyBorder="1" applyAlignment="1"/>
    <xf numFmtId="178" fontId="13" fillId="0" borderId="5" xfId="6" applyNumberFormat="1" applyFont="1" applyBorder="1" applyAlignment="1"/>
    <xf numFmtId="178" fontId="7" fillId="3" borderId="5" xfId="6" applyNumberFormat="1" applyFont="1" applyFill="1" applyBorder="1" applyAlignment="1"/>
    <xf numFmtId="178" fontId="13" fillId="4" borderId="5" xfId="6" applyNumberFormat="1" applyFont="1" applyFill="1" applyBorder="1" applyAlignment="1"/>
    <xf numFmtId="41" fontId="23" fillId="4" borderId="5" xfId="0" applyNumberFormat="1" applyFont="1" applyFill="1" applyBorder="1" applyAlignment="1"/>
    <xf numFmtId="41" fontId="13" fillId="3" borderId="5" xfId="0" applyNumberFormat="1" applyFont="1" applyFill="1" applyBorder="1" applyAlignment="1"/>
    <xf numFmtId="178" fontId="7" fillId="4" borderId="5" xfId="6" applyNumberFormat="1" applyFont="1" applyFill="1" applyBorder="1" applyAlignment="1"/>
    <xf numFmtId="41" fontId="13" fillId="4" borderId="5" xfId="0" applyNumberFormat="1" applyFont="1" applyFill="1" applyBorder="1" applyAlignment="1"/>
    <xf numFmtId="42" fontId="13" fillId="0" borderId="9" xfId="0" applyNumberFormat="1" applyFont="1" applyBorder="1" applyAlignment="1"/>
    <xf numFmtId="41" fontId="7" fillId="4" borderId="5" xfId="0" applyNumberFormat="1" applyFont="1" applyFill="1" applyBorder="1" applyAlignment="1"/>
    <xf numFmtId="178" fontId="13" fillId="0" borderId="5" xfId="6" applyNumberFormat="1" applyFont="1" applyFill="1" applyBorder="1" applyAlignment="1"/>
    <xf numFmtId="180" fontId="0" fillId="2" borderId="6" xfId="0" applyNumberFormat="1" applyFill="1" applyBorder="1" applyAlignment="1"/>
    <xf numFmtId="0" fontId="8" fillId="5" borderId="0" xfId="0" applyFont="1" applyFill="1" applyAlignment="1"/>
    <xf numFmtId="0" fontId="53" fillId="5" borderId="0" xfId="0" applyFont="1" applyFill="1" applyAlignment="1">
      <alignment horizontal="centerContinuous"/>
    </xf>
    <xf numFmtId="176" fontId="8" fillId="5" borderId="0" xfId="0" applyNumberFormat="1" applyFont="1" applyFill="1" applyAlignment="1">
      <alignment horizontal="centerContinuous"/>
    </xf>
    <xf numFmtId="0" fontId="8" fillId="5" borderId="0" xfId="0" applyFont="1" applyFill="1" applyAlignment="1">
      <alignment horizontal="centerContinuous"/>
    </xf>
    <xf numFmtId="0" fontId="64" fillId="5" borderId="0" xfId="0" applyFont="1" applyFill="1" applyAlignment="1"/>
    <xf numFmtId="176" fontId="8" fillId="5" borderId="0" xfId="0" applyNumberFormat="1" applyFont="1" applyFill="1" applyAlignment="1"/>
    <xf numFmtId="0" fontId="8" fillId="5" borderId="10" xfId="0" applyFont="1" applyFill="1" applyBorder="1" applyAlignment="1">
      <alignment horizontal="center"/>
    </xf>
    <xf numFmtId="176" fontId="8" fillId="5" borderId="10" xfId="0" applyNumberFormat="1" applyFont="1" applyFill="1" applyBorder="1" applyAlignment="1">
      <alignment horizontal="center"/>
    </xf>
    <xf numFmtId="0" fontId="8" fillId="5" borderId="4" xfId="0" applyFont="1" applyFill="1" applyBorder="1" applyAlignment="1"/>
    <xf numFmtId="0" fontId="8" fillId="5" borderId="10" xfId="0" applyFont="1" applyFill="1" applyBorder="1" applyAlignment="1">
      <alignment horizontal="right"/>
    </xf>
    <xf numFmtId="176" fontId="8" fillId="5" borderId="10" xfId="0" quotePrefix="1" applyNumberFormat="1" applyFont="1" applyFill="1" applyBorder="1" applyAlignment="1">
      <alignment horizontal="left"/>
    </xf>
    <xf numFmtId="176" fontId="8" fillId="5" borderId="10" xfId="0" applyNumberFormat="1" applyFont="1" applyFill="1" applyBorder="1" applyAlignment="1"/>
    <xf numFmtId="0" fontId="35" fillId="5" borderId="10" xfId="0" applyFont="1" applyFill="1" applyBorder="1" applyAlignment="1">
      <alignment horizontal="right"/>
    </xf>
    <xf numFmtId="0" fontId="35" fillId="5" borderId="10" xfId="0" applyFont="1" applyFill="1" applyBorder="1" applyAlignment="1">
      <alignment horizontal="right" wrapText="1"/>
    </xf>
    <xf numFmtId="0" fontId="8" fillId="5" borderId="0" xfId="0" quotePrefix="1" applyFont="1" applyFill="1" applyAlignment="1">
      <alignment horizontal="left"/>
    </xf>
    <xf numFmtId="0" fontId="95" fillId="5" borderId="10" xfId="0" applyFont="1" applyFill="1" applyBorder="1" applyAlignment="1">
      <alignment wrapText="1"/>
    </xf>
    <xf numFmtId="0" fontId="8" fillId="5" borderId="0" xfId="0" applyFont="1" applyFill="1" applyAlignment="1">
      <alignment horizontal="right"/>
    </xf>
    <xf numFmtId="0" fontId="35" fillId="5" borderId="0" xfId="0" applyFont="1" applyFill="1" applyAlignment="1"/>
    <xf numFmtId="0" fontId="0" fillId="5" borderId="0" xfId="0" applyFill="1" applyAlignment="1"/>
    <xf numFmtId="0" fontId="69" fillId="5" borderId="10" xfId="0" applyFont="1" applyFill="1" applyBorder="1" applyAlignment="1">
      <alignment horizontal="right"/>
    </xf>
    <xf numFmtId="0" fontId="8" fillId="5" borderId="10" xfId="0" quotePrefix="1" applyFont="1" applyFill="1" applyBorder="1" applyAlignment="1">
      <alignment horizontal="right"/>
    </xf>
    <xf numFmtId="176" fontId="0" fillId="5" borderId="0" xfId="0" applyNumberFormat="1" applyFill="1" applyAlignment="1"/>
    <xf numFmtId="0" fontId="0" fillId="5" borderId="10" xfId="0" applyFill="1" applyBorder="1" applyAlignment="1"/>
    <xf numFmtId="176" fontId="0" fillId="5" borderId="10" xfId="0" applyNumberFormat="1" applyFill="1" applyBorder="1" applyAlignment="1"/>
    <xf numFmtId="0" fontId="64" fillId="5" borderId="0" xfId="0" applyFont="1" applyFill="1" applyAlignment="1">
      <alignment horizontal="left"/>
    </xf>
    <xf numFmtId="0" fontId="64" fillId="0" borderId="0" xfId="0" applyFont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8" fontId="13" fillId="3" borderId="5" xfId="2" applyNumberFormat="1" applyFont="1" applyFill="1" applyBorder="1" applyAlignment="1"/>
    <xf numFmtId="178" fontId="13" fillId="4" borderId="5" xfId="2" applyNumberFormat="1" applyFont="1" applyFill="1" applyBorder="1" applyAlignment="1"/>
    <xf numFmtId="41" fontId="13" fillId="0" borderId="14" xfId="2" applyNumberFormat="1" applyFont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82" fillId="2" borderId="1" xfId="0" applyFont="1" applyFill="1" applyBorder="1" applyAlignment="1">
      <alignment horizontal="left"/>
    </xf>
    <xf numFmtId="0" fontId="82" fillId="2" borderId="2" xfId="0" applyFont="1" applyFill="1" applyBorder="1" applyAlignment="1">
      <alignment horizontal="left"/>
    </xf>
    <xf numFmtId="0" fontId="82" fillId="2" borderId="3" xfId="0" applyFont="1" applyFill="1" applyBorder="1" applyAlignment="1">
      <alignment horizontal="left"/>
    </xf>
  </cellXfs>
  <cellStyles count="9">
    <cellStyle name="一般" xfId="0" builtinId="0"/>
    <cellStyle name="一般 2" xfId="4" xr:uid="{00000000-0005-0000-0000-000001000000}"/>
    <cellStyle name="一般 2 2" xfId="7" xr:uid="{C2A63B68-3296-43D6-9978-82EA59BF01DE}"/>
    <cellStyle name="一般 2 3" xfId="8" xr:uid="{A488C721-6F03-4305-9AA4-B51BD832116F}"/>
    <cellStyle name="千分位" xfId="1" builtinId="3"/>
    <cellStyle name="千分位 3" xfId="5" xr:uid="{00000000-0005-0000-0000-000003000000}"/>
    <cellStyle name="百分比" xfId="3" builtinId="5"/>
    <cellStyle name="貨幣" xfId="2" builtinId="4"/>
    <cellStyle name="貨幣 2" xfId="6" xr:uid="{F4628399-4A8B-41B3-83D2-E3C4DDE0DC2D}"/>
  </cellStyles>
  <dxfs count="77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6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9%20&#25972;&#36554;&#20986;&#21475;.xlsx" TargetMode="External"/><Relationship Id="rId1" Type="http://schemas.openxmlformats.org/officeDocument/2006/relationships/externalLinkPath" Target="file:///D:\DATA%20Files\Downloads\&#36914;&#20986;&#21475;&#20540;&#34920;%20-%202024%209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9%20&#25722;&#30090;&#36554;&#20986;&#21475;.xlsx" TargetMode="External"/><Relationship Id="rId1" Type="http://schemas.openxmlformats.org/officeDocument/2006/relationships/externalLinkPath" Target="file:///D:\DATA%20Files\Downloads\&#36914;&#20986;&#21475;&#20540;&#34920;%20-%202024%201-9%20&#25722;&#30090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01-08%20&#38646;&#20214;&#36914;&#21475;.xlsx" TargetMode="External"/><Relationship Id="rId1" Type="http://schemas.openxmlformats.org/officeDocument/2006/relationships/externalLinkPath" Target="file:///D:\DATA%20Files\Downloads\&#36914;&#20986;&#21475;&#20540;&#34920;%20-%20202401-08%20&#38646;&#20214;&#36914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9%20&#38646;&#20214;&#20986;&#21475;.xlsx" TargetMode="External"/><Relationship Id="rId1" Type="http://schemas.openxmlformats.org/officeDocument/2006/relationships/externalLinkPath" Target="file:///D:\DATA%20Files\Downloads\&#36914;&#20986;&#21475;&#20540;&#34920;%20-%202024%209%20&#38646;&#2021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9%20&#38646;&#20214;&#20986;&#21475;.xlsx" TargetMode="External"/><Relationship Id="rId1" Type="http://schemas.openxmlformats.org/officeDocument/2006/relationships/externalLinkPath" Target="file:///D:\DATA%20Files\Downloads\&#36914;&#20986;&#21475;&#20540;&#34920;%20-%202024%201-9%20&#38646;&#2021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9%20&#38646;&#20214;&#36914;&#21475;.xlsx" TargetMode="External"/><Relationship Id="rId1" Type="http://schemas.openxmlformats.org/officeDocument/2006/relationships/externalLinkPath" Target="file:///D:\DATA%20Files\Downloads\&#36914;&#20986;&#21475;&#20540;&#34920;%20-%202024%209%20&#38646;&#20214;&#36914;&#21475;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9%20&#38646;&#20214;&#36914;&#21475;.xlsx" TargetMode="External"/><Relationship Id="rId1" Type="http://schemas.openxmlformats.org/officeDocument/2006/relationships/externalLinkPath" Target="file:///D:\DATA%20Files\Downloads\&#36914;&#20986;&#21475;&#20540;&#34920;%20-%202024%201-9%20&#38646;&#20214;&#36914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1-09&#38646;&#20214;&#20986;&#21475;.xlsx" TargetMode="External"/><Relationship Id="rId1" Type="http://schemas.openxmlformats.org/officeDocument/2006/relationships/externalLinkPath" Target="file:///D:\DATA%20Files\Downloads\&#36914;&#20986;&#21475;&#20540;&#34920;%20-%20202301-09&#38646;&#20214;&#20986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1-9%20&#25972;&#36554;&#20986;&#21475;.xlsx" TargetMode="External"/><Relationship Id="rId1" Type="http://schemas.openxmlformats.org/officeDocument/2006/relationships/externalLinkPath" Target="file:///D:\DATA%20Files\Downloads\&#36914;&#20986;&#21475;&#20540;&#34920;%20-%2020241-9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9%20&#25972;&#36554;&#36914;&#21475;.xlsx" TargetMode="External"/><Relationship Id="rId1" Type="http://schemas.openxmlformats.org/officeDocument/2006/relationships/externalLinkPath" Target="file:///D:\DATA%20Files\Downloads\&#36914;&#20986;&#21475;&#20540;&#34920;%20-%202024%209%20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9%20&#25972;&#36554;&#36914;&#21475;.xlsx" TargetMode="External"/><Relationship Id="rId1" Type="http://schemas.openxmlformats.org/officeDocument/2006/relationships/externalLinkPath" Target="file:///D:\DATA%20Files\Downloads\&#36914;&#20986;&#21475;&#20540;&#34920;%20-%202024%201-9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9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%209%20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4%201-9%20&#38651;&#36628;&#36554;&#20986;&#21475;.xlsx" TargetMode="External"/><Relationship Id="rId1" Type="http://schemas.openxmlformats.org/officeDocument/2006/relationships/externalLinkPath" Target="file:///D:\DATA%20Files\Downloads\&#36914;&#20986;&#21475;&#20540;&#34920;%20-%202024%201-9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75470252</v>
          </cell>
          <cell r="C3">
            <v>67360</v>
          </cell>
        </row>
        <row r="4">
          <cell r="A4" t="str">
            <v>美國</v>
          </cell>
          <cell r="B4">
            <v>25213649</v>
          </cell>
          <cell r="C4">
            <v>25755</v>
          </cell>
        </row>
        <row r="5">
          <cell r="A5" t="str">
            <v>中國大陸</v>
          </cell>
          <cell r="B5">
            <v>13431801</v>
          </cell>
          <cell r="C5">
            <v>9880</v>
          </cell>
        </row>
        <row r="6">
          <cell r="A6" t="str">
            <v>荷蘭</v>
          </cell>
          <cell r="B6">
            <v>5621212</v>
          </cell>
          <cell r="C6">
            <v>3068</v>
          </cell>
        </row>
        <row r="7">
          <cell r="A7" t="str">
            <v>英國</v>
          </cell>
          <cell r="B7">
            <v>4218619</v>
          </cell>
          <cell r="C7">
            <v>3510</v>
          </cell>
        </row>
        <row r="8">
          <cell r="A8" t="str">
            <v>澳大利亞</v>
          </cell>
          <cell r="B8">
            <v>2403684</v>
          </cell>
          <cell r="C8">
            <v>3088</v>
          </cell>
        </row>
        <row r="9">
          <cell r="A9" t="str">
            <v>加拿大</v>
          </cell>
          <cell r="B9">
            <v>2348482</v>
          </cell>
          <cell r="C9">
            <v>1270</v>
          </cell>
        </row>
        <row r="10">
          <cell r="A10" t="str">
            <v>法國</v>
          </cell>
          <cell r="B10">
            <v>2071885</v>
          </cell>
          <cell r="C10">
            <v>1085</v>
          </cell>
        </row>
        <row r="11">
          <cell r="A11" t="str">
            <v>德國</v>
          </cell>
          <cell r="B11">
            <v>1927961</v>
          </cell>
          <cell r="C11">
            <v>4728</v>
          </cell>
        </row>
        <row r="12">
          <cell r="A12" t="str">
            <v>西班牙</v>
          </cell>
          <cell r="B12">
            <v>1887129</v>
          </cell>
          <cell r="C12">
            <v>1148</v>
          </cell>
        </row>
        <row r="13">
          <cell r="A13" t="str">
            <v>比利時</v>
          </cell>
          <cell r="B13">
            <v>1775009</v>
          </cell>
          <cell r="C13">
            <v>1607</v>
          </cell>
        </row>
        <row r="14">
          <cell r="A14" t="str">
            <v>韓國</v>
          </cell>
          <cell r="B14">
            <v>1765728</v>
          </cell>
          <cell r="C14">
            <v>754</v>
          </cell>
        </row>
        <row r="15">
          <cell r="A15" t="str">
            <v>日本</v>
          </cell>
          <cell r="B15">
            <v>1691752</v>
          </cell>
          <cell r="C15">
            <v>1842</v>
          </cell>
        </row>
        <row r="16">
          <cell r="A16" t="str">
            <v>紐西蘭</v>
          </cell>
          <cell r="B16">
            <v>1104219</v>
          </cell>
          <cell r="C16">
            <v>896</v>
          </cell>
        </row>
        <row r="17">
          <cell r="A17" t="str">
            <v>義大利</v>
          </cell>
          <cell r="B17">
            <v>1049922</v>
          </cell>
          <cell r="C17">
            <v>693</v>
          </cell>
        </row>
        <row r="18">
          <cell r="A18" t="str">
            <v>波蘭</v>
          </cell>
          <cell r="B18">
            <v>865448</v>
          </cell>
          <cell r="C18">
            <v>1063</v>
          </cell>
        </row>
        <row r="19">
          <cell r="A19" t="str">
            <v>南非</v>
          </cell>
          <cell r="B19">
            <v>813902</v>
          </cell>
          <cell r="C19">
            <v>374</v>
          </cell>
        </row>
        <row r="20">
          <cell r="A20" t="str">
            <v>阿根廷</v>
          </cell>
          <cell r="B20">
            <v>700125</v>
          </cell>
          <cell r="C20">
            <v>211</v>
          </cell>
        </row>
        <row r="21">
          <cell r="A21" t="str">
            <v>巴拿馬</v>
          </cell>
          <cell r="B21">
            <v>639737</v>
          </cell>
          <cell r="C21">
            <v>227</v>
          </cell>
        </row>
        <row r="22">
          <cell r="A22" t="str">
            <v>瑞士</v>
          </cell>
          <cell r="B22">
            <v>613277</v>
          </cell>
          <cell r="C22">
            <v>734</v>
          </cell>
        </row>
        <row r="23">
          <cell r="A23" t="str">
            <v>墨西哥</v>
          </cell>
          <cell r="B23">
            <v>613028</v>
          </cell>
          <cell r="C23">
            <v>426</v>
          </cell>
        </row>
        <row r="24">
          <cell r="A24" t="str">
            <v>巴西</v>
          </cell>
          <cell r="B24">
            <v>437831</v>
          </cell>
          <cell r="C24">
            <v>171</v>
          </cell>
        </row>
        <row r="25">
          <cell r="A25" t="str">
            <v>哥倫比亞</v>
          </cell>
          <cell r="B25">
            <v>427586</v>
          </cell>
          <cell r="C25">
            <v>223</v>
          </cell>
        </row>
        <row r="26">
          <cell r="A26" t="str">
            <v>哥斯大黎加</v>
          </cell>
          <cell r="B26">
            <v>416494</v>
          </cell>
          <cell r="C26">
            <v>297</v>
          </cell>
        </row>
        <row r="27">
          <cell r="A27" t="str">
            <v>智利</v>
          </cell>
          <cell r="B27">
            <v>413652</v>
          </cell>
          <cell r="C27">
            <v>242</v>
          </cell>
        </row>
        <row r="28">
          <cell r="A28" t="str">
            <v>厄瓜多</v>
          </cell>
          <cell r="B28">
            <v>388036</v>
          </cell>
          <cell r="C28">
            <v>576</v>
          </cell>
        </row>
        <row r="29">
          <cell r="A29" t="str">
            <v>菲律賓</v>
          </cell>
          <cell r="B29">
            <v>387129</v>
          </cell>
          <cell r="C29">
            <v>271</v>
          </cell>
        </row>
        <row r="30">
          <cell r="A30" t="str">
            <v>丹麥</v>
          </cell>
          <cell r="B30">
            <v>383630</v>
          </cell>
          <cell r="C30">
            <v>1251</v>
          </cell>
        </row>
        <row r="31">
          <cell r="A31" t="str">
            <v>泰國</v>
          </cell>
          <cell r="B31">
            <v>274853</v>
          </cell>
          <cell r="C31">
            <v>266</v>
          </cell>
        </row>
        <row r="32">
          <cell r="A32" t="str">
            <v>馬來西亞</v>
          </cell>
          <cell r="B32">
            <v>223461</v>
          </cell>
          <cell r="C32">
            <v>115</v>
          </cell>
        </row>
        <row r="33">
          <cell r="A33" t="str">
            <v>香港</v>
          </cell>
          <cell r="B33">
            <v>202749</v>
          </cell>
          <cell r="C33">
            <v>114</v>
          </cell>
        </row>
        <row r="34">
          <cell r="A34" t="str">
            <v>以色列</v>
          </cell>
          <cell r="B34">
            <v>183194</v>
          </cell>
          <cell r="C34">
            <v>230</v>
          </cell>
        </row>
        <row r="35">
          <cell r="A35" t="str">
            <v>新加坡</v>
          </cell>
          <cell r="B35">
            <v>171509</v>
          </cell>
          <cell r="C35">
            <v>165</v>
          </cell>
        </row>
        <row r="36">
          <cell r="A36" t="str">
            <v>阿拉伯聯合大公國</v>
          </cell>
          <cell r="B36">
            <v>170634</v>
          </cell>
          <cell r="C36">
            <v>197</v>
          </cell>
        </row>
        <row r="37">
          <cell r="A37" t="str">
            <v>捷克</v>
          </cell>
          <cell r="B37">
            <v>141706</v>
          </cell>
          <cell r="C37">
            <v>568</v>
          </cell>
        </row>
        <row r="38">
          <cell r="A38" t="str">
            <v>烏拉圭</v>
          </cell>
          <cell r="B38">
            <v>110027</v>
          </cell>
          <cell r="C38">
            <v>36</v>
          </cell>
        </row>
        <row r="39">
          <cell r="A39" t="str">
            <v>盧森堡</v>
          </cell>
          <cell r="B39">
            <v>84005</v>
          </cell>
          <cell r="C39">
            <v>24</v>
          </cell>
        </row>
        <row r="40">
          <cell r="A40" t="str">
            <v>柬埔寨</v>
          </cell>
          <cell r="B40">
            <v>78382</v>
          </cell>
          <cell r="C40">
            <v>26</v>
          </cell>
        </row>
        <row r="41">
          <cell r="A41" t="str">
            <v>秘魯</v>
          </cell>
          <cell r="B41">
            <v>64042</v>
          </cell>
          <cell r="C41">
            <v>35</v>
          </cell>
        </row>
        <row r="42">
          <cell r="A42" t="str">
            <v>印度</v>
          </cell>
          <cell r="B42">
            <v>54420</v>
          </cell>
          <cell r="C42">
            <v>51</v>
          </cell>
        </row>
        <row r="43">
          <cell r="A43" t="str">
            <v>薩爾瓦多</v>
          </cell>
          <cell r="B43">
            <v>42737</v>
          </cell>
          <cell r="C43">
            <v>35</v>
          </cell>
        </row>
        <row r="44">
          <cell r="A44" t="str">
            <v>多明尼加</v>
          </cell>
          <cell r="B44">
            <v>34676</v>
          </cell>
          <cell r="C44">
            <v>32</v>
          </cell>
        </row>
        <row r="45">
          <cell r="A45" t="str">
            <v>模里西斯</v>
          </cell>
          <cell r="B45">
            <v>13558</v>
          </cell>
          <cell r="C45">
            <v>12</v>
          </cell>
        </row>
        <row r="46">
          <cell r="A46" t="str">
            <v>瓜地馬拉</v>
          </cell>
          <cell r="B46">
            <v>8216</v>
          </cell>
          <cell r="C46">
            <v>9</v>
          </cell>
        </row>
        <row r="47">
          <cell r="A47" t="str">
            <v>越南</v>
          </cell>
          <cell r="B47">
            <v>594</v>
          </cell>
          <cell r="C47">
            <v>2</v>
          </cell>
        </row>
        <row r="48">
          <cell r="A48" t="str">
            <v>象牙海岸</v>
          </cell>
          <cell r="B48">
            <v>250</v>
          </cell>
          <cell r="C48">
            <v>50</v>
          </cell>
        </row>
        <row r="49">
          <cell r="A49" t="str">
            <v>多哥</v>
          </cell>
          <cell r="B49">
            <v>187</v>
          </cell>
          <cell r="C49">
            <v>2</v>
          </cell>
        </row>
        <row r="50">
          <cell r="A50" t="str">
            <v>坦尚尼亞</v>
          </cell>
          <cell r="B50">
            <v>125</v>
          </cell>
          <cell r="C50">
            <v>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2547162</v>
          </cell>
          <cell r="C3">
            <v>3351</v>
          </cell>
        </row>
        <row r="4">
          <cell r="A4" t="str">
            <v>中國大陸</v>
          </cell>
          <cell r="B4">
            <v>1309895</v>
          </cell>
          <cell r="C4">
            <v>1607</v>
          </cell>
        </row>
        <row r="5">
          <cell r="A5" t="str">
            <v>韓國</v>
          </cell>
          <cell r="B5">
            <v>539345</v>
          </cell>
          <cell r="C5">
            <v>605</v>
          </cell>
        </row>
        <row r="6">
          <cell r="A6" t="str">
            <v>荷蘭</v>
          </cell>
          <cell r="B6">
            <v>295315</v>
          </cell>
          <cell r="C6">
            <v>631</v>
          </cell>
        </row>
        <row r="7">
          <cell r="A7" t="str">
            <v>香港</v>
          </cell>
          <cell r="B7">
            <v>173183</v>
          </cell>
          <cell r="C7">
            <v>172</v>
          </cell>
        </row>
        <row r="8">
          <cell r="A8" t="str">
            <v>日本</v>
          </cell>
          <cell r="B8">
            <v>130809</v>
          </cell>
          <cell r="C8">
            <v>168</v>
          </cell>
        </row>
        <row r="9">
          <cell r="A9" t="str">
            <v>美國</v>
          </cell>
          <cell r="B9">
            <v>43199</v>
          </cell>
          <cell r="C9">
            <v>20</v>
          </cell>
        </row>
        <row r="10">
          <cell r="A10" t="str">
            <v>阿拉伯聯合大公國</v>
          </cell>
          <cell r="B10">
            <v>19056</v>
          </cell>
          <cell r="C10">
            <v>19</v>
          </cell>
        </row>
        <row r="11">
          <cell r="A11" t="str">
            <v>保加利亞</v>
          </cell>
          <cell r="B11">
            <v>18536</v>
          </cell>
          <cell r="C11">
            <v>100</v>
          </cell>
        </row>
        <row r="12">
          <cell r="A12" t="str">
            <v>新加坡</v>
          </cell>
          <cell r="B12">
            <v>12958</v>
          </cell>
          <cell r="C12">
            <v>11</v>
          </cell>
        </row>
        <row r="13">
          <cell r="A13" t="str">
            <v>泰國</v>
          </cell>
          <cell r="B13">
            <v>3578</v>
          </cell>
          <cell r="C13">
            <v>8</v>
          </cell>
        </row>
        <row r="14">
          <cell r="A14" t="str">
            <v>菲律賓</v>
          </cell>
          <cell r="B14">
            <v>1288</v>
          </cell>
          <cell r="C14">
            <v>10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205546466</v>
          </cell>
          <cell r="D3">
            <v>2723154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58984147</v>
          </cell>
          <cell r="D4">
            <v>918162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43653647</v>
          </cell>
          <cell r="D5">
            <v>412383</v>
          </cell>
          <cell r="E5">
            <v>897094</v>
          </cell>
        </row>
        <row r="6">
          <cell r="A6">
            <v>87149620002</v>
          </cell>
          <cell r="B6" t="str">
            <v>曲柄齒輪及其零件</v>
          </cell>
          <cell r="C6">
            <v>21061470</v>
          </cell>
          <cell r="D6">
            <v>713168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19710623</v>
          </cell>
          <cell r="D7">
            <v>497715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18675671</v>
          </cell>
          <cell r="D8">
            <v>207560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18670377</v>
          </cell>
          <cell r="D9">
            <v>242410</v>
          </cell>
          <cell r="E9">
            <v>0</v>
          </cell>
        </row>
        <row r="10">
          <cell r="A10">
            <v>87149990157</v>
          </cell>
          <cell r="B10" t="str">
            <v>腳踏車用座管及上下管</v>
          </cell>
          <cell r="C10">
            <v>9531305</v>
          </cell>
          <cell r="D10">
            <v>215427</v>
          </cell>
          <cell r="E10">
            <v>0</v>
          </cell>
        </row>
        <row r="11">
          <cell r="A11">
            <v>87149320906</v>
          </cell>
          <cell r="B11" t="str">
            <v>其他飛輪之鏈輪</v>
          </cell>
          <cell r="C11">
            <v>8815025</v>
          </cell>
          <cell r="D11">
            <v>231264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7733474</v>
          </cell>
          <cell r="D12">
            <v>84548</v>
          </cell>
          <cell r="E12">
            <v>14779864</v>
          </cell>
        </row>
        <row r="13">
          <cell r="A13">
            <v>87149500007</v>
          </cell>
          <cell r="B13" t="str">
            <v>腳踏車車座</v>
          </cell>
          <cell r="C13">
            <v>6901312</v>
          </cell>
          <cell r="D13">
            <v>371823</v>
          </cell>
          <cell r="E13">
            <v>0</v>
          </cell>
        </row>
        <row r="14">
          <cell r="A14">
            <v>87149200304</v>
          </cell>
          <cell r="B14" t="str">
            <v>輪圈及輪幅</v>
          </cell>
          <cell r="C14">
            <v>3184737</v>
          </cell>
          <cell r="D14">
            <v>105363</v>
          </cell>
          <cell r="E14">
            <v>968136</v>
          </cell>
        </row>
        <row r="15">
          <cell r="A15">
            <v>87149990148</v>
          </cell>
          <cell r="B15" t="str">
            <v>腳踏車用把手豎管</v>
          </cell>
          <cell r="C15">
            <v>3037581</v>
          </cell>
          <cell r="D15">
            <v>96572</v>
          </cell>
          <cell r="E15">
            <v>0</v>
          </cell>
        </row>
        <row r="16">
          <cell r="A16">
            <v>87149610004</v>
          </cell>
          <cell r="B16" t="str">
            <v>踏板及其零件</v>
          </cell>
          <cell r="C16">
            <v>2325642</v>
          </cell>
          <cell r="D16">
            <v>155225</v>
          </cell>
          <cell r="E16">
            <v>0</v>
          </cell>
        </row>
        <row r="17">
          <cell r="A17">
            <v>87149990139</v>
          </cell>
          <cell r="B17" t="str">
            <v>腳踏車用軸心</v>
          </cell>
          <cell r="C17">
            <v>583222</v>
          </cell>
          <cell r="D17">
            <v>50867</v>
          </cell>
          <cell r="E17">
            <v>0</v>
          </cell>
        </row>
        <row r="18">
          <cell r="A18">
            <v>87149320103</v>
          </cell>
          <cell r="B18" t="str">
            <v>裝有棘輪機構之單一鏈輪　</v>
          </cell>
          <cell r="C18">
            <v>333329</v>
          </cell>
          <cell r="D18">
            <v>7780</v>
          </cell>
          <cell r="E18">
            <v>0</v>
          </cell>
        </row>
        <row r="19">
          <cell r="A19">
            <v>87149410006</v>
          </cell>
          <cell r="B19" t="str">
            <v>鋼?煞車器及其零件</v>
          </cell>
          <cell r="C19">
            <v>251803</v>
          </cell>
          <cell r="D19">
            <v>14040</v>
          </cell>
          <cell r="E1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43647193</v>
          </cell>
          <cell r="D3">
            <v>673821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12476593</v>
          </cell>
          <cell r="D4">
            <v>284933</v>
          </cell>
          <cell r="E4">
            <v>0</v>
          </cell>
        </row>
        <row r="5">
          <cell r="A5">
            <v>87149200304</v>
          </cell>
          <cell r="B5" t="str">
            <v>輪圈及輪幅</v>
          </cell>
          <cell r="C5">
            <v>7008495</v>
          </cell>
          <cell r="D5">
            <v>52871</v>
          </cell>
          <cell r="E5">
            <v>43963</v>
          </cell>
        </row>
        <row r="6">
          <cell r="A6">
            <v>87149620002</v>
          </cell>
          <cell r="B6" t="str">
            <v>曲柄齒輪及其零件</v>
          </cell>
          <cell r="C6">
            <v>6621106</v>
          </cell>
          <cell r="D6">
            <v>109877</v>
          </cell>
          <cell r="E6">
            <v>0</v>
          </cell>
        </row>
        <row r="7">
          <cell r="A7">
            <v>87149990157</v>
          </cell>
          <cell r="B7" t="str">
            <v>腳踏車用座管及上下管</v>
          </cell>
          <cell r="C7">
            <v>5837765</v>
          </cell>
          <cell r="D7">
            <v>122626</v>
          </cell>
          <cell r="E7">
            <v>0</v>
          </cell>
        </row>
        <row r="8">
          <cell r="A8">
            <v>87149990111</v>
          </cell>
          <cell r="B8" t="str">
            <v>腳踏車用變速器</v>
          </cell>
          <cell r="C8">
            <v>5599563</v>
          </cell>
          <cell r="D8">
            <v>39451</v>
          </cell>
          <cell r="E8">
            <v>0</v>
          </cell>
        </row>
        <row r="9">
          <cell r="A9">
            <v>87149320906</v>
          </cell>
          <cell r="B9" t="str">
            <v>其他飛輪之鏈輪</v>
          </cell>
          <cell r="C9">
            <v>4406090</v>
          </cell>
          <cell r="D9">
            <v>102796</v>
          </cell>
          <cell r="E9">
            <v>0</v>
          </cell>
        </row>
        <row r="10">
          <cell r="A10">
            <v>87149200108</v>
          </cell>
          <cell r="B10" t="str">
            <v>輪圈</v>
          </cell>
          <cell r="C10">
            <v>3752356</v>
          </cell>
          <cell r="D10">
            <v>80944</v>
          </cell>
          <cell r="E10">
            <v>242404</v>
          </cell>
        </row>
        <row r="11">
          <cell r="A11">
            <v>87149990166</v>
          </cell>
          <cell r="B11" t="str">
            <v>腳踏車用把手</v>
          </cell>
          <cell r="C11">
            <v>3613149</v>
          </cell>
          <cell r="D11">
            <v>96942</v>
          </cell>
          <cell r="E11">
            <v>0</v>
          </cell>
        </row>
        <row r="12">
          <cell r="A12">
            <v>87149610004</v>
          </cell>
          <cell r="B12" t="str">
            <v>踏板及其零件</v>
          </cell>
          <cell r="C12">
            <v>3153238</v>
          </cell>
          <cell r="D12">
            <v>132020</v>
          </cell>
          <cell r="E12">
            <v>0</v>
          </cell>
        </row>
        <row r="13">
          <cell r="A13">
            <v>87149310007</v>
          </cell>
          <cell r="B13" t="str">
            <v>輪轂，但倒煞車輪轂及輪轂煞車除外</v>
          </cell>
          <cell r="C13">
            <v>3097772</v>
          </cell>
          <cell r="D13">
            <v>36684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1987529</v>
          </cell>
          <cell r="D14">
            <v>70352</v>
          </cell>
          <cell r="E14">
            <v>0</v>
          </cell>
        </row>
        <row r="15">
          <cell r="A15">
            <v>87149200206</v>
          </cell>
          <cell r="B15" t="str">
            <v>輪幅</v>
          </cell>
          <cell r="C15">
            <v>1526210</v>
          </cell>
          <cell r="D15">
            <v>75505</v>
          </cell>
          <cell r="E15">
            <v>11828032</v>
          </cell>
        </row>
        <row r="16">
          <cell r="A16">
            <v>87149990148</v>
          </cell>
          <cell r="B16" t="str">
            <v>腳踏車用把手豎管</v>
          </cell>
          <cell r="C16">
            <v>1503223</v>
          </cell>
          <cell r="D16">
            <v>44148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243641</v>
          </cell>
          <cell r="D17">
            <v>9976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204341</v>
          </cell>
          <cell r="D18">
            <v>6250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26897</v>
          </cell>
          <cell r="D19">
            <v>851</v>
          </cell>
          <cell r="E19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380667382</v>
          </cell>
          <cell r="D3">
            <v>5840530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118930020</v>
          </cell>
          <cell r="D4">
            <v>2719622</v>
          </cell>
          <cell r="E4">
            <v>0</v>
          </cell>
        </row>
        <row r="5">
          <cell r="A5">
            <v>87149620002</v>
          </cell>
          <cell r="B5" t="str">
            <v>曲柄齒輪及其零件</v>
          </cell>
          <cell r="C5">
            <v>61819721</v>
          </cell>
          <cell r="D5">
            <v>1170193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58325209</v>
          </cell>
          <cell r="D6">
            <v>470089</v>
          </cell>
          <cell r="E6">
            <v>0</v>
          </cell>
        </row>
        <row r="7">
          <cell r="A7">
            <v>87149200304</v>
          </cell>
          <cell r="B7" t="str">
            <v>輪圈及輪幅</v>
          </cell>
          <cell r="C7">
            <v>53793028</v>
          </cell>
          <cell r="D7">
            <v>441980</v>
          </cell>
          <cell r="E7">
            <v>423135</v>
          </cell>
        </row>
        <row r="8">
          <cell r="A8">
            <v>87149320906</v>
          </cell>
          <cell r="B8" t="str">
            <v>其他飛輪之鏈輪</v>
          </cell>
          <cell r="C8">
            <v>45161286</v>
          </cell>
          <cell r="D8">
            <v>1069909</v>
          </cell>
          <cell r="E8">
            <v>0</v>
          </cell>
        </row>
        <row r="9">
          <cell r="A9">
            <v>87149990157</v>
          </cell>
          <cell r="B9" t="str">
            <v>腳踏車用座管及上下管</v>
          </cell>
          <cell r="C9">
            <v>36278497</v>
          </cell>
          <cell r="D9">
            <v>832800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32909543</v>
          </cell>
          <cell r="D10">
            <v>511406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32171721</v>
          </cell>
          <cell r="D11">
            <v>891542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30295347</v>
          </cell>
          <cell r="D12">
            <v>870715</v>
          </cell>
          <cell r="E12">
            <v>1630605</v>
          </cell>
        </row>
        <row r="13">
          <cell r="A13">
            <v>87149610004</v>
          </cell>
          <cell r="B13" t="str">
            <v>踏板及其零件</v>
          </cell>
          <cell r="C13">
            <v>28060497</v>
          </cell>
          <cell r="D13">
            <v>1127253</v>
          </cell>
          <cell r="E13">
            <v>0</v>
          </cell>
        </row>
        <row r="14">
          <cell r="A14">
            <v>87149500007</v>
          </cell>
          <cell r="B14" t="str">
            <v>腳踏車車座</v>
          </cell>
          <cell r="C14">
            <v>19301831</v>
          </cell>
          <cell r="D14">
            <v>879803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14996378</v>
          </cell>
          <cell r="D15">
            <v>421748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11165291</v>
          </cell>
          <cell r="D16">
            <v>736053</v>
          </cell>
          <cell r="E16">
            <v>111166427</v>
          </cell>
        </row>
        <row r="17">
          <cell r="A17">
            <v>87149990139</v>
          </cell>
          <cell r="B17" t="str">
            <v>腳踏車用軸心</v>
          </cell>
          <cell r="C17">
            <v>1934715</v>
          </cell>
          <cell r="D17">
            <v>104347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1461929</v>
          </cell>
          <cell r="D18">
            <v>60711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514399</v>
          </cell>
          <cell r="D19">
            <v>15950</v>
          </cell>
          <cell r="E19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25751235</v>
          </cell>
          <cell r="D3">
            <v>322295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8238740</v>
          </cell>
          <cell r="D4">
            <v>134072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5559443</v>
          </cell>
          <cell r="D5">
            <v>55817</v>
          </cell>
          <cell r="E5">
            <v>111890</v>
          </cell>
        </row>
        <row r="6">
          <cell r="A6">
            <v>87149620002</v>
          </cell>
          <cell r="B6" t="str">
            <v>曲柄齒輪及其零件</v>
          </cell>
          <cell r="C6">
            <v>3369909</v>
          </cell>
          <cell r="D6">
            <v>102243</v>
          </cell>
          <cell r="E6">
            <v>0</v>
          </cell>
        </row>
        <row r="7">
          <cell r="A7">
            <v>87149990111</v>
          </cell>
          <cell r="B7" t="str">
            <v>腳踏車用變速器</v>
          </cell>
          <cell r="C7">
            <v>2584315</v>
          </cell>
          <cell r="D7">
            <v>21592</v>
          </cell>
          <cell r="E7">
            <v>0</v>
          </cell>
        </row>
        <row r="8">
          <cell r="A8">
            <v>87149310007</v>
          </cell>
          <cell r="B8" t="str">
            <v>輪轂，但倒煞車輪轂及輪轂煞車除外</v>
          </cell>
          <cell r="C8">
            <v>2525166</v>
          </cell>
          <cell r="D8">
            <v>56551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2236993</v>
          </cell>
          <cell r="D9">
            <v>36729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1515087</v>
          </cell>
          <cell r="D10">
            <v>41427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1208260</v>
          </cell>
          <cell r="D11">
            <v>26150</v>
          </cell>
          <cell r="E11">
            <v>0</v>
          </cell>
        </row>
        <row r="12">
          <cell r="A12">
            <v>87149200206</v>
          </cell>
          <cell r="B12" t="str">
            <v>輪幅</v>
          </cell>
          <cell r="C12">
            <v>1060131</v>
          </cell>
          <cell r="D12">
            <v>13697</v>
          </cell>
          <cell r="E12">
            <v>2540321</v>
          </cell>
        </row>
        <row r="13">
          <cell r="A13">
            <v>87149500007</v>
          </cell>
          <cell r="B13" t="str">
            <v>腳踏車車座</v>
          </cell>
          <cell r="C13">
            <v>864388</v>
          </cell>
          <cell r="D13">
            <v>51363</v>
          </cell>
          <cell r="E13">
            <v>0</v>
          </cell>
        </row>
        <row r="14">
          <cell r="A14">
            <v>87149610004</v>
          </cell>
          <cell r="B14" t="str">
            <v>踏板及其零件</v>
          </cell>
          <cell r="C14">
            <v>610461</v>
          </cell>
          <cell r="D14">
            <v>22593</v>
          </cell>
          <cell r="E14">
            <v>0</v>
          </cell>
        </row>
        <row r="15">
          <cell r="A15">
            <v>87149990148</v>
          </cell>
          <cell r="B15" t="str">
            <v>腳踏車用把手豎管</v>
          </cell>
          <cell r="C15">
            <v>579527</v>
          </cell>
          <cell r="D15">
            <v>19633</v>
          </cell>
          <cell r="E15">
            <v>0</v>
          </cell>
        </row>
        <row r="16">
          <cell r="A16">
            <v>87149200304</v>
          </cell>
          <cell r="B16" t="str">
            <v>輪圈及輪幅</v>
          </cell>
          <cell r="C16">
            <v>549545</v>
          </cell>
          <cell r="D16">
            <v>14682</v>
          </cell>
          <cell r="E16">
            <v>113408</v>
          </cell>
        </row>
        <row r="17">
          <cell r="A17">
            <v>87149990139</v>
          </cell>
          <cell r="B17" t="str">
            <v>腳踏車用軸心</v>
          </cell>
          <cell r="C17">
            <v>119182</v>
          </cell>
          <cell r="D17">
            <v>10661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86252</v>
          </cell>
          <cell r="D18">
            <v>3859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21493</v>
          </cell>
          <cell r="D19">
            <v>491</v>
          </cell>
          <cell r="E19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231297701</v>
          </cell>
          <cell r="D10">
            <v>3045449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67222887</v>
          </cell>
          <cell r="D11">
            <v>1052234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49213090</v>
          </cell>
          <cell r="D12">
            <v>468200</v>
          </cell>
          <cell r="E12">
            <v>1008984</v>
          </cell>
        </row>
        <row r="13">
          <cell r="A13">
            <v>87149620002</v>
          </cell>
          <cell r="B13" t="str">
            <v>曲柄齒輪及其零件</v>
          </cell>
          <cell r="C13">
            <v>24431379</v>
          </cell>
          <cell r="D13">
            <v>815411</v>
          </cell>
          <cell r="E13">
            <v>0</v>
          </cell>
        </row>
        <row r="14">
          <cell r="A14">
            <v>87149310007</v>
          </cell>
          <cell r="B14" t="str">
            <v>輪轂，但倒煞車輪轂及輪轂煞車除外</v>
          </cell>
          <cell r="C14">
            <v>22235789</v>
          </cell>
          <cell r="D14">
            <v>554266</v>
          </cell>
          <cell r="E14">
            <v>0</v>
          </cell>
        </row>
        <row r="15">
          <cell r="A15">
            <v>87149990111</v>
          </cell>
          <cell r="B15" t="str">
            <v>腳踏車用變速器</v>
          </cell>
          <cell r="C15">
            <v>21259986</v>
          </cell>
          <cell r="D15">
            <v>229152</v>
          </cell>
          <cell r="E15">
            <v>0</v>
          </cell>
        </row>
        <row r="16">
          <cell r="A16">
            <v>87149990166</v>
          </cell>
          <cell r="B16" t="str">
            <v>腳踏車用把手</v>
          </cell>
          <cell r="C16">
            <v>20907370</v>
          </cell>
          <cell r="D16">
            <v>279139</v>
          </cell>
          <cell r="E16">
            <v>0</v>
          </cell>
        </row>
        <row r="17">
          <cell r="A17">
            <v>87149990157</v>
          </cell>
          <cell r="B17" t="str">
            <v>腳踏車用座管及上下管</v>
          </cell>
          <cell r="C17">
            <v>10739565</v>
          </cell>
          <cell r="D17">
            <v>241577</v>
          </cell>
          <cell r="E17">
            <v>0</v>
          </cell>
        </row>
        <row r="18">
          <cell r="A18">
            <v>87149320906</v>
          </cell>
          <cell r="B18" t="str">
            <v>其他飛輪之鏈輪</v>
          </cell>
          <cell r="C18">
            <v>10330112</v>
          </cell>
          <cell r="D18">
            <v>272691</v>
          </cell>
          <cell r="E18">
            <v>0</v>
          </cell>
        </row>
        <row r="19">
          <cell r="A19">
            <v>87149200206</v>
          </cell>
          <cell r="B19" t="str">
            <v>輪幅</v>
          </cell>
          <cell r="C19">
            <v>8793605</v>
          </cell>
          <cell r="D19">
            <v>98245</v>
          </cell>
          <cell r="E19">
            <v>17320185</v>
          </cell>
        </row>
        <row r="20">
          <cell r="A20">
            <v>87149500007</v>
          </cell>
          <cell r="B20" t="str">
            <v>腳踏車車座</v>
          </cell>
          <cell r="C20">
            <v>7765700</v>
          </cell>
          <cell r="D20">
            <v>423186</v>
          </cell>
          <cell r="E20">
            <v>0</v>
          </cell>
        </row>
        <row r="21">
          <cell r="A21">
            <v>87149200304</v>
          </cell>
          <cell r="B21" t="str">
            <v>輪圈及輪幅</v>
          </cell>
          <cell r="C21">
            <v>3734282</v>
          </cell>
          <cell r="D21">
            <v>120045</v>
          </cell>
          <cell r="E21">
            <v>1081544</v>
          </cell>
        </row>
        <row r="22">
          <cell r="A22">
            <v>87149990148</v>
          </cell>
          <cell r="B22" t="str">
            <v>腳踏車用把手豎管</v>
          </cell>
          <cell r="C22">
            <v>3617108</v>
          </cell>
          <cell r="D22">
            <v>116205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2936103</v>
          </cell>
          <cell r="D23">
            <v>177818</v>
          </cell>
          <cell r="E23">
            <v>0</v>
          </cell>
        </row>
        <row r="24">
          <cell r="A24">
            <v>87149990139</v>
          </cell>
          <cell r="B24" t="str">
            <v>腳踏車用軸心</v>
          </cell>
          <cell r="C24">
            <v>702404</v>
          </cell>
          <cell r="D24">
            <v>61528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354822</v>
          </cell>
          <cell r="D25">
            <v>8271</v>
          </cell>
          <cell r="E25">
            <v>0</v>
          </cell>
        </row>
        <row r="26">
          <cell r="A26">
            <v>87149410006</v>
          </cell>
          <cell r="B26" t="str">
            <v>鋼?煞車器及其零件</v>
          </cell>
          <cell r="C26">
            <v>338055</v>
          </cell>
          <cell r="D26">
            <v>17899</v>
          </cell>
          <cell r="E26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>
            <v>87149120007</v>
          </cell>
          <cell r="B3" t="str">
            <v>其他車架及叉及其零件</v>
          </cell>
          <cell r="C3">
            <v>573536087</v>
          </cell>
          <cell r="D3">
            <v>8803392</v>
          </cell>
        </row>
        <row r="4">
          <cell r="A4">
            <v>87149490009</v>
          </cell>
          <cell r="B4" t="str">
            <v>其他煞車器及其零件</v>
          </cell>
          <cell r="C4">
            <v>151600294</v>
          </cell>
          <cell r="D4">
            <v>2894249</v>
          </cell>
        </row>
        <row r="5">
          <cell r="A5">
            <v>87149990111</v>
          </cell>
          <cell r="B5" t="str">
            <v>腳踏車用變速器</v>
          </cell>
          <cell r="C5">
            <v>84915924</v>
          </cell>
          <cell r="D5">
            <v>745864</v>
          </cell>
        </row>
        <row r="6">
          <cell r="A6">
            <v>87149320906</v>
          </cell>
          <cell r="B6" t="str">
            <v>其他飛輪之鏈輪</v>
          </cell>
          <cell r="C6">
            <v>82817323</v>
          </cell>
          <cell r="D6">
            <v>1634833</v>
          </cell>
        </row>
        <row r="7">
          <cell r="A7">
            <v>87149620002</v>
          </cell>
          <cell r="B7" t="str">
            <v>曲柄齒輪及其零件</v>
          </cell>
          <cell r="C7">
            <v>75529590</v>
          </cell>
          <cell r="D7">
            <v>1415412</v>
          </cell>
        </row>
        <row r="8">
          <cell r="A8">
            <v>87149200304</v>
          </cell>
          <cell r="B8" t="str">
            <v>輪圈及輪幅</v>
          </cell>
          <cell r="C8">
            <v>66794618</v>
          </cell>
          <cell r="D8">
            <v>553510</v>
          </cell>
        </row>
        <row r="9">
          <cell r="A9">
            <v>87149990157</v>
          </cell>
          <cell r="B9" t="str">
            <v>腳踏車用座管及上下管</v>
          </cell>
          <cell r="C9">
            <v>48406305</v>
          </cell>
          <cell r="D9">
            <v>1087915</v>
          </cell>
        </row>
        <row r="10">
          <cell r="A10">
            <v>87149990166</v>
          </cell>
          <cell r="B10" t="str">
            <v>腳踏車用把手</v>
          </cell>
          <cell r="C10">
            <v>40458223</v>
          </cell>
          <cell r="D10">
            <v>1177594</v>
          </cell>
        </row>
        <row r="11">
          <cell r="A11">
            <v>87149310007</v>
          </cell>
          <cell r="B11" t="str">
            <v>輪轂，但倒煞車輪轂及輪轂煞車除外</v>
          </cell>
          <cell r="C11">
            <v>39365154</v>
          </cell>
          <cell r="D11">
            <v>720364</v>
          </cell>
        </row>
        <row r="12">
          <cell r="A12">
            <v>87149610004</v>
          </cell>
          <cell r="B12" t="str">
            <v>踏板及其零件</v>
          </cell>
          <cell r="C12">
            <v>36779071</v>
          </cell>
          <cell r="D12">
            <v>1508300</v>
          </cell>
        </row>
        <row r="13">
          <cell r="A13">
            <v>87149200108</v>
          </cell>
          <cell r="B13" t="str">
            <v>輪圈</v>
          </cell>
          <cell r="C13">
            <v>28024984</v>
          </cell>
          <cell r="D13">
            <v>1253577</v>
          </cell>
        </row>
        <row r="14">
          <cell r="A14">
            <v>87149500007</v>
          </cell>
          <cell r="B14" t="str">
            <v>腳踏車車座</v>
          </cell>
          <cell r="C14">
            <v>26942094</v>
          </cell>
          <cell r="D14">
            <v>1065107</v>
          </cell>
        </row>
        <row r="15">
          <cell r="A15">
            <v>87149990148</v>
          </cell>
          <cell r="B15" t="str">
            <v>腳踏車用把手豎管</v>
          </cell>
          <cell r="C15">
            <v>23145673</v>
          </cell>
          <cell r="D15">
            <v>602795</v>
          </cell>
        </row>
        <row r="16">
          <cell r="A16">
            <v>87149200206</v>
          </cell>
          <cell r="B16" t="str">
            <v>輪幅</v>
          </cell>
          <cell r="C16">
            <v>7850629</v>
          </cell>
          <cell r="D16">
            <v>608269</v>
          </cell>
        </row>
        <row r="17">
          <cell r="A17">
            <v>87149410006</v>
          </cell>
          <cell r="B17" t="str">
            <v>鋼?煞車器及其零件</v>
          </cell>
          <cell r="C17">
            <v>3993152</v>
          </cell>
          <cell r="D17">
            <v>147768</v>
          </cell>
        </row>
        <row r="18">
          <cell r="A18">
            <v>87149990139</v>
          </cell>
          <cell r="B18" t="str">
            <v>腳踏車用軸心</v>
          </cell>
          <cell r="C18">
            <v>3035506</v>
          </cell>
          <cell r="D18">
            <v>163271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638836</v>
          </cell>
          <cell r="D19">
            <v>18255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776584372</v>
          </cell>
          <cell r="C3">
            <v>681150</v>
          </cell>
        </row>
        <row r="4">
          <cell r="A4" t="str">
            <v>美國</v>
          </cell>
          <cell r="B4">
            <v>245313168</v>
          </cell>
          <cell r="C4">
            <v>231236</v>
          </cell>
        </row>
        <row r="5">
          <cell r="A5" t="str">
            <v>中國大陸</v>
          </cell>
          <cell r="B5">
            <v>112109183</v>
          </cell>
          <cell r="C5">
            <v>81590</v>
          </cell>
        </row>
        <row r="6">
          <cell r="A6" t="str">
            <v>荷蘭</v>
          </cell>
          <cell r="B6">
            <v>103740030</v>
          </cell>
          <cell r="C6">
            <v>60712</v>
          </cell>
        </row>
        <row r="7">
          <cell r="A7" t="str">
            <v>英國</v>
          </cell>
          <cell r="B7">
            <v>41269343</v>
          </cell>
          <cell r="C7">
            <v>41923</v>
          </cell>
        </row>
        <row r="8">
          <cell r="A8" t="str">
            <v>德國</v>
          </cell>
          <cell r="B8">
            <v>27612512</v>
          </cell>
          <cell r="C8">
            <v>39487</v>
          </cell>
        </row>
        <row r="9">
          <cell r="A9" t="str">
            <v>加拿大</v>
          </cell>
          <cell r="B9">
            <v>27068822</v>
          </cell>
          <cell r="C9">
            <v>18573</v>
          </cell>
        </row>
        <row r="10">
          <cell r="A10" t="str">
            <v>澳大利亞</v>
          </cell>
          <cell r="B10">
            <v>25418807</v>
          </cell>
          <cell r="C10">
            <v>22482</v>
          </cell>
        </row>
        <row r="11">
          <cell r="A11" t="str">
            <v>日本</v>
          </cell>
          <cell r="B11">
            <v>22304250</v>
          </cell>
          <cell r="C11">
            <v>29127</v>
          </cell>
        </row>
        <row r="12">
          <cell r="A12" t="str">
            <v>比利時</v>
          </cell>
          <cell r="B12">
            <v>19547488</v>
          </cell>
          <cell r="C12">
            <v>21077</v>
          </cell>
        </row>
        <row r="13">
          <cell r="A13" t="str">
            <v>西班牙</v>
          </cell>
          <cell r="B13">
            <v>17663201</v>
          </cell>
          <cell r="C13">
            <v>10253</v>
          </cell>
        </row>
        <row r="14">
          <cell r="A14" t="str">
            <v>瑞士</v>
          </cell>
          <cell r="B14">
            <v>16206779</v>
          </cell>
          <cell r="C14">
            <v>10363</v>
          </cell>
        </row>
        <row r="15">
          <cell r="A15" t="str">
            <v>韓國</v>
          </cell>
          <cell r="B15">
            <v>14767837</v>
          </cell>
          <cell r="C15">
            <v>9132</v>
          </cell>
        </row>
        <row r="16">
          <cell r="A16" t="str">
            <v>義大利</v>
          </cell>
          <cell r="B16">
            <v>14182209</v>
          </cell>
          <cell r="C16">
            <v>9760</v>
          </cell>
        </row>
        <row r="17">
          <cell r="A17" t="str">
            <v>法國</v>
          </cell>
          <cell r="B17">
            <v>9391441</v>
          </cell>
          <cell r="C17">
            <v>5984</v>
          </cell>
        </row>
        <row r="18">
          <cell r="A18" t="str">
            <v>挪威</v>
          </cell>
          <cell r="B18">
            <v>6499362</v>
          </cell>
          <cell r="C18">
            <v>8958</v>
          </cell>
        </row>
        <row r="19">
          <cell r="A19" t="str">
            <v>波蘭</v>
          </cell>
          <cell r="B19">
            <v>6194429</v>
          </cell>
          <cell r="C19">
            <v>12217</v>
          </cell>
        </row>
        <row r="20">
          <cell r="A20" t="str">
            <v>南非</v>
          </cell>
          <cell r="B20">
            <v>5057631</v>
          </cell>
          <cell r="C20">
            <v>2457</v>
          </cell>
        </row>
        <row r="21">
          <cell r="A21" t="str">
            <v>巴拿馬</v>
          </cell>
          <cell r="B21">
            <v>4913106</v>
          </cell>
          <cell r="C21">
            <v>2328</v>
          </cell>
        </row>
        <row r="22">
          <cell r="A22" t="str">
            <v>墨西哥</v>
          </cell>
          <cell r="B22">
            <v>4385980</v>
          </cell>
          <cell r="C22">
            <v>3095</v>
          </cell>
        </row>
        <row r="23">
          <cell r="A23" t="str">
            <v>哥倫比亞</v>
          </cell>
          <cell r="B23">
            <v>3871283</v>
          </cell>
          <cell r="C23">
            <v>2455</v>
          </cell>
        </row>
        <row r="24">
          <cell r="A24" t="str">
            <v>捷克</v>
          </cell>
          <cell r="B24">
            <v>3775683</v>
          </cell>
          <cell r="C24">
            <v>6712</v>
          </cell>
        </row>
        <row r="25">
          <cell r="A25" t="str">
            <v>紐西蘭</v>
          </cell>
          <cell r="B25">
            <v>3477905</v>
          </cell>
          <cell r="C25">
            <v>2700</v>
          </cell>
        </row>
        <row r="26">
          <cell r="A26" t="str">
            <v>俄羅斯</v>
          </cell>
          <cell r="B26">
            <v>3409050</v>
          </cell>
          <cell r="C26">
            <v>3239</v>
          </cell>
        </row>
        <row r="27">
          <cell r="A27" t="str">
            <v>香港</v>
          </cell>
          <cell r="B27">
            <v>3310207</v>
          </cell>
          <cell r="C27">
            <v>2413</v>
          </cell>
        </row>
        <row r="28">
          <cell r="A28" t="str">
            <v>瑞典</v>
          </cell>
          <cell r="B28">
            <v>3022579</v>
          </cell>
          <cell r="C28">
            <v>8900</v>
          </cell>
        </row>
        <row r="29">
          <cell r="A29" t="str">
            <v>丹麥</v>
          </cell>
          <cell r="B29">
            <v>2984678</v>
          </cell>
          <cell r="C29">
            <v>10735</v>
          </cell>
        </row>
        <row r="30">
          <cell r="A30" t="str">
            <v>巴西</v>
          </cell>
          <cell r="B30">
            <v>2628827</v>
          </cell>
          <cell r="C30">
            <v>1428</v>
          </cell>
        </row>
        <row r="31">
          <cell r="A31" t="str">
            <v>新加坡</v>
          </cell>
          <cell r="B31">
            <v>2405870</v>
          </cell>
          <cell r="C31">
            <v>1341</v>
          </cell>
        </row>
        <row r="32">
          <cell r="A32" t="str">
            <v>智利</v>
          </cell>
          <cell r="B32">
            <v>2350831</v>
          </cell>
          <cell r="C32">
            <v>1660</v>
          </cell>
        </row>
        <row r="33">
          <cell r="A33" t="str">
            <v>馬來西亞</v>
          </cell>
          <cell r="B33">
            <v>2003869</v>
          </cell>
          <cell r="C33">
            <v>931</v>
          </cell>
        </row>
        <row r="34">
          <cell r="A34" t="str">
            <v>泰國</v>
          </cell>
          <cell r="B34">
            <v>1916528</v>
          </cell>
          <cell r="C34">
            <v>1548</v>
          </cell>
        </row>
        <row r="35">
          <cell r="A35" t="str">
            <v>菲律賓</v>
          </cell>
          <cell r="B35">
            <v>1685955</v>
          </cell>
          <cell r="C35">
            <v>1791</v>
          </cell>
        </row>
        <row r="36">
          <cell r="A36" t="str">
            <v>斯洛維尼亞</v>
          </cell>
          <cell r="B36">
            <v>1647256</v>
          </cell>
          <cell r="C36">
            <v>1375</v>
          </cell>
        </row>
        <row r="37">
          <cell r="A37" t="str">
            <v>阿拉伯聯合大公國</v>
          </cell>
          <cell r="B37">
            <v>1642506</v>
          </cell>
          <cell r="C37">
            <v>1719</v>
          </cell>
        </row>
        <row r="38">
          <cell r="A38" t="str">
            <v>厄瓜多</v>
          </cell>
          <cell r="B38">
            <v>1601514</v>
          </cell>
          <cell r="C38">
            <v>1157</v>
          </cell>
        </row>
        <row r="39">
          <cell r="A39" t="str">
            <v>哥斯大黎加</v>
          </cell>
          <cell r="B39">
            <v>1536523</v>
          </cell>
          <cell r="C39">
            <v>810</v>
          </cell>
        </row>
        <row r="40">
          <cell r="A40" t="str">
            <v>阿根廷</v>
          </cell>
          <cell r="B40">
            <v>1415822</v>
          </cell>
          <cell r="C40">
            <v>669</v>
          </cell>
        </row>
        <row r="41">
          <cell r="A41" t="str">
            <v>印度</v>
          </cell>
          <cell r="B41">
            <v>745011</v>
          </cell>
          <cell r="C41">
            <v>731</v>
          </cell>
        </row>
        <row r="42">
          <cell r="A42" t="str">
            <v>越南</v>
          </cell>
          <cell r="B42">
            <v>668817</v>
          </cell>
          <cell r="C42">
            <v>375</v>
          </cell>
        </row>
        <row r="43">
          <cell r="A43" t="str">
            <v>以色列</v>
          </cell>
          <cell r="B43">
            <v>597392</v>
          </cell>
          <cell r="C43">
            <v>450</v>
          </cell>
        </row>
        <row r="44">
          <cell r="A44" t="str">
            <v>瓜地馬拉</v>
          </cell>
          <cell r="B44">
            <v>593961</v>
          </cell>
          <cell r="C44">
            <v>376</v>
          </cell>
        </row>
        <row r="45">
          <cell r="A45" t="str">
            <v>愛爾蘭</v>
          </cell>
          <cell r="B45">
            <v>454951</v>
          </cell>
          <cell r="C45">
            <v>1148</v>
          </cell>
        </row>
        <row r="46">
          <cell r="A46" t="str">
            <v>盧森堡</v>
          </cell>
          <cell r="B46">
            <v>426812</v>
          </cell>
          <cell r="C46">
            <v>151</v>
          </cell>
        </row>
        <row r="47">
          <cell r="A47" t="str">
            <v>波多黎各</v>
          </cell>
          <cell r="B47">
            <v>410852</v>
          </cell>
          <cell r="C47">
            <v>297</v>
          </cell>
        </row>
        <row r="48">
          <cell r="A48" t="str">
            <v>匈牙利</v>
          </cell>
          <cell r="B48">
            <v>408758</v>
          </cell>
          <cell r="C48">
            <v>565</v>
          </cell>
        </row>
        <row r="49">
          <cell r="A49" t="str">
            <v>烏拉圭</v>
          </cell>
          <cell r="B49">
            <v>368972</v>
          </cell>
          <cell r="C49">
            <v>276</v>
          </cell>
        </row>
        <row r="50">
          <cell r="A50" t="str">
            <v>哈薩克</v>
          </cell>
          <cell r="B50">
            <v>354272</v>
          </cell>
          <cell r="C50">
            <v>208</v>
          </cell>
        </row>
        <row r="51">
          <cell r="A51" t="str">
            <v>關島</v>
          </cell>
          <cell r="B51">
            <v>292417</v>
          </cell>
          <cell r="C51">
            <v>115</v>
          </cell>
        </row>
        <row r="52">
          <cell r="A52" t="str">
            <v>秘魯</v>
          </cell>
          <cell r="B52">
            <v>288478</v>
          </cell>
          <cell r="C52">
            <v>144</v>
          </cell>
        </row>
        <row r="53">
          <cell r="A53" t="str">
            <v>薩爾瓦多</v>
          </cell>
          <cell r="B53">
            <v>257380</v>
          </cell>
          <cell r="C53">
            <v>179</v>
          </cell>
        </row>
        <row r="54">
          <cell r="A54" t="str">
            <v>立陶宛</v>
          </cell>
          <cell r="B54">
            <v>255739</v>
          </cell>
          <cell r="C54">
            <v>466</v>
          </cell>
        </row>
        <row r="55">
          <cell r="A55" t="str">
            <v>印尼</v>
          </cell>
          <cell r="B55">
            <v>241154</v>
          </cell>
          <cell r="C55">
            <v>161</v>
          </cell>
        </row>
        <row r="56">
          <cell r="A56" t="str">
            <v>模里西斯</v>
          </cell>
          <cell r="B56">
            <v>226623</v>
          </cell>
          <cell r="C56">
            <v>166</v>
          </cell>
        </row>
        <row r="57">
          <cell r="A57" t="str">
            <v>愛沙尼亞</v>
          </cell>
          <cell r="B57">
            <v>216361</v>
          </cell>
          <cell r="C57">
            <v>815</v>
          </cell>
        </row>
        <row r="58">
          <cell r="A58" t="str">
            <v>多明尼加</v>
          </cell>
          <cell r="B58">
            <v>194065</v>
          </cell>
          <cell r="C58">
            <v>163</v>
          </cell>
        </row>
        <row r="59">
          <cell r="A59" t="str">
            <v>奧地利</v>
          </cell>
          <cell r="B59">
            <v>149544</v>
          </cell>
          <cell r="C59">
            <v>65</v>
          </cell>
        </row>
        <row r="60">
          <cell r="A60" t="str">
            <v>巴拉圭</v>
          </cell>
          <cell r="B60">
            <v>124658</v>
          </cell>
          <cell r="C60">
            <v>54</v>
          </cell>
        </row>
        <row r="61">
          <cell r="A61" t="str">
            <v>克羅埃西亞</v>
          </cell>
          <cell r="B61">
            <v>117992</v>
          </cell>
          <cell r="C61">
            <v>335</v>
          </cell>
        </row>
        <row r="62">
          <cell r="A62" t="str">
            <v>土耳其</v>
          </cell>
          <cell r="B62">
            <v>105871</v>
          </cell>
          <cell r="C62">
            <v>51</v>
          </cell>
        </row>
        <row r="63">
          <cell r="A63" t="str">
            <v>芬蘭</v>
          </cell>
          <cell r="B63">
            <v>85539</v>
          </cell>
          <cell r="C63">
            <v>137</v>
          </cell>
        </row>
        <row r="64">
          <cell r="A64" t="str">
            <v>柬埔寨</v>
          </cell>
          <cell r="B64">
            <v>78382</v>
          </cell>
          <cell r="C64">
            <v>26</v>
          </cell>
        </row>
        <row r="65">
          <cell r="A65" t="str">
            <v>沙烏地阿拉伯</v>
          </cell>
          <cell r="B65">
            <v>74164</v>
          </cell>
          <cell r="C65">
            <v>400</v>
          </cell>
        </row>
        <row r="66">
          <cell r="A66" t="str">
            <v>尼泊爾</v>
          </cell>
          <cell r="B66">
            <v>67349</v>
          </cell>
          <cell r="C66">
            <v>42</v>
          </cell>
        </row>
        <row r="67">
          <cell r="A67" t="str">
            <v>烏克蘭</v>
          </cell>
          <cell r="B67">
            <v>63160</v>
          </cell>
          <cell r="C67">
            <v>151</v>
          </cell>
        </row>
        <row r="68">
          <cell r="A68" t="str">
            <v>葡萄牙</v>
          </cell>
          <cell r="B68">
            <v>52032</v>
          </cell>
          <cell r="C68">
            <v>23</v>
          </cell>
        </row>
        <row r="69">
          <cell r="A69" t="str">
            <v>留尼旺</v>
          </cell>
          <cell r="B69">
            <v>49075</v>
          </cell>
          <cell r="C69">
            <v>34</v>
          </cell>
        </row>
        <row r="70">
          <cell r="A70" t="str">
            <v>阿魯巴</v>
          </cell>
          <cell r="B70">
            <v>40092</v>
          </cell>
          <cell r="C70">
            <v>25</v>
          </cell>
        </row>
        <row r="71">
          <cell r="A71" t="str">
            <v>蒙古</v>
          </cell>
          <cell r="B71">
            <v>39760</v>
          </cell>
          <cell r="C71">
            <v>35</v>
          </cell>
        </row>
        <row r="72">
          <cell r="A72" t="str">
            <v>吉爾吉斯</v>
          </cell>
          <cell r="B72">
            <v>36139</v>
          </cell>
          <cell r="C72">
            <v>11</v>
          </cell>
        </row>
        <row r="73">
          <cell r="A73" t="str">
            <v>卡達</v>
          </cell>
          <cell r="B73">
            <v>35476</v>
          </cell>
          <cell r="C73">
            <v>33</v>
          </cell>
        </row>
        <row r="74">
          <cell r="A74" t="str">
            <v>委內瑞拉</v>
          </cell>
          <cell r="B74">
            <v>29720</v>
          </cell>
          <cell r="C74">
            <v>24</v>
          </cell>
        </row>
        <row r="75">
          <cell r="A75" t="str">
            <v>保加利亞</v>
          </cell>
          <cell r="B75">
            <v>19564</v>
          </cell>
          <cell r="C75">
            <v>110</v>
          </cell>
        </row>
        <row r="76">
          <cell r="A76" t="str">
            <v>法屬玻里尼西亞</v>
          </cell>
          <cell r="B76">
            <v>18330</v>
          </cell>
          <cell r="C76">
            <v>100</v>
          </cell>
        </row>
        <row r="77">
          <cell r="A77" t="str">
            <v>賽普勒斯</v>
          </cell>
          <cell r="B77">
            <v>17159</v>
          </cell>
          <cell r="C77">
            <v>128</v>
          </cell>
        </row>
        <row r="78">
          <cell r="A78" t="str">
            <v>拉脫維亞</v>
          </cell>
          <cell r="B78">
            <v>16606</v>
          </cell>
          <cell r="C78">
            <v>89</v>
          </cell>
        </row>
        <row r="79">
          <cell r="A79" t="str">
            <v>黎巴嫩</v>
          </cell>
          <cell r="B79">
            <v>10743</v>
          </cell>
          <cell r="C79">
            <v>24</v>
          </cell>
        </row>
        <row r="80">
          <cell r="A80" t="str">
            <v>冰島</v>
          </cell>
          <cell r="B80">
            <v>6535</v>
          </cell>
          <cell r="C80">
            <v>4</v>
          </cell>
        </row>
        <row r="81">
          <cell r="A81" t="str">
            <v>希臘</v>
          </cell>
          <cell r="B81">
            <v>5233</v>
          </cell>
          <cell r="C81">
            <v>34</v>
          </cell>
        </row>
        <row r="82">
          <cell r="A82" t="str">
            <v>蘇利南</v>
          </cell>
          <cell r="B82">
            <v>5147</v>
          </cell>
          <cell r="C82">
            <v>2</v>
          </cell>
        </row>
        <row r="83">
          <cell r="A83" t="str">
            <v>史瓦帝尼王國</v>
          </cell>
          <cell r="B83">
            <v>338</v>
          </cell>
          <cell r="C83">
            <v>4</v>
          </cell>
        </row>
        <row r="84">
          <cell r="A84" t="str">
            <v>馬達加斯加</v>
          </cell>
          <cell r="B84">
            <v>312</v>
          </cell>
          <cell r="C84">
            <v>1</v>
          </cell>
        </row>
        <row r="85">
          <cell r="A85" t="str">
            <v>象牙海岸</v>
          </cell>
          <cell r="B85">
            <v>281</v>
          </cell>
          <cell r="C85">
            <v>55</v>
          </cell>
        </row>
        <row r="86">
          <cell r="A86" t="str">
            <v>多哥</v>
          </cell>
          <cell r="B86">
            <v>219</v>
          </cell>
          <cell r="C86">
            <v>14</v>
          </cell>
        </row>
        <row r="87">
          <cell r="A87" t="str">
            <v>塞內加爾</v>
          </cell>
          <cell r="B87">
            <v>156</v>
          </cell>
          <cell r="C87">
            <v>6</v>
          </cell>
        </row>
        <row r="88">
          <cell r="A88" t="str">
            <v>坦尚尼亞</v>
          </cell>
          <cell r="B88">
            <v>125</v>
          </cell>
          <cell r="C88">
            <v>1</v>
          </cell>
        </row>
        <row r="89">
          <cell r="A89" t="str">
            <v>伊拉克</v>
          </cell>
          <cell r="B89">
            <v>96</v>
          </cell>
          <cell r="C89">
            <v>3</v>
          </cell>
        </row>
        <row r="90">
          <cell r="A90" t="str">
            <v>甘比亞</v>
          </cell>
          <cell r="B90">
            <v>64</v>
          </cell>
          <cell r="C90">
            <v>2</v>
          </cell>
        </row>
        <row r="91">
          <cell r="A91" t="str">
            <v>迦納</v>
          </cell>
          <cell r="B91">
            <v>32</v>
          </cell>
          <cell r="C91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2438955</v>
          </cell>
          <cell r="C3">
            <v>19232</v>
          </cell>
        </row>
        <row r="4">
          <cell r="A4" t="str">
            <v>中國大陸</v>
          </cell>
          <cell r="B4">
            <v>2107968</v>
          </cell>
          <cell r="C4">
            <v>19070</v>
          </cell>
        </row>
        <row r="5">
          <cell r="A5" t="str">
            <v>英國</v>
          </cell>
          <cell r="B5">
            <v>166104</v>
          </cell>
          <cell r="C5">
            <v>105</v>
          </cell>
        </row>
        <row r="6">
          <cell r="A6" t="str">
            <v>德國</v>
          </cell>
          <cell r="B6">
            <v>70102</v>
          </cell>
          <cell r="C6">
            <v>13</v>
          </cell>
        </row>
        <row r="7">
          <cell r="A7" t="str">
            <v>義大利</v>
          </cell>
          <cell r="B7">
            <v>47329</v>
          </cell>
          <cell r="C7">
            <v>9</v>
          </cell>
        </row>
        <row r="8">
          <cell r="A8" t="str">
            <v>美國</v>
          </cell>
          <cell r="B8">
            <v>21087</v>
          </cell>
          <cell r="C8">
            <v>7</v>
          </cell>
        </row>
        <row r="9">
          <cell r="A9" t="str">
            <v>柬埔寨</v>
          </cell>
          <cell r="B9">
            <v>14152</v>
          </cell>
          <cell r="C9">
            <v>12</v>
          </cell>
        </row>
        <row r="10">
          <cell r="A10" t="str">
            <v>奧地利</v>
          </cell>
          <cell r="B10">
            <v>8903</v>
          </cell>
          <cell r="C10">
            <v>3</v>
          </cell>
        </row>
        <row r="11">
          <cell r="A11" t="str">
            <v>西班牙</v>
          </cell>
          <cell r="B11">
            <v>1874</v>
          </cell>
          <cell r="C11">
            <v>1</v>
          </cell>
        </row>
        <row r="12">
          <cell r="A12" t="str">
            <v>日本</v>
          </cell>
          <cell r="B12">
            <v>1186</v>
          </cell>
          <cell r="C12">
            <v>10</v>
          </cell>
        </row>
        <row r="13">
          <cell r="A13" t="str">
            <v>中華民國</v>
          </cell>
          <cell r="B13">
            <v>250</v>
          </cell>
          <cell r="C13">
            <v>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22627428</v>
          </cell>
          <cell r="C3">
            <v>160761</v>
          </cell>
        </row>
        <row r="4">
          <cell r="A4" t="str">
            <v>中國大陸</v>
          </cell>
          <cell r="B4">
            <v>19153495</v>
          </cell>
          <cell r="C4">
            <v>156740</v>
          </cell>
        </row>
        <row r="5">
          <cell r="A5" t="str">
            <v>越南</v>
          </cell>
          <cell r="B5">
            <v>845137</v>
          </cell>
          <cell r="C5">
            <v>762</v>
          </cell>
        </row>
        <row r="6">
          <cell r="A6" t="str">
            <v>中華民國</v>
          </cell>
          <cell r="B6">
            <v>680838</v>
          </cell>
          <cell r="C6">
            <v>1651</v>
          </cell>
        </row>
        <row r="7">
          <cell r="A7" t="str">
            <v>英國</v>
          </cell>
          <cell r="B7">
            <v>632575</v>
          </cell>
          <cell r="C7">
            <v>437</v>
          </cell>
        </row>
        <row r="8">
          <cell r="A8" t="str">
            <v>德國</v>
          </cell>
          <cell r="B8">
            <v>432740</v>
          </cell>
          <cell r="C8">
            <v>80</v>
          </cell>
        </row>
        <row r="9">
          <cell r="A9" t="str">
            <v>柬埔寨</v>
          </cell>
          <cell r="B9">
            <v>272458</v>
          </cell>
          <cell r="C9">
            <v>612</v>
          </cell>
        </row>
        <row r="10">
          <cell r="A10" t="str">
            <v>義大利</v>
          </cell>
          <cell r="B10">
            <v>230972</v>
          </cell>
          <cell r="C10">
            <v>58</v>
          </cell>
        </row>
        <row r="11">
          <cell r="A11" t="str">
            <v>美國</v>
          </cell>
          <cell r="B11">
            <v>130305</v>
          </cell>
          <cell r="C11">
            <v>47</v>
          </cell>
        </row>
        <row r="12">
          <cell r="A12" t="str">
            <v>比利時</v>
          </cell>
          <cell r="B12">
            <v>103833</v>
          </cell>
          <cell r="C12">
            <v>57</v>
          </cell>
        </row>
        <row r="13">
          <cell r="A13" t="str">
            <v>西班牙</v>
          </cell>
          <cell r="B13">
            <v>42834</v>
          </cell>
          <cell r="C13">
            <v>14</v>
          </cell>
        </row>
        <row r="14">
          <cell r="A14" t="str">
            <v>日本</v>
          </cell>
          <cell r="B14">
            <v>31008</v>
          </cell>
          <cell r="C14">
            <v>168</v>
          </cell>
        </row>
        <row r="15">
          <cell r="A15" t="str">
            <v>法國</v>
          </cell>
          <cell r="B15">
            <v>25566</v>
          </cell>
          <cell r="C15">
            <v>11</v>
          </cell>
        </row>
        <row r="16">
          <cell r="A16" t="str">
            <v>新加坡</v>
          </cell>
          <cell r="B16">
            <v>21666</v>
          </cell>
          <cell r="C16">
            <v>11</v>
          </cell>
        </row>
        <row r="17">
          <cell r="A17" t="str">
            <v>奧地利</v>
          </cell>
          <cell r="B17">
            <v>10927</v>
          </cell>
          <cell r="C17">
            <v>4</v>
          </cell>
        </row>
        <row r="18">
          <cell r="A18" t="str">
            <v>孟加拉</v>
          </cell>
          <cell r="B18">
            <v>9813</v>
          </cell>
          <cell r="C18">
            <v>104</v>
          </cell>
        </row>
        <row r="19">
          <cell r="A19" t="str">
            <v>保加利亞</v>
          </cell>
          <cell r="B19">
            <v>2015</v>
          </cell>
          <cell r="C19">
            <v>2</v>
          </cell>
        </row>
        <row r="20">
          <cell r="A20" t="str">
            <v>馬來西亞</v>
          </cell>
          <cell r="B20">
            <v>866</v>
          </cell>
          <cell r="C20">
            <v>1</v>
          </cell>
        </row>
        <row r="21">
          <cell r="A21" t="str">
            <v>荷蘭</v>
          </cell>
          <cell r="B21">
            <v>225</v>
          </cell>
          <cell r="C21">
            <v>1</v>
          </cell>
        </row>
        <row r="22">
          <cell r="A22" t="str">
            <v>瑞士</v>
          </cell>
          <cell r="B22">
            <v>155</v>
          </cell>
          <cell r="C22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40283509</v>
          </cell>
          <cell r="C3">
            <v>19759</v>
          </cell>
        </row>
        <row r="4">
          <cell r="A4" t="str">
            <v>美國</v>
          </cell>
          <cell r="B4">
            <v>13764667</v>
          </cell>
          <cell r="C4">
            <v>6297</v>
          </cell>
        </row>
        <row r="5">
          <cell r="A5" t="str">
            <v>荷蘭</v>
          </cell>
          <cell r="B5">
            <v>11057674</v>
          </cell>
          <cell r="C5">
            <v>5985</v>
          </cell>
        </row>
        <row r="6">
          <cell r="A6" t="str">
            <v>德國</v>
          </cell>
          <cell r="B6">
            <v>2638988</v>
          </cell>
          <cell r="C6">
            <v>1965</v>
          </cell>
        </row>
        <row r="7">
          <cell r="A7" t="str">
            <v>英國</v>
          </cell>
          <cell r="B7">
            <v>2070759</v>
          </cell>
          <cell r="C7">
            <v>1050</v>
          </cell>
        </row>
        <row r="8">
          <cell r="A8" t="str">
            <v>澳大利亞</v>
          </cell>
          <cell r="B8">
            <v>1351765</v>
          </cell>
          <cell r="C8">
            <v>471</v>
          </cell>
        </row>
        <row r="9">
          <cell r="A9" t="str">
            <v>瑞士</v>
          </cell>
          <cell r="B9">
            <v>1298939</v>
          </cell>
          <cell r="C9">
            <v>527</v>
          </cell>
        </row>
        <row r="10">
          <cell r="A10" t="str">
            <v>西班牙</v>
          </cell>
          <cell r="B10">
            <v>1267697</v>
          </cell>
          <cell r="C10">
            <v>588</v>
          </cell>
        </row>
        <row r="11">
          <cell r="A11" t="str">
            <v>加拿大</v>
          </cell>
          <cell r="B11">
            <v>1243956</v>
          </cell>
          <cell r="C11">
            <v>510</v>
          </cell>
        </row>
        <row r="12">
          <cell r="A12" t="str">
            <v>義大利</v>
          </cell>
          <cell r="B12">
            <v>1033739</v>
          </cell>
          <cell r="C12">
            <v>437</v>
          </cell>
        </row>
        <row r="13">
          <cell r="A13" t="str">
            <v>紐西蘭</v>
          </cell>
          <cell r="B13">
            <v>814653</v>
          </cell>
          <cell r="C13">
            <v>322</v>
          </cell>
        </row>
        <row r="14">
          <cell r="A14" t="str">
            <v>南非</v>
          </cell>
          <cell r="B14">
            <v>630834</v>
          </cell>
          <cell r="C14">
            <v>257</v>
          </cell>
        </row>
        <row r="15">
          <cell r="A15" t="str">
            <v>法國</v>
          </cell>
          <cell r="B15">
            <v>493752</v>
          </cell>
          <cell r="C15">
            <v>275</v>
          </cell>
        </row>
        <row r="16">
          <cell r="A16" t="str">
            <v>丹麥</v>
          </cell>
          <cell r="B16">
            <v>485911</v>
          </cell>
          <cell r="C16">
            <v>274</v>
          </cell>
        </row>
        <row r="17">
          <cell r="A17" t="str">
            <v>中國大陸</v>
          </cell>
          <cell r="B17">
            <v>328210</v>
          </cell>
          <cell r="C17">
            <v>96</v>
          </cell>
        </row>
        <row r="18">
          <cell r="A18" t="str">
            <v>日本</v>
          </cell>
          <cell r="B18">
            <v>310465</v>
          </cell>
          <cell r="C18">
            <v>114</v>
          </cell>
        </row>
        <row r="19">
          <cell r="A19" t="str">
            <v>波蘭</v>
          </cell>
          <cell r="B19">
            <v>289253</v>
          </cell>
          <cell r="C19">
            <v>142</v>
          </cell>
        </row>
        <row r="20">
          <cell r="A20" t="str">
            <v>智利</v>
          </cell>
          <cell r="B20">
            <v>271196</v>
          </cell>
          <cell r="C20">
            <v>94</v>
          </cell>
        </row>
        <row r="21">
          <cell r="A21" t="str">
            <v>巴拿馬</v>
          </cell>
          <cell r="B21">
            <v>225430</v>
          </cell>
          <cell r="C21">
            <v>71</v>
          </cell>
        </row>
        <row r="22">
          <cell r="A22" t="str">
            <v>哥倫比亞</v>
          </cell>
          <cell r="B22">
            <v>179788</v>
          </cell>
          <cell r="C22">
            <v>77</v>
          </cell>
        </row>
        <row r="23">
          <cell r="A23" t="str">
            <v>韓國</v>
          </cell>
          <cell r="B23">
            <v>154389</v>
          </cell>
          <cell r="C23">
            <v>50</v>
          </cell>
        </row>
        <row r="24">
          <cell r="A24" t="str">
            <v>哥斯大黎加</v>
          </cell>
          <cell r="B24">
            <v>80537</v>
          </cell>
          <cell r="C24">
            <v>26</v>
          </cell>
        </row>
        <row r="25">
          <cell r="A25" t="str">
            <v>多明尼加</v>
          </cell>
          <cell r="B25">
            <v>78538</v>
          </cell>
          <cell r="C25">
            <v>31</v>
          </cell>
        </row>
        <row r="26">
          <cell r="A26" t="str">
            <v>巴西</v>
          </cell>
          <cell r="B26">
            <v>62261</v>
          </cell>
          <cell r="C26">
            <v>28</v>
          </cell>
        </row>
        <row r="27">
          <cell r="A27" t="str">
            <v>墨西哥</v>
          </cell>
          <cell r="B27">
            <v>49640</v>
          </cell>
          <cell r="C27">
            <v>27</v>
          </cell>
        </row>
        <row r="28">
          <cell r="A28" t="str">
            <v>馬來西亞</v>
          </cell>
          <cell r="B28">
            <v>33708</v>
          </cell>
          <cell r="C28">
            <v>13</v>
          </cell>
        </row>
        <row r="29">
          <cell r="A29" t="str">
            <v>以色列</v>
          </cell>
          <cell r="B29">
            <v>26585</v>
          </cell>
          <cell r="C29">
            <v>17</v>
          </cell>
        </row>
        <row r="30">
          <cell r="A30" t="str">
            <v>阿拉伯聯合大公國</v>
          </cell>
          <cell r="B30">
            <v>14652</v>
          </cell>
          <cell r="C30">
            <v>4</v>
          </cell>
        </row>
        <row r="31">
          <cell r="A31" t="str">
            <v>秘魯</v>
          </cell>
          <cell r="B31">
            <v>13152</v>
          </cell>
          <cell r="C31">
            <v>6</v>
          </cell>
        </row>
        <row r="32">
          <cell r="A32" t="str">
            <v>香港</v>
          </cell>
          <cell r="B32">
            <v>9466</v>
          </cell>
          <cell r="C32">
            <v>3</v>
          </cell>
        </row>
        <row r="33">
          <cell r="A33" t="str">
            <v>菲律賓</v>
          </cell>
          <cell r="B33">
            <v>2218</v>
          </cell>
          <cell r="C33">
            <v>1</v>
          </cell>
        </row>
        <row r="34">
          <cell r="A34" t="str">
            <v>泰國</v>
          </cell>
          <cell r="B34">
            <v>687</v>
          </cell>
          <cell r="C3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3">
          <cell r="A3" t="str">
            <v>總計</v>
          </cell>
          <cell r="B3">
            <v>520192016</v>
          </cell>
          <cell r="C3">
            <v>280954</v>
          </cell>
        </row>
        <row r="4">
          <cell r="A4" t="str">
            <v>美國</v>
          </cell>
          <cell r="B4">
            <v>164054749</v>
          </cell>
          <cell r="C4">
            <v>78294</v>
          </cell>
        </row>
        <row r="5">
          <cell r="A5" t="str">
            <v>荷蘭</v>
          </cell>
          <cell r="B5">
            <v>149823419</v>
          </cell>
          <cell r="C5">
            <v>85618</v>
          </cell>
        </row>
        <row r="6">
          <cell r="A6" t="str">
            <v>德國</v>
          </cell>
          <cell r="B6">
            <v>36359105</v>
          </cell>
          <cell r="C6">
            <v>27676</v>
          </cell>
        </row>
        <row r="7">
          <cell r="A7" t="str">
            <v>英國</v>
          </cell>
          <cell r="B7">
            <v>25810119</v>
          </cell>
          <cell r="C7">
            <v>16237</v>
          </cell>
        </row>
        <row r="8">
          <cell r="A8" t="str">
            <v>加拿大</v>
          </cell>
          <cell r="B8">
            <v>19140915</v>
          </cell>
          <cell r="C8">
            <v>9579</v>
          </cell>
        </row>
        <row r="9">
          <cell r="A9" t="str">
            <v>瑞士</v>
          </cell>
          <cell r="B9">
            <v>17597740</v>
          </cell>
          <cell r="C9">
            <v>7427</v>
          </cell>
        </row>
        <row r="10">
          <cell r="A10" t="str">
            <v>保加利亞</v>
          </cell>
          <cell r="B10">
            <v>14138506</v>
          </cell>
          <cell r="C10">
            <v>7160</v>
          </cell>
        </row>
        <row r="11">
          <cell r="A11" t="str">
            <v>義大利</v>
          </cell>
          <cell r="B11">
            <v>14060450</v>
          </cell>
          <cell r="C11">
            <v>6345</v>
          </cell>
        </row>
        <row r="12">
          <cell r="A12" t="str">
            <v>西班牙</v>
          </cell>
          <cell r="B12">
            <v>12414968</v>
          </cell>
          <cell r="C12">
            <v>5996</v>
          </cell>
        </row>
        <row r="13">
          <cell r="A13" t="str">
            <v>澳大利亞</v>
          </cell>
          <cell r="B13">
            <v>10825233</v>
          </cell>
          <cell r="C13">
            <v>4828</v>
          </cell>
        </row>
        <row r="14">
          <cell r="A14" t="str">
            <v>法國</v>
          </cell>
          <cell r="B14">
            <v>8020814</v>
          </cell>
          <cell r="C14">
            <v>5460</v>
          </cell>
        </row>
        <row r="15">
          <cell r="A15" t="str">
            <v>挪威</v>
          </cell>
          <cell r="B15">
            <v>7204796</v>
          </cell>
          <cell r="C15">
            <v>4039</v>
          </cell>
        </row>
        <row r="16">
          <cell r="A16" t="str">
            <v>韓國</v>
          </cell>
          <cell r="B16">
            <v>6908733</v>
          </cell>
          <cell r="C16">
            <v>3235</v>
          </cell>
        </row>
        <row r="17">
          <cell r="A17" t="str">
            <v>紐西蘭</v>
          </cell>
          <cell r="B17">
            <v>5837947</v>
          </cell>
          <cell r="C17">
            <v>2364</v>
          </cell>
        </row>
        <row r="18">
          <cell r="A18" t="str">
            <v>巴拿馬</v>
          </cell>
          <cell r="B18">
            <v>4557658</v>
          </cell>
          <cell r="C18">
            <v>1720</v>
          </cell>
        </row>
        <row r="19">
          <cell r="A19" t="str">
            <v>丹麥</v>
          </cell>
          <cell r="B19">
            <v>3491568</v>
          </cell>
          <cell r="C19">
            <v>2176</v>
          </cell>
        </row>
        <row r="20">
          <cell r="A20" t="str">
            <v>南非</v>
          </cell>
          <cell r="B20">
            <v>3452576</v>
          </cell>
          <cell r="C20">
            <v>1351</v>
          </cell>
        </row>
        <row r="21">
          <cell r="A21" t="str">
            <v>日本</v>
          </cell>
          <cell r="B21">
            <v>3310178</v>
          </cell>
          <cell r="C21">
            <v>2752</v>
          </cell>
        </row>
        <row r="22">
          <cell r="A22" t="str">
            <v>比利時</v>
          </cell>
          <cell r="B22">
            <v>3023253</v>
          </cell>
          <cell r="C22">
            <v>1173</v>
          </cell>
        </row>
        <row r="23">
          <cell r="A23" t="str">
            <v>波蘭</v>
          </cell>
          <cell r="B23">
            <v>1424561</v>
          </cell>
          <cell r="C23">
            <v>710</v>
          </cell>
        </row>
        <row r="24">
          <cell r="A24" t="str">
            <v>捷克</v>
          </cell>
          <cell r="B24">
            <v>1391907</v>
          </cell>
          <cell r="C24">
            <v>1444</v>
          </cell>
        </row>
        <row r="25">
          <cell r="A25" t="str">
            <v>瑞典</v>
          </cell>
          <cell r="B25">
            <v>1038824</v>
          </cell>
          <cell r="C25">
            <v>2580</v>
          </cell>
        </row>
        <row r="26">
          <cell r="A26" t="str">
            <v>以色列</v>
          </cell>
          <cell r="B26">
            <v>965629</v>
          </cell>
          <cell r="C26">
            <v>349</v>
          </cell>
        </row>
        <row r="27">
          <cell r="A27" t="str">
            <v>墨西哥</v>
          </cell>
          <cell r="B27">
            <v>648059</v>
          </cell>
          <cell r="C27">
            <v>357</v>
          </cell>
        </row>
        <row r="28">
          <cell r="A28" t="str">
            <v>芬蘭</v>
          </cell>
          <cell r="B28">
            <v>601583</v>
          </cell>
          <cell r="C28">
            <v>405</v>
          </cell>
        </row>
        <row r="29">
          <cell r="A29" t="str">
            <v>奧地利</v>
          </cell>
          <cell r="B29">
            <v>518810</v>
          </cell>
          <cell r="C29">
            <v>223</v>
          </cell>
        </row>
        <row r="30">
          <cell r="A30" t="str">
            <v>中國大陸</v>
          </cell>
          <cell r="B30">
            <v>518624</v>
          </cell>
          <cell r="C30">
            <v>172</v>
          </cell>
        </row>
        <row r="31">
          <cell r="A31" t="str">
            <v>多明尼加</v>
          </cell>
          <cell r="B31">
            <v>424489</v>
          </cell>
          <cell r="C31">
            <v>159</v>
          </cell>
        </row>
        <row r="32">
          <cell r="A32" t="str">
            <v>馬來西亞</v>
          </cell>
          <cell r="B32">
            <v>383243</v>
          </cell>
          <cell r="C32">
            <v>142</v>
          </cell>
        </row>
        <row r="33">
          <cell r="A33" t="str">
            <v>匈牙利</v>
          </cell>
          <cell r="B33">
            <v>379576</v>
          </cell>
          <cell r="C33">
            <v>195</v>
          </cell>
        </row>
        <row r="34">
          <cell r="A34" t="str">
            <v>智利</v>
          </cell>
          <cell r="B34">
            <v>324924</v>
          </cell>
          <cell r="C34">
            <v>121</v>
          </cell>
        </row>
        <row r="35">
          <cell r="A35" t="str">
            <v>哥斯大黎加</v>
          </cell>
          <cell r="B35">
            <v>200451</v>
          </cell>
          <cell r="C35">
            <v>71</v>
          </cell>
        </row>
        <row r="36">
          <cell r="A36" t="str">
            <v>哥倫比亞</v>
          </cell>
          <cell r="B36">
            <v>179788</v>
          </cell>
          <cell r="C36">
            <v>77</v>
          </cell>
        </row>
        <row r="37">
          <cell r="A37" t="str">
            <v>秘魯</v>
          </cell>
          <cell r="B37">
            <v>169456</v>
          </cell>
          <cell r="C37">
            <v>46</v>
          </cell>
        </row>
        <row r="38">
          <cell r="A38" t="str">
            <v>厄瓜多</v>
          </cell>
          <cell r="B38">
            <v>148261</v>
          </cell>
          <cell r="C38">
            <v>51</v>
          </cell>
        </row>
        <row r="39">
          <cell r="A39" t="str">
            <v>阿拉伯聯合大公國</v>
          </cell>
          <cell r="B39">
            <v>114347</v>
          </cell>
          <cell r="C39">
            <v>69</v>
          </cell>
        </row>
        <row r="40">
          <cell r="A40" t="str">
            <v>冰島</v>
          </cell>
          <cell r="B40">
            <v>109850</v>
          </cell>
          <cell r="C40">
            <v>45</v>
          </cell>
        </row>
        <row r="41">
          <cell r="A41" t="str">
            <v>瓜地馬拉</v>
          </cell>
          <cell r="B41">
            <v>67717</v>
          </cell>
          <cell r="C41">
            <v>69</v>
          </cell>
        </row>
        <row r="42">
          <cell r="A42" t="str">
            <v>巴西</v>
          </cell>
          <cell r="B42">
            <v>66933</v>
          </cell>
          <cell r="C42">
            <v>30</v>
          </cell>
        </row>
        <row r="43">
          <cell r="A43" t="str">
            <v>波多黎各</v>
          </cell>
          <cell r="B43">
            <v>63664</v>
          </cell>
          <cell r="C43">
            <v>21</v>
          </cell>
        </row>
        <row r="44">
          <cell r="A44" t="str">
            <v>愛爾蘭</v>
          </cell>
          <cell r="B44">
            <v>62350</v>
          </cell>
          <cell r="C44">
            <v>52</v>
          </cell>
        </row>
        <row r="45">
          <cell r="A45" t="str">
            <v>關島</v>
          </cell>
          <cell r="B45">
            <v>55327</v>
          </cell>
          <cell r="C45">
            <v>11</v>
          </cell>
        </row>
        <row r="46">
          <cell r="A46" t="str">
            <v>薩爾瓦多</v>
          </cell>
          <cell r="B46">
            <v>54838</v>
          </cell>
          <cell r="C46">
            <v>16</v>
          </cell>
        </row>
        <row r="47">
          <cell r="A47" t="str">
            <v>留尼旺</v>
          </cell>
          <cell r="B47">
            <v>51481</v>
          </cell>
          <cell r="C47">
            <v>20</v>
          </cell>
        </row>
        <row r="48">
          <cell r="A48" t="str">
            <v>委內瑞拉</v>
          </cell>
          <cell r="B48">
            <v>51117</v>
          </cell>
          <cell r="C48">
            <v>18</v>
          </cell>
        </row>
        <row r="49">
          <cell r="A49" t="str">
            <v>肯亞</v>
          </cell>
          <cell r="B49">
            <v>40467</v>
          </cell>
          <cell r="C49">
            <v>19</v>
          </cell>
        </row>
        <row r="50">
          <cell r="A50" t="str">
            <v>香港</v>
          </cell>
          <cell r="B50">
            <v>28667</v>
          </cell>
          <cell r="C50">
            <v>12</v>
          </cell>
        </row>
        <row r="51">
          <cell r="A51" t="str">
            <v>阿根廷</v>
          </cell>
          <cell r="B51">
            <v>26511</v>
          </cell>
          <cell r="C51">
            <v>10</v>
          </cell>
        </row>
        <row r="52">
          <cell r="A52" t="str">
            <v>印尼</v>
          </cell>
          <cell r="B52">
            <v>13279</v>
          </cell>
          <cell r="C52">
            <v>3</v>
          </cell>
        </row>
        <row r="53">
          <cell r="A53" t="str">
            <v>菲律賓</v>
          </cell>
          <cell r="B53">
            <v>10992</v>
          </cell>
          <cell r="C53">
            <v>3</v>
          </cell>
        </row>
        <row r="54">
          <cell r="A54" t="str">
            <v>葡萄牙</v>
          </cell>
          <cell r="B54">
            <v>9282</v>
          </cell>
          <cell r="C54">
            <v>12</v>
          </cell>
        </row>
        <row r="55">
          <cell r="A55" t="str">
            <v>印度</v>
          </cell>
          <cell r="B55">
            <v>7631</v>
          </cell>
          <cell r="C55">
            <v>4</v>
          </cell>
        </row>
        <row r="56">
          <cell r="A56" t="str">
            <v>泰國</v>
          </cell>
          <cell r="B56">
            <v>6311</v>
          </cell>
          <cell r="C56">
            <v>7</v>
          </cell>
        </row>
        <row r="57">
          <cell r="A57" t="str">
            <v>馬紹爾群島共和國</v>
          </cell>
          <cell r="B57">
            <v>340</v>
          </cell>
          <cell r="C5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topLeftCell="A52" zoomScaleNormal="100" workbookViewId="0">
      <selection activeCell="G67" sqref="G67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485</v>
      </c>
      <c r="B1" s="2"/>
      <c r="C1" s="2"/>
      <c r="D1" s="3"/>
      <c r="E1" s="2"/>
      <c r="F1" s="2"/>
      <c r="G1" s="2"/>
      <c r="H1" s="2"/>
      <c r="I1" s="3"/>
    </row>
    <row r="2" spans="1:9" ht="9.75" customHeight="1"/>
    <row r="3" spans="1:9" s="7" customFormat="1">
      <c r="A3" s="590" t="s">
        <v>104</v>
      </c>
      <c r="B3" s="591"/>
      <c r="C3" s="591"/>
      <c r="D3" s="591"/>
      <c r="E3" s="591"/>
      <c r="F3" s="591"/>
      <c r="G3" s="591"/>
      <c r="H3" s="591"/>
      <c r="I3" s="592"/>
    </row>
    <row r="4" spans="1:9" s="13" customFormat="1">
      <c r="A4" s="8" t="s">
        <v>481</v>
      </c>
      <c r="B4" s="8" t="s">
        <v>482</v>
      </c>
      <c r="C4" s="8" t="s">
        <v>483</v>
      </c>
      <c r="D4" s="9" t="s">
        <v>0</v>
      </c>
      <c r="E4" s="10" t="s">
        <v>484</v>
      </c>
      <c r="F4" s="11" t="s">
        <v>1</v>
      </c>
      <c r="G4" s="8" t="s">
        <v>486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27451</v>
      </c>
      <c r="C7" s="22">
        <f>SUM(C8:C10)</f>
        <v>28175159</v>
      </c>
      <c r="D7" s="23">
        <f>IF(B7,C7/B7,0)</f>
        <v>1026.3800590142437</v>
      </c>
      <c r="E7" s="206">
        <f>SUM(E8:E10)</f>
        <v>252904</v>
      </c>
      <c r="F7" s="24">
        <f>E7/$E$67</f>
        <v>0.3712897306026573</v>
      </c>
      <c r="G7" s="21">
        <f>SUM(G8:G10)</f>
        <v>276767970</v>
      </c>
      <c r="H7" s="24">
        <f t="shared" ref="H7:H9" si="0">G7/$G$67</f>
        <v>0.35639137224358153</v>
      </c>
      <c r="I7" s="25">
        <f>IF(E7,G7/E7,0)</f>
        <v>1094.3597966026634</v>
      </c>
    </row>
    <row r="8" spans="1:9">
      <c r="A8" s="425" t="s">
        <v>197</v>
      </c>
      <c r="B8" s="27">
        <f>VLOOKUP(A8,[1]進出口值表查詢結果!$A$3:$C$50,3,0)</f>
        <v>25755</v>
      </c>
      <c r="C8" s="28">
        <f>VLOOKUP(A8,[1]進出口值表查詢結果!$A$3:$C$50,2,0)</f>
        <v>25213649</v>
      </c>
      <c r="D8" s="23">
        <f t="shared" ref="D8:D66" si="1">IF(B8,C8/B8,0)</f>
        <v>978.98074160357214</v>
      </c>
      <c r="E8" s="28">
        <f>VLOOKUP(A8,[2]進出口值表查詢結果!$A$3:$C$91,3,0)</f>
        <v>231236</v>
      </c>
      <c r="F8" s="29">
        <f>E8/$E$67</f>
        <v>0.33947882257946121</v>
      </c>
      <c r="G8" s="27">
        <f>VLOOKUP(A8,[2]進出口值表查詢結果!$A$3:$C$91,2,0)</f>
        <v>245313168</v>
      </c>
      <c r="H8" s="24">
        <f t="shared" si="0"/>
        <v>0.31588733542013642</v>
      </c>
      <c r="I8" s="25">
        <f t="shared" ref="I8:I66" si="2">IF(E8,G8/E8,0)</f>
        <v>1060.8779255825218</v>
      </c>
    </row>
    <row r="9" spans="1:9">
      <c r="A9" s="426" t="s">
        <v>6</v>
      </c>
      <c r="B9" s="27">
        <f>VLOOKUP(A9,[1]進出口值表查詢結果!$A$3:$C$50,3,0)</f>
        <v>1270</v>
      </c>
      <c r="C9" s="28">
        <f>VLOOKUP(A9,[1]進出口值表查詢結果!$A$3:$C$50,2,0)</f>
        <v>2348482</v>
      </c>
      <c r="D9" s="23">
        <f t="shared" si="1"/>
        <v>1849.1984251968504</v>
      </c>
      <c r="E9" s="28">
        <f>VLOOKUP(A9,[2]進出口值表查詢結果!$A$3:$C$91,3,0)</f>
        <v>18573</v>
      </c>
      <c r="F9" s="29">
        <f>E9/$E$67</f>
        <v>2.7267121779343758E-2</v>
      </c>
      <c r="G9" s="27">
        <f>VLOOKUP(A9,[2]進出口值表查詢結果!$A$3:$C$91,2,0)</f>
        <v>27068822</v>
      </c>
      <c r="H9" s="24">
        <f t="shared" si="0"/>
        <v>3.4856253841791189E-2</v>
      </c>
      <c r="I9" s="25">
        <f t="shared" si="2"/>
        <v>1457.4286329618262</v>
      </c>
    </row>
    <row r="10" spans="1:9">
      <c r="A10" s="426" t="s">
        <v>7</v>
      </c>
      <c r="B10" s="27">
        <f>VLOOKUP(A10,[1]進出口值表查詢結果!$A$3:$C$50,3,0)</f>
        <v>426</v>
      </c>
      <c r="C10" s="28">
        <f>VLOOKUP(A10,[1]進出口值表查詢結果!$A$3:$C$50,2,0)</f>
        <v>613028</v>
      </c>
      <c r="D10" s="23">
        <f t="shared" si="1"/>
        <v>1439.0328638497654</v>
      </c>
      <c r="E10" s="28">
        <f>VLOOKUP(A10,[2]進出口值表查詢結果!$A$3:$C$91,3,0)</f>
        <v>3095</v>
      </c>
      <c r="F10" s="29">
        <f>E10/$E$67</f>
        <v>4.5437862438523083E-3</v>
      </c>
      <c r="G10" s="27">
        <f>VLOOKUP(A10,[2]進出口值表查詢結果!$A$3:$C$91,2,0)</f>
        <v>4385980</v>
      </c>
      <c r="H10" s="24">
        <f t="shared" ref="H10:H39" si="3">G10/$G$67</f>
        <v>5.6477829816539236E-3</v>
      </c>
      <c r="I10" s="25">
        <f t="shared" si="2"/>
        <v>1417.1179321486268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15235</v>
      </c>
      <c r="C12" s="33">
        <f>SUM(C13:C39)</f>
        <v>15807907</v>
      </c>
      <c r="D12" s="23">
        <f t="shared" si="1"/>
        <v>1037.6046603216278</v>
      </c>
      <c r="E12" s="33">
        <f>SUM(E13:E39)</f>
        <v>191278</v>
      </c>
      <c r="F12" s="24">
        <f t="shared" ref="F12:F27" si="4">E12/$E$67</f>
        <v>0.28081626660794246</v>
      </c>
      <c r="G12" s="33">
        <f>SUM(G13:G39)</f>
        <v>211987796</v>
      </c>
      <c r="H12" s="24">
        <f t="shared" si="3"/>
        <v>0.27297458414473474</v>
      </c>
      <c r="I12" s="25">
        <f t="shared" si="2"/>
        <v>1108.2706636414016</v>
      </c>
    </row>
    <row r="13" spans="1:9">
      <c r="A13" s="425" t="s">
        <v>198</v>
      </c>
      <c r="B13" s="27">
        <f>VLOOKUP(A13,[1]進出口值表查詢結果!$A$3:$C$50,3,0)</f>
        <v>3068</v>
      </c>
      <c r="C13" s="28">
        <f>VLOOKUP(A13,[1]進出口值表查詢結果!$A$3:$C$50,2,0)</f>
        <v>5621212</v>
      </c>
      <c r="D13" s="23">
        <f t="shared" si="1"/>
        <v>1832.2073011734028</v>
      </c>
      <c r="E13" s="28">
        <f>VLOOKUP(A13,[2]進出口值表查詢結果!$A$3:$C$91,3,0)</f>
        <v>60712</v>
      </c>
      <c r="F13" s="29">
        <f t="shared" si="4"/>
        <v>8.9131615650003673E-2</v>
      </c>
      <c r="G13" s="27">
        <f>VLOOKUP(A13,[2]進出口值表查詢結果!$A$3:$C$91,2,0)</f>
        <v>103740030</v>
      </c>
      <c r="H13" s="24">
        <f t="shared" si="3"/>
        <v>0.13358500858423147</v>
      </c>
      <c r="I13" s="25">
        <f t="shared" si="2"/>
        <v>1708.7236460666754</v>
      </c>
    </row>
    <row r="14" spans="1:9">
      <c r="A14" s="425" t="s">
        <v>199</v>
      </c>
      <c r="B14" s="27">
        <f>VLOOKUP(A14,[1]進出口值表查詢結果!$A$3:$C$50,3,0)</f>
        <v>4728</v>
      </c>
      <c r="C14" s="28">
        <f>VLOOKUP(A14,[1]進出口值表查詢結果!$A$3:$C$50,2,0)</f>
        <v>1927961</v>
      </c>
      <c r="D14" s="23">
        <f t="shared" si="1"/>
        <v>407.77516920473772</v>
      </c>
      <c r="E14" s="28">
        <f>VLOOKUP(A14,[2]進出口值表查詢結果!$A$3:$C$91,3,0)</f>
        <v>39487</v>
      </c>
      <c r="F14" s="29">
        <f t="shared" si="4"/>
        <v>5.7971078323423623E-2</v>
      </c>
      <c r="G14" s="27">
        <f>VLOOKUP(A14,[2]進出口值表查詢結果!$A$3:$C$91,2,0)</f>
        <v>27612512</v>
      </c>
      <c r="H14" s="24">
        <f t="shared" si="3"/>
        <v>3.5556358066912014E-2</v>
      </c>
      <c r="I14" s="25">
        <f t="shared" si="2"/>
        <v>699.28107984906421</v>
      </c>
    </row>
    <row r="15" spans="1:9">
      <c r="A15" s="426" t="s">
        <v>9</v>
      </c>
      <c r="B15" s="27">
        <f>VLOOKUP(A15,[1]進出口值表查詢結果!$A$3:$C$50,3,0)</f>
        <v>1148</v>
      </c>
      <c r="C15" s="28">
        <f>VLOOKUP(A15,[1]進出口值表查詢結果!$A$3:$C$50,2,0)</f>
        <v>1887129</v>
      </c>
      <c r="D15" s="23">
        <f t="shared" si="1"/>
        <v>1643.8405923344949</v>
      </c>
      <c r="E15" s="28">
        <f>VLOOKUP(A15,[2]進出口值表查詢結果!$A$3:$C$91,3,0)</f>
        <v>10253</v>
      </c>
      <c r="F15" s="29">
        <f t="shared" si="4"/>
        <v>1.5052484768406371E-2</v>
      </c>
      <c r="G15" s="27">
        <f>VLOOKUP(A15,[2]進出口值表查詢結果!$A$3:$C$91,2,0)</f>
        <v>17663201</v>
      </c>
      <c r="H15" s="24">
        <f t="shared" si="3"/>
        <v>2.274472888826045E-2</v>
      </c>
      <c r="I15" s="25">
        <f t="shared" si="2"/>
        <v>1722.7349068565297</v>
      </c>
    </row>
    <row r="16" spans="1:9">
      <c r="A16" s="425" t="s">
        <v>200</v>
      </c>
      <c r="B16" s="27">
        <f>VLOOKUP(A16,[1]進出口值表查詢結果!$A$3:$C$50,3,0)</f>
        <v>1085</v>
      </c>
      <c r="C16" s="28">
        <f>VLOOKUP(A16,[1]進出口值表查詢結果!$A$3:$C$50,2,0)</f>
        <v>2071885</v>
      </c>
      <c r="D16" s="23">
        <f t="shared" si="1"/>
        <v>1909.5714285714287</v>
      </c>
      <c r="E16" s="28">
        <f>VLOOKUP(A16,[2]進出口值表查詢結果!$A$3:$C$91,3,0)</f>
        <v>5984</v>
      </c>
      <c r="F16" s="29">
        <f t="shared" si="4"/>
        <v>8.7851427732511186E-3</v>
      </c>
      <c r="G16" s="27">
        <f>VLOOKUP(A16,[2]進出口值表查詢結果!$A$3:$C$91,2,0)</f>
        <v>9391441</v>
      </c>
      <c r="H16" s="24">
        <f t="shared" si="3"/>
        <v>1.2093265508052228E-2</v>
      </c>
      <c r="I16" s="25">
        <f t="shared" si="2"/>
        <v>1569.425300802139</v>
      </c>
    </row>
    <row r="17" spans="1:9">
      <c r="A17" s="426" t="s">
        <v>10</v>
      </c>
      <c r="B17" s="27">
        <f>VLOOKUP(A17,[1]進出口值表查詢結果!$A$3:$C$50,3,0)</f>
        <v>693</v>
      </c>
      <c r="C17" s="28">
        <f>VLOOKUP(A17,[1]進出口值表查詢結果!$A$3:$C$50,2,0)</f>
        <v>1049922</v>
      </c>
      <c r="D17" s="23">
        <f t="shared" si="1"/>
        <v>1515.0389610389611</v>
      </c>
      <c r="E17" s="28">
        <f>VLOOKUP(A17,[2]進出口值表查詢結果!$A$3:$C$91,3,0)</f>
        <v>9760</v>
      </c>
      <c r="F17" s="29">
        <f t="shared" si="4"/>
        <v>1.4328708801291933E-2</v>
      </c>
      <c r="G17" s="27">
        <f>VLOOKUP(A17,[2]進出口值表查詢結果!$A$3:$C$91,2,0)</f>
        <v>14182209</v>
      </c>
      <c r="H17" s="24">
        <f t="shared" si="3"/>
        <v>1.8262289985923125E-2</v>
      </c>
      <c r="I17" s="25">
        <f t="shared" si="2"/>
        <v>1453.0951844262295</v>
      </c>
    </row>
    <row r="18" spans="1:9">
      <c r="A18" s="426" t="s">
        <v>11</v>
      </c>
      <c r="B18" s="27">
        <f>VLOOKUP(A18,[1]進出口值表查詢結果!$A$3:$C$50,3,0)</f>
        <v>1607</v>
      </c>
      <c r="C18" s="28">
        <f>VLOOKUP(A18,[1]進出口值表查詢結果!$A$3:$C$50,2,0)</f>
        <v>1775009</v>
      </c>
      <c r="D18" s="23">
        <f t="shared" si="1"/>
        <v>1104.5482265090229</v>
      </c>
      <c r="E18" s="28">
        <f>VLOOKUP(A18,[2]進出口值表查詢結果!$A$3:$C$91,3,0)</f>
        <v>21077</v>
      </c>
      <c r="F18" s="29">
        <f t="shared" si="4"/>
        <v>3.094325772590472E-2</v>
      </c>
      <c r="G18" s="27">
        <f>VLOOKUP(A18,[2]進出口值表查詢結果!$A$3:$C$91,2,0)</f>
        <v>19547488</v>
      </c>
      <c r="H18" s="24">
        <f t="shared" si="3"/>
        <v>2.5171106585183768E-2</v>
      </c>
      <c r="I18" s="25">
        <f t="shared" si="2"/>
        <v>927.43217725482759</v>
      </c>
    </row>
    <row r="19" spans="1:9">
      <c r="A19" s="425" t="s">
        <v>201</v>
      </c>
      <c r="B19" s="27">
        <f>VLOOKUP(A19,[1]進出口值表查詢結果!$A$3:$C$50,3,0)</f>
        <v>1251</v>
      </c>
      <c r="C19" s="28">
        <f>VLOOKUP(A19,[1]進出口值表查詢結果!$A$3:$C$50,2,0)</f>
        <v>383630</v>
      </c>
      <c r="D19" s="23">
        <f t="shared" si="1"/>
        <v>306.65867306155076</v>
      </c>
      <c r="E19" s="28">
        <f>VLOOKUP(A19,[2]進出口值表查詢結果!$A$3:$C$91,3,0)</f>
        <v>10735</v>
      </c>
      <c r="F19" s="29">
        <f t="shared" si="4"/>
        <v>1.5760111576011159E-2</v>
      </c>
      <c r="G19" s="27">
        <f>VLOOKUP(A19,[2]進出口值表查詢結果!$A$3:$C$91,2,0)</f>
        <v>2984678</v>
      </c>
      <c r="H19" s="24">
        <f t="shared" si="3"/>
        <v>3.8433402829280731E-3</v>
      </c>
      <c r="I19" s="25">
        <f t="shared" si="2"/>
        <v>278.03241732650207</v>
      </c>
    </row>
    <row r="20" spans="1:9">
      <c r="A20" s="426" t="s">
        <v>202</v>
      </c>
      <c r="B20" s="27">
        <v>0</v>
      </c>
      <c r="C20" s="28">
        <v>0</v>
      </c>
      <c r="D20" s="23">
        <f t="shared" si="1"/>
        <v>0</v>
      </c>
      <c r="E20" s="28">
        <f>VLOOKUP(A20,[2]進出口值表查詢結果!$A$3:$C$91,3,0)</f>
        <v>23</v>
      </c>
      <c r="F20" s="29">
        <f t="shared" si="4"/>
        <v>3.3766424429274022E-5</v>
      </c>
      <c r="G20" s="27">
        <f>VLOOKUP(A20,[2]進出口值表查詢結果!$A$3:$C$91,2,0)</f>
        <v>52032</v>
      </c>
      <c r="H20" s="24">
        <f t="shared" si="3"/>
        <v>6.7001090771370812E-5</v>
      </c>
      <c r="I20" s="25">
        <f t="shared" si="2"/>
        <v>2262.2608695652175</v>
      </c>
    </row>
    <row r="21" spans="1:9">
      <c r="A21" s="425" t="s">
        <v>203</v>
      </c>
      <c r="B21" s="27">
        <v>0</v>
      </c>
      <c r="C21" s="28">
        <v>0</v>
      </c>
      <c r="D21" s="23">
        <f t="shared" si="1"/>
        <v>0</v>
      </c>
      <c r="E21" s="28">
        <f>VLOOKUP(A21,[2]進出口值表查詢結果!$A$3:$C$91,3,0)</f>
        <v>34</v>
      </c>
      <c r="F21" s="29">
        <f t="shared" si="4"/>
        <v>4.9915583938926814E-5</v>
      </c>
      <c r="G21" s="27">
        <f>VLOOKUP(A21,[2]進出口值表查詢結果!$A$3:$C$91,2,0)</f>
        <v>5233</v>
      </c>
      <c r="H21" s="24">
        <f t="shared" si="3"/>
        <v>6.7384822418239447E-6</v>
      </c>
      <c r="I21" s="25">
        <f t="shared" si="2"/>
        <v>153.91176470588235</v>
      </c>
    </row>
    <row r="22" spans="1:9">
      <c r="A22" s="426" t="s">
        <v>13</v>
      </c>
      <c r="B22" s="27">
        <v>0</v>
      </c>
      <c r="C22" s="28">
        <v>0</v>
      </c>
      <c r="D22" s="23">
        <f t="shared" si="1"/>
        <v>0</v>
      </c>
      <c r="E22" s="28">
        <f>VLOOKUP(A22,[2]進出口值表查詢結果!$A$3:$C$91,3,0)</f>
        <v>1148</v>
      </c>
      <c r="F22" s="29">
        <f t="shared" si="4"/>
        <v>1.6853850106437643E-3</v>
      </c>
      <c r="G22" s="27">
        <f>VLOOKUP(A22,[2]進出口值表查詢結果!$A$3:$C$91,2,0)</f>
        <v>454951</v>
      </c>
      <c r="H22" s="24">
        <f t="shared" si="3"/>
        <v>5.858358942098309E-4</v>
      </c>
      <c r="I22" s="25">
        <f t="shared" si="2"/>
        <v>396.29878048780489</v>
      </c>
    </row>
    <row r="23" spans="1:9">
      <c r="A23" s="426" t="s">
        <v>14</v>
      </c>
      <c r="B23" s="27">
        <f>VLOOKUP(A23,[1]進出口值表查詢結果!$A$3:$C$50,3,0)</f>
        <v>24</v>
      </c>
      <c r="C23" s="28">
        <f>VLOOKUP(A23,[1]進出口值表查詢結果!$A$3:$C$50,2,0)</f>
        <v>84005</v>
      </c>
      <c r="D23" s="23">
        <f t="shared" si="1"/>
        <v>3500.2083333333335</v>
      </c>
      <c r="E23" s="28">
        <f>VLOOKUP(A23,[2]進出口值表查詢結果!$A$3:$C$91,3,0)</f>
        <v>151</v>
      </c>
      <c r="F23" s="29">
        <f t="shared" si="4"/>
        <v>2.2168391690523378E-4</v>
      </c>
      <c r="G23" s="27">
        <f>VLOOKUP(A23,[2]進出口值表查詢結果!$A$3:$C$91,2,0)</f>
        <v>426812</v>
      </c>
      <c r="H23" s="24">
        <f t="shared" si="3"/>
        <v>5.4960158276272906E-4</v>
      </c>
      <c r="I23" s="25">
        <f t="shared" si="2"/>
        <v>2826.5695364238409</v>
      </c>
    </row>
    <row r="24" spans="1:9">
      <c r="A24" s="426" t="s">
        <v>15</v>
      </c>
      <c r="B24" s="27">
        <v>0</v>
      </c>
      <c r="C24" s="28">
        <v>0</v>
      </c>
      <c r="D24" s="23">
        <f t="shared" si="1"/>
        <v>0</v>
      </c>
      <c r="E24" s="28">
        <f>VLOOKUP(A24,[2]進出口值表查詢結果!$A$3:$C$91,3,0)</f>
        <v>65</v>
      </c>
      <c r="F24" s="29">
        <f t="shared" si="4"/>
        <v>9.5426851647948321E-5</v>
      </c>
      <c r="G24" s="27">
        <f>VLOOKUP(A24,[2]進出口值表查詢結果!$A$3:$C$91,2,0)</f>
        <v>149544</v>
      </c>
      <c r="H24" s="24">
        <f t="shared" si="3"/>
        <v>1.9256632684336327E-4</v>
      </c>
      <c r="I24" s="25">
        <f t="shared" si="2"/>
        <v>2300.6769230769232</v>
      </c>
    </row>
    <row r="25" spans="1:9">
      <c r="A25" s="425" t="s">
        <v>204</v>
      </c>
      <c r="B25" s="27">
        <v>0</v>
      </c>
      <c r="C25" s="28">
        <v>0</v>
      </c>
      <c r="D25" s="23">
        <f t="shared" si="1"/>
        <v>0</v>
      </c>
      <c r="E25" s="28">
        <f>VLOOKUP(A25,[2]進出口值表查詢結果!$A$3:$C$91,3,0)</f>
        <v>8900</v>
      </c>
      <c r="F25" s="29">
        <f t="shared" si="4"/>
        <v>1.3066138148719078E-2</v>
      </c>
      <c r="G25" s="27">
        <f>VLOOKUP(A25,[2]進出口值表查詢結果!$A$3:$C$91,2,0)</f>
        <v>3022579</v>
      </c>
      <c r="H25" s="24">
        <f t="shared" si="3"/>
        <v>3.892145025035348E-3</v>
      </c>
      <c r="I25" s="25">
        <f t="shared" si="2"/>
        <v>339.61561797752807</v>
      </c>
    </row>
    <row r="26" spans="1:9">
      <c r="A26" s="425" t="s">
        <v>205</v>
      </c>
      <c r="B26" s="27">
        <v>0</v>
      </c>
      <c r="C26" s="28">
        <v>0</v>
      </c>
      <c r="D26" s="23">
        <f t="shared" si="1"/>
        <v>0</v>
      </c>
      <c r="E26" s="28">
        <f>VLOOKUP(A26,[2]進出口值表查詢結果!$A$3:$C$91,3,0)</f>
        <v>137</v>
      </c>
      <c r="F26" s="29">
        <f t="shared" si="4"/>
        <v>2.0113044116567571E-4</v>
      </c>
      <c r="G26" s="27">
        <f>VLOOKUP(A26,[2]進出口值表查詢結果!$A$3:$C$91,2,0)</f>
        <v>85539</v>
      </c>
      <c r="H26" s="24">
        <f t="shared" si="3"/>
        <v>1.1014772262246863E-4</v>
      </c>
      <c r="I26" s="25">
        <f t="shared" si="2"/>
        <v>624.37226277372258</v>
      </c>
    </row>
    <row r="27" spans="1:9">
      <c r="A27" s="427" t="s">
        <v>206</v>
      </c>
      <c r="B27" s="27">
        <f>VLOOKUP(A27,[1]進出口值表查詢結果!$A$3:$C$50,3,0)</f>
        <v>1063</v>
      </c>
      <c r="C27" s="28">
        <f>VLOOKUP(A27,[1]進出口值表查詢結果!$A$3:$C$50,2,0)</f>
        <v>865448</v>
      </c>
      <c r="D27" s="23">
        <f t="shared" si="1"/>
        <v>814.15616180620884</v>
      </c>
      <c r="E27" s="28">
        <f>VLOOKUP(A27,[2]進出口值表查詢結果!$A$3:$C$91,3,0)</f>
        <v>12217</v>
      </c>
      <c r="F27" s="29">
        <f t="shared" si="4"/>
        <v>1.7935843793584379E-2</v>
      </c>
      <c r="G27" s="27">
        <f>VLOOKUP(A27,[2]進出口值表查詢結果!$A$3:$C$91,2,0)</f>
        <v>6194429</v>
      </c>
      <c r="H27" s="24">
        <f t="shared" si="3"/>
        <v>7.976504837519445E-3</v>
      </c>
      <c r="I27" s="25">
        <f t="shared" si="2"/>
        <v>507.03355979373003</v>
      </c>
    </row>
    <row r="28" spans="1:9">
      <c r="A28" s="427" t="s">
        <v>207</v>
      </c>
      <c r="B28" s="27">
        <f>VLOOKUP(A28,[1]進出口值表查詢結果!$A$3:$C$50,3,0)</f>
        <v>568</v>
      </c>
      <c r="C28" s="28">
        <f>VLOOKUP(A28,[1]進出口值表查詢結果!$A$3:$C$50,2,0)</f>
        <v>141706</v>
      </c>
      <c r="D28" s="23">
        <f t="shared" si="1"/>
        <v>249.48239436619718</v>
      </c>
      <c r="E28" s="28">
        <f>VLOOKUP(A28,[2]進出口值表查詢結果!$A$3:$C$91,3,0)</f>
        <v>6712</v>
      </c>
      <c r="F28" s="29">
        <f t="shared" ref="F28:F39" si="5">E28/$E$67</f>
        <v>9.8539235117081399E-3</v>
      </c>
      <c r="G28" s="27">
        <f>VLOOKUP(A28,[2]進出口值表查詢結果!$A$3:$C$91,2,0)</f>
        <v>3775683</v>
      </c>
      <c r="H28" s="24">
        <f t="shared" si="3"/>
        <v>4.861909582697603E-3</v>
      </c>
      <c r="I28" s="25">
        <f t="shared" si="2"/>
        <v>562.52726460071517</v>
      </c>
    </row>
    <row r="29" spans="1:9">
      <c r="A29" s="426" t="s">
        <v>208</v>
      </c>
      <c r="B29" s="27">
        <v>0</v>
      </c>
      <c r="C29" s="28">
        <v>0</v>
      </c>
      <c r="D29" s="23">
        <f t="shared" si="1"/>
        <v>0</v>
      </c>
      <c r="E29" s="28">
        <f>VLOOKUP(A29,[2]進出口值表查詢結果!$A$3:$C$91,3,0)</f>
        <v>565</v>
      </c>
      <c r="F29" s="29">
        <f t="shared" si="5"/>
        <v>8.2947955663216619E-4</v>
      </c>
      <c r="G29" s="27">
        <f>VLOOKUP(A29,[2]進出口值表查詢結果!$A$3:$C$91,2,0)</f>
        <v>408758</v>
      </c>
      <c r="H29" s="24">
        <f t="shared" si="3"/>
        <v>5.2635362587492298E-4</v>
      </c>
      <c r="I29" s="25">
        <f t="shared" si="2"/>
        <v>723.46548672566371</v>
      </c>
    </row>
    <row r="30" spans="1:9">
      <c r="A30" s="426" t="s">
        <v>209</v>
      </c>
      <c r="B30" s="27">
        <v>0</v>
      </c>
      <c r="C30" s="28">
        <v>0</v>
      </c>
      <c r="D30" s="23">
        <f t="shared" si="1"/>
        <v>0</v>
      </c>
      <c r="E30" s="28">
        <v>0</v>
      </c>
      <c r="F30" s="29">
        <f t="shared" si="5"/>
        <v>0</v>
      </c>
      <c r="G30" s="27">
        <v>0</v>
      </c>
      <c r="H30" s="24">
        <f t="shared" si="3"/>
        <v>0</v>
      </c>
      <c r="I30" s="25">
        <f t="shared" si="2"/>
        <v>0</v>
      </c>
    </row>
    <row r="31" spans="1:9">
      <c r="A31" s="426" t="s">
        <v>16</v>
      </c>
      <c r="B31" s="27">
        <v>0</v>
      </c>
      <c r="C31" s="28">
        <v>0</v>
      </c>
      <c r="D31" s="23">
        <f t="shared" si="1"/>
        <v>0</v>
      </c>
      <c r="E31" s="28">
        <f>VLOOKUP(A31,[2]進出口值表查詢結果!$A$3:$C$91,3,0)</f>
        <v>1375</v>
      </c>
      <c r="F31" s="29">
        <f t="shared" si="5"/>
        <v>2.018644938706599E-3</v>
      </c>
      <c r="G31" s="27">
        <f>VLOOKUP(A31,[2]進出口值表查詢結果!$A$3:$C$91,2,0)</f>
        <v>1647256</v>
      </c>
      <c r="H31" s="24">
        <f t="shared" si="3"/>
        <v>2.1211552271618466E-3</v>
      </c>
      <c r="I31" s="25">
        <f t="shared" si="2"/>
        <v>1198.0043636363637</v>
      </c>
    </row>
    <row r="32" spans="1:9">
      <c r="A32" s="426" t="s">
        <v>17</v>
      </c>
      <c r="B32" s="27">
        <v>0</v>
      </c>
      <c r="C32" s="28">
        <v>0</v>
      </c>
      <c r="D32" s="23">
        <f t="shared" si="1"/>
        <v>0</v>
      </c>
      <c r="E32" s="28">
        <v>0</v>
      </c>
      <c r="F32" s="29">
        <f t="shared" si="5"/>
        <v>0</v>
      </c>
      <c r="G32" s="27">
        <v>0</v>
      </c>
      <c r="H32" s="24">
        <f t="shared" si="3"/>
        <v>0</v>
      </c>
      <c r="I32" s="25">
        <f t="shared" si="2"/>
        <v>0</v>
      </c>
    </row>
    <row r="33" spans="1:9">
      <c r="A33" s="426" t="s">
        <v>210</v>
      </c>
      <c r="B33" s="27">
        <v>0</v>
      </c>
      <c r="C33" s="28">
        <v>0</v>
      </c>
      <c r="D33" s="23">
        <f t="shared" si="1"/>
        <v>0</v>
      </c>
      <c r="E33" s="28">
        <f>VLOOKUP(A33,[2]進出口值表查詢結果!$A$3:$C$91,3,0)</f>
        <v>815</v>
      </c>
      <c r="F33" s="29">
        <f t="shared" si="5"/>
        <v>1.196505909124275E-3</v>
      </c>
      <c r="G33" s="27">
        <f>VLOOKUP(A33,[2]進出口值表查詢結果!$A$3:$C$91,2,0)</f>
        <v>216361</v>
      </c>
      <c r="H33" s="24">
        <f t="shared" si="3"/>
        <v>2.7860591559779676E-4</v>
      </c>
      <c r="I33" s="25">
        <f t="shared" si="2"/>
        <v>265.47361963190184</v>
      </c>
    </row>
    <row r="34" spans="1:9">
      <c r="A34" s="426" t="s">
        <v>211</v>
      </c>
      <c r="B34" s="27">
        <v>0</v>
      </c>
      <c r="C34" s="28">
        <v>0</v>
      </c>
      <c r="D34" s="23">
        <f t="shared" si="1"/>
        <v>0</v>
      </c>
      <c r="E34" s="28">
        <f>VLOOKUP(A34,[2]進出口值表查詢結果!$A$3:$C$91,3,0)</f>
        <v>89</v>
      </c>
      <c r="F34" s="29">
        <f t="shared" si="5"/>
        <v>1.3066138148719078E-4</v>
      </c>
      <c r="G34" s="27">
        <f>VLOOKUP(A34,[2]進出口值表查詢結果!$A$3:$C$91,2,0)</f>
        <v>16606</v>
      </c>
      <c r="H34" s="24">
        <f t="shared" si="3"/>
        <v>2.1383381637249843E-5</v>
      </c>
      <c r="I34" s="25">
        <f t="shared" si="2"/>
        <v>186.58426966292134</v>
      </c>
    </row>
    <row r="35" spans="1:9">
      <c r="A35" s="426" t="s">
        <v>212</v>
      </c>
      <c r="B35" s="27">
        <v>0</v>
      </c>
      <c r="C35" s="28">
        <v>0</v>
      </c>
      <c r="D35" s="23">
        <f t="shared" si="1"/>
        <v>0</v>
      </c>
      <c r="E35" s="28">
        <f>VLOOKUP(A35,[2]進出口值表查詢結果!$A$3:$C$91,3,0)</f>
        <v>466</v>
      </c>
      <c r="F35" s="29">
        <f t="shared" si="5"/>
        <v>6.84137121045291E-4</v>
      </c>
      <c r="G35" s="27">
        <f>VLOOKUP(A35,[2]進出口值表查詢結果!$A$3:$C$91,2,0)</f>
        <v>255739</v>
      </c>
      <c r="H35" s="24">
        <f t="shared" si="3"/>
        <v>3.2931257596824262E-4</v>
      </c>
      <c r="I35" s="25">
        <f t="shared" si="2"/>
        <v>548.7961373390558</v>
      </c>
    </row>
    <row r="36" spans="1:9">
      <c r="A36" s="426" t="s">
        <v>213</v>
      </c>
      <c r="B36" s="27">
        <v>0</v>
      </c>
      <c r="C36" s="28">
        <v>0</v>
      </c>
      <c r="D36" s="23">
        <f t="shared" si="1"/>
        <v>0</v>
      </c>
      <c r="E36" s="28">
        <f>VLOOKUP(A36,[2]進出口值表查詢結果!$A$3:$C$91,3,0)</f>
        <v>128</v>
      </c>
      <c r="F36" s="29">
        <f t="shared" si="5"/>
        <v>1.8791749247595976E-4</v>
      </c>
      <c r="G36" s="27">
        <f>VLOOKUP(A36,[2]進出口值表查詢結果!$A$3:$C$91,2,0)</f>
        <v>17159</v>
      </c>
      <c r="H36" s="24">
        <f t="shared" si="3"/>
        <v>2.2095474257110083E-5</v>
      </c>
      <c r="I36" s="25">
        <f t="shared" si="2"/>
        <v>134.0546875</v>
      </c>
    </row>
    <row r="37" spans="1:9">
      <c r="A37" s="426" t="s">
        <v>214</v>
      </c>
      <c r="B37" s="27">
        <v>0</v>
      </c>
      <c r="C37" s="28">
        <v>0</v>
      </c>
      <c r="D37" s="23">
        <f t="shared" si="1"/>
        <v>0</v>
      </c>
      <c r="E37" s="28">
        <v>0</v>
      </c>
      <c r="F37" s="29">
        <f t="shared" si="5"/>
        <v>0</v>
      </c>
      <c r="G37" s="27">
        <v>0</v>
      </c>
      <c r="H37" s="24">
        <f t="shared" si="3"/>
        <v>0</v>
      </c>
      <c r="I37" s="25">
        <f t="shared" si="2"/>
        <v>0</v>
      </c>
    </row>
    <row r="38" spans="1:9">
      <c r="A38" s="426" t="s">
        <v>215</v>
      </c>
      <c r="B38" s="27">
        <v>0</v>
      </c>
      <c r="C38" s="28">
        <v>0</v>
      </c>
      <c r="D38" s="23">
        <f t="shared" si="1"/>
        <v>0</v>
      </c>
      <c r="E38" s="28">
        <f>VLOOKUP(A38,[2]進出口值表查詢結果!$A$3:$C$91,3,0)</f>
        <v>110</v>
      </c>
      <c r="F38" s="29">
        <f t="shared" si="5"/>
        <v>1.6149159509652793E-4</v>
      </c>
      <c r="G38" s="27">
        <f>VLOOKUP(A38,[2]進出口值表查詢結果!$A$3:$C$91,2,0)</f>
        <v>19564</v>
      </c>
      <c r="H38" s="24">
        <f t="shared" si="3"/>
        <v>2.519236892395254E-5</v>
      </c>
      <c r="I38" s="25">
        <f t="shared" si="2"/>
        <v>177.85454545454544</v>
      </c>
    </row>
    <row r="39" spans="1:9">
      <c r="A39" s="426" t="s">
        <v>18</v>
      </c>
      <c r="B39" s="27">
        <v>0</v>
      </c>
      <c r="C39" s="28">
        <v>0</v>
      </c>
      <c r="D39" s="23">
        <f t="shared" si="1"/>
        <v>0</v>
      </c>
      <c r="E39" s="28">
        <f>VLOOKUP(A39,[2]進出口值表查詢結果!$A$3:$C$91,3,0)</f>
        <v>335</v>
      </c>
      <c r="F39" s="29">
        <f t="shared" si="5"/>
        <v>4.9181531233942596E-4</v>
      </c>
      <c r="G39" s="27">
        <f>VLOOKUP(A39,[2]進出口值表查詢結果!$A$3:$C$91,2,0)</f>
        <v>117992</v>
      </c>
      <c r="H39" s="24">
        <f t="shared" si="3"/>
        <v>1.5193712911853446E-4</v>
      </c>
      <c r="I39" s="25">
        <f t="shared" si="2"/>
        <v>352.21492537313435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734</v>
      </c>
      <c r="C41" s="33">
        <f>SUM(C42:C45)</f>
        <v>613277</v>
      </c>
      <c r="D41" s="23">
        <f t="shared" si="1"/>
        <v>835.52724795640324</v>
      </c>
      <c r="E41" s="33">
        <f>SUM(E42:E45)</f>
        <v>19325</v>
      </c>
      <c r="F41" s="24">
        <f>E41/$E$67</f>
        <v>2.8371137047640022E-2</v>
      </c>
      <c r="G41" s="33">
        <f>SUM(G42:G45)</f>
        <v>22712676</v>
      </c>
      <c r="H41" s="24">
        <f>G41/$G$67</f>
        <v>2.9246887806287196E-2</v>
      </c>
      <c r="I41" s="25">
        <f t="shared" si="2"/>
        <v>1175.3001811125484</v>
      </c>
    </row>
    <row r="42" spans="1:9">
      <c r="A42" s="425" t="s">
        <v>216</v>
      </c>
      <c r="B42" s="27">
        <f>VLOOKUP(A42,[1]進出口值表查詢結果!$A$3:$C$50,3,0)</f>
        <v>734</v>
      </c>
      <c r="C42" s="28">
        <f>VLOOKUP(A42,[1]進出口值表查詢結果!$A$3:$C$50,2,0)</f>
        <v>613277</v>
      </c>
      <c r="D42" s="23">
        <f t="shared" si="1"/>
        <v>835.52724795640324</v>
      </c>
      <c r="E42" s="28">
        <f>VLOOKUP(A42,[2]進出口值表查詢結果!$A$3:$C$91,3,0)</f>
        <v>10363</v>
      </c>
      <c r="F42" s="29">
        <f>E42/$E$67</f>
        <v>1.52139763635029E-2</v>
      </c>
      <c r="G42" s="27">
        <f>VLOOKUP(A42,[2]進出口值表查詢結果!$A$3:$C$91,2,0)</f>
        <v>16206779</v>
      </c>
      <c r="H42" s="29">
        <f>G42/$G$67</f>
        <v>2.0869308711764806E-2</v>
      </c>
      <c r="I42" s="25">
        <f t="shared" si="2"/>
        <v>1563.9080382128727</v>
      </c>
    </row>
    <row r="43" spans="1:9">
      <c r="A43" s="425" t="s">
        <v>217</v>
      </c>
      <c r="B43" s="27">
        <v>0</v>
      </c>
      <c r="C43" s="28">
        <v>0</v>
      </c>
      <c r="D43" s="23">
        <f t="shared" si="1"/>
        <v>0</v>
      </c>
      <c r="E43" s="28">
        <f>VLOOKUP(A43,[2]進出口值表查詢結果!$A$3:$C$91,3,0)</f>
        <v>8958</v>
      </c>
      <c r="F43" s="29">
        <f>E43/$E$67</f>
        <v>1.3151288262497247E-2</v>
      </c>
      <c r="G43" s="27">
        <f>VLOOKUP(A43,[2]進出口值表查詢結果!$A$3:$C$91,2,0)</f>
        <v>6499362</v>
      </c>
      <c r="H43" s="29">
        <f>G43/$G$67</f>
        <v>8.3691640397831751E-3</v>
      </c>
      <c r="I43" s="25">
        <f t="shared" si="2"/>
        <v>725.53717347622239</v>
      </c>
    </row>
    <row r="44" spans="1:9">
      <c r="A44" s="425" t="s">
        <v>218</v>
      </c>
      <c r="B44" s="27">
        <v>0</v>
      </c>
      <c r="C44" s="28">
        <v>0</v>
      </c>
      <c r="D44" s="23">
        <f t="shared" si="1"/>
        <v>0</v>
      </c>
      <c r="E44" s="28">
        <f>VLOOKUP(A44,[2]進出口值表查詢結果!$A$3:$C$91,3,0)</f>
        <v>4</v>
      </c>
      <c r="F44" s="29">
        <f>E44/$E$67</f>
        <v>5.8724216398737426E-6</v>
      </c>
      <c r="G44" s="27">
        <f>VLOOKUP(A44,[2]進出口值表查詢結果!$A$3:$C$91,2,0)</f>
        <v>6535</v>
      </c>
      <c r="H44" s="29">
        <f>G44/$G$67</f>
        <v>8.4150547392164114E-6</v>
      </c>
      <c r="I44" s="25">
        <f t="shared" si="2"/>
        <v>1633.75</v>
      </c>
    </row>
    <row r="45" spans="1:9">
      <c r="A45" s="426" t="s">
        <v>20</v>
      </c>
      <c r="B45" s="27">
        <v>0</v>
      </c>
      <c r="C45" s="28">
        <v>0</v>
      </c>
      <c r="D45" s="23">
        <f t="shared" si="1"/>
        <v>0</v>
      </c>
      <c r="E45" s="28">
        <v>0</v>
      </c>
      <c r="F45" s="29">
        <v>0</v>
      </c>
      <c r="G45" s="27">
        <v>0</v>
      </c>
      <c r="H45" s="29">
        <f>G45/$G$67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21999</v>
      </c>
      <c r="C47" s="33">
        <f>SUM(C48:C65)</f>
        <v>28261041</v>
      </c>
      <c r="D47" s="23">
        <f t="shared" si="1"/>
        <v>1284.6511659620892</v>
      </c>
      <c r="E47" s="33">
        <f>SUM(E48:E65)</f>
        <v>203822</v>
      </c>
      <c r="F47" s="24">
        <f t="shared" ref="F47:F65" si="6">E47/$E$67</f>
        <v>0.29923218087058651</v>
      </c>
      <c r="G47" s="33">
        <f>SUM(G48:G65)</f>
        <v>244545378</v>
      </c>
      <c r="H47" s="24">
        <f t="shared" ref="H47:H66" si="7">G47/$G$67</f>
        <v>0.31489865984581006</v>
      </c>
      <c r="I47" s="25">
        <f t="shared" si="2"/>
        <v>1199.7987361521327</v>
      </c>
    </row>
    <row r="48" spans="1:9">
      <c r="A48" s="453" t="s">
        <v>159</v>
      </c>
      <c r="B48" s="27">
        <f>VLOOKUP(A48,[1]進出口值表查詢結果!$A$3:$C$50,3,0)</f>
        <v>3510</v>
      </c>
      <c r="C48" s="28">
        <f>VLOOKUP(A48,[1]進出口值表查詢結果!$A$3:$C$50,2,0)</f>
        <v>4218619</v>
      </c>
      <c r="D48" s="23">
        <f t="shared" si="1"/>
        <v>1201.8857549857551</v>
      </c>
      <c r="E48" s="28">
        <f>VLOOKUP(A48,[2]進出口值表查詢結果!$A$3:$C$91,3,0)</f>
        <v>41923</v>
      </c>
      <c r="F48" s="29">
        <f t="shared" ref="F48" si="8">E48/$E$67</f>
        <v>6.154738310210673E-2</v>
      </c>
      <c r="G48" s="27">
        <f>VLOOKUP(A48,[2]進出口值表查詢結果!$A$3:$C$91,2,0)</f>
        <v>41269343</v>
      </c>
      <c r="H48" s="29">
        <f t="shared" ref="H48" si="9">G48/$G$67</f>
        <v>5.3142124008645389E-2</v>
      </c>
      <c r="I48" s="25">
        <f t="shared" si="2"/>
        <v>984.4081530424827</v>
      </c>
    </row>
    <row r="49" spans="1:9">
      <c r="A49" s="425" t="s">
        <v>219</v>
      </c>
      <c r="B49" s="27">
        <f>VLOOKUP(A49,[1]進出口值表查詢結果!$A$3:$C$50,3,0)</f>
        <v>1842</v>
      </c>
      <c r="C49" s="28">
        <f>VLOOKUP(A49,[1]進出口值表查詢結果!$A$3:$C$50,2,0)</f>
        <v>1691752</v>
      </c>
      <c r="D49" s="23">
        <f t="shared" si="1"/>
        <v>918.43213897937028</v>
      </c>
      <c r="E49" s="28">
        <f>VLOOKUP(A49,[2]進出口值表查詢結果!$A$3:$C$91,3,0)</f>
        <v>29127</v>
      </c>
      <c r="F49" s="29">
        <f t="shared" si="6"/>
        <v>4.2761506276150628E-2</v>
      </c>
      <c r="G49" s="27">
        <f>VLOOKUP(A49,[2]進出口值表查詢結果!$A$3:$C$91,2,0)</f>
        <v>22304250</v>
      </c>
      <c r="H49" s="29">
        <f t="shared" si="7"/>
        <v>2.8720961693522208E-2</v>
      </c>
      <c r="I49" s="25">
        <f t="shared" si="2"/>
        <v>765.75857451848799</v>
      </c>
    </row>
    <row r="50" spans="1:9">
      <c r="A50" s="282" t="s">
        <v>220</v>
      </c>
      <c r="B50" s="27">
        <f>VLOOKUP(A50,[1]進出口值表查詢結果!$A$3:$C$50,3,0)</f>
        <v>197</v>
      </c>
      <c r="C50" s="28">
        <f>VLOOKUP(A50,[1]進出口值表查詢結果!$A$3:$C$50,2,0)</f>
        <v>170634</v>
      </c>
      <c r="D50" s="23">
        <f t="shared" si="1"/>
        <v>866.16243654822335</v>
      </c>
      <c r="E50" s="28">
        <f>VLOOKUP(A50,[2]進出口值表查詢結果!$A$3:$C$91,3,0)</f>
        <v>1719</v>
      </c>
      <c r="F50" s="29">
        <f t="shared" si="6"/>
        <v>2.5236731997357411E-3</v>
      </c>
      <c r="G50" s="27">
        <f>VLOOKUP(A50,[2]進出口值表查詢結果!$A$3:$C$91,2,0)</f>
        <v>1642506</v>
      </c>
      <c r="H50" s="29">
        <f t="shared" si="7"/>
        <v>2.1150386992335713E-3</v>
      </c>
      <c r="I50" s="25">
        <f t="shared" si="2"/>
        <v>955.500872600349</v>
      </c>
    </row>
    <row r="51" spans="1:9">
      <c r="A51" s="425" t="s">
        <v>221</v>
      </c>
      <c r="B51" s="27">
        <f>VLOOKUP(A51,[1]進出口值表查詢結果!$A$3:$C$50,3,0)</f>
        <v>171</v>
      </c>
      <c r="C51" s="28">
        <f>VLOOKUP(A51,[1]進出口值表查詢結果!$A$3:$C$50,2,0)</f>
        <v>437831</v>
      </c>
      <c r="D51" s="23">
        <f t="shared" si="1"/>
        <v>2560.4152046783624</v>
      </c>
      <c r="E51" s="28">
        <f>VLOOKUP(A51,[2]進出口值表查詢結果!$A$3:$C$91,3,0)</f>
        <v>1428</v>
      </c>
      <c r="F51" s="29">
        <f t="shared" si="6"/>
        <v>2.0964545254349262E-3</v>
      </c>
      <c r="G51" s="27">
        <f>VLOOKUP(A51,[2]進出口值表查詢結果!$A$3:$C$91,2,0)</f>
        <v>2628827</v>
      </c>
      <c r="H51" s="29">
        <f t="shared" si="7"/>
        <v>3.3851144766534136E-3</v>
      </c>
      <c r="I51" s="25">
        <f t="shared" si="2"/>
        <v>1840.9152661064427</v>
      </c>
    </row>
    <row r="52" spans="1:9">
      <c r="A52" s="426" t="s">
        <v>22</v>
      </c>
      <c r="B52" s="27">
        <f>VLOOKUP(A52,[1]進出口值表查詢結果!$A$3:$C$50,3,0)</f>
        <v>211</v>
      </c>
      <c r="C52" s="28">
        <f>VLOOKUP(A52,[1]進出口值表查詢結果!$A$3:$C$50,2,0)</f>
        <v>700125</v>
      </c>
      <c r="D52" s="23">
        <f t="shared" si="1"/>
        <v>3318.1279620853079</v>
      </c>
      <c r="E52" s="28">
        <f>VLOOKUP(A52,[2]進出口值表查詢結果!$A$3:$C$91,3,0)</f>
        <v>669</v>
      </c>
      <c r="F52" s="29">
        <f t="shared" si="6"/>
        <v>9.821625192688835E-4</v>
      </c>
      <c r="G52" s="27">
        <f>VLOOKUP(A52,[2]進出口值表查詢結果!$A$3:$C$91,2,0)</f>
        <v>1415822</v>
      </c>
      <c r="H52" s="29">
        <f t="shared" si="7"/>
        <v>1.8231399588350202E-3</v>
      </c>
      <c r="I52" s="25">
        <f t="shared" si="2"/>
        <v>2116.3258594917788</v>
      </c>
    </row>
    <row r="53" spans="1:9">
      <c r="A53" s="425" t="s">
        <v>222</v>
      </c>
      <c r="B53" s="27">
        <f>VLOOKUP(A53,[1]進出口值表查詢結果!$A$3:$C$50,3,0)</f>
        <v>242</v>
      </c>
      <c r="C53" s="28">
        <f>VLOOKUP(A53,[1]進出口值表查詢結果!$A$3:$C$50,2,0)</f>
        <v>413652</v>
      </c>
      <c r="D53" s="23">
        <f t="shared" si="1"/>
        <v>1709.3057851239669</v>
      </c>
      <c r="E53" s="28">
        <f>VLOOKUP(A53,[2]進出口值表查詢結果!$A$3:$C$91,3,0)</f>
        <v>1660</v>
      </c>
      <c r="F53" s="29">
        <f t="shared" si="6"/>
        <v>2.4370549805476033E-3</v>
      </c>
      <c r="G53" s="27">
        <f>VLOOKUP(A53,[2]進出口值表查詢結果!$A$3:$C$91,2,0)</f>
        <v>2350831</v>
      </c>
      <c r="H53" s="29">
        <f t="shared" si="7"/>
        <v>3.0271417823484093E-3</v>
      </c>
      <c r="I53" s="25">
        <f t="shared" si="2"/>
        <v>1416.1632530120482</v>
      </c>
    </row>
    <row r="54" spans="1:9">
      <c r="A54" s="426" t="s">
        <v>223</v>
      </c>
      <c r="B54" s="27">
        <f>VLOOKUP(A54,[1]進出口值表查詢結果!$A$3:$C$50,3,0)</f>
        <v>3088</v>
      </c>
      <c r="C54" s="28">
        <f>VLOOKUP(A54,[1]進出口值表查詢結果!$A$3:$C$50,2,0)</f>
        <v>2403684</v>
      </c>
      <c r="D54" s="23">
        <f t="shared" si="1"/>
        <v>778.39507772020727</v>
      </c>
      <c r="E54" s="28">
        <f>VLOOKUP(A54,[2]進出口值表查詢結果!$A$3:$C$91,3,0)</f>
        <v>22482</v>
      </c>
      <c r="F54" s="29">
        <f t="shared" si="6"/>
        <v>3.3005945826910375E-2</v>
      </c>
      <c r="G54" s="27">
        <f>VLOOKUP(A54,[2]進出口值表查詢結果!$A$3:$C$91,2,0)</f>
        <v>25418807</v>
      </c>
      <c r="H54" s="29">
        <f t="shared" si="7"/>
        <v>3.2731545877670583E-2</v>
      </c>
      <c r="I54" s="25">
        <f t="shared" si="2"/>
        <v>1130.6292589627258</v>
      </c>
    </row>
    <row r="55" spans="1:9">
      <c r="A55" s="426" t="s">
        <v>23</v>
      </c>
      <c r="B55" s="27">
        <f>VLOOKUP(A55,[1]進出口值表查詢結果!$A$3:$C$50,3,0)</f>
        <v>230</v>
      </c>
      <c r="C55" s="28">
        <f>VLOOKUP(A55,[1]進出口值表查詢結果!$A$3:$C$50,2,0)</f>
        <v>183194</v>
      </c>
      <c r="D55" s="23">
        <f t="shared" si="1"/>
        <v>796.49565217391307</v>
      </c>
      <c r="E55" s="28">
        <f>VLOOKUP(A55,[2]進出口值表查詢結果!$A$3:$C$91,3,0)</f>
        <v>450</v>
      </c>
      <c r="F55" s="29">
        <f t="shared" si="6"/>
        <v>6.6064743448579607E-4</v>
      </c>
      <c r="G55" s="27">
        <f>VLOOKUP(A55,[2]進出口值表查詢結果!$A$3:$C$91,2,0)</f>
        <v>597392</v>
      </c>
      <c r="H55" s="29">
        <f t="shared" si="7"/>
        <v>7.6925575834276515E-4</v>
      </c>
      <c r="I55" s="25">
        <f t="shared" si="2"/>
        <v>1327.5377777777778</v>
      </c>
    </row>
    <row r="56" spans="1:9">
      <c r="A56" s="426" t="s">
        <v>224</v>
      </c>
      <c r="B56" s="27">
        <f>VLOOKUP(A56,[1]進出口值表查詢結果!$A$3:$C$50,3,0)</f>
        <v>9880</v>
      </c>
      <c r="C56" s="28">
        <f>VLOOKUP(A56,[1]進出口值表查詢結果!$A$3:$C$50,2,0)</f>
        <v>13431801</v>
      </c>
      <c r="D56" s="23">
        <f t="shared" si="1"/>
        <v>1359.4940283400811</v>
      </c>
      <c r="E56" s="28">
        <f>VLOOKUP(A56,[2]進出口值表查詢結果!$A$3:$C$91,3,0)</f>
        <v>81590</v>
      </c>
      <c r="F56" s="29">
        <f t="shared" si="6"/>
        <v>0.11978272039932467</v>
      </c>
      <c r="G56" s="27">
        <f>VLOOKUP(A56,[2]進出口值表查詢結果!$A$3:$C$91,2,0)</f>
        <v>112109183</v>
      </c>
      <c r="H56" s="29">
        <f t="shared" si="7"/>
        <v>0.14436188396539096</v>
      </c>
      <c r="I56" s="25">
        <f t="shared" si="2"/>
        <v>1374.0554357151611</v>
      </c>
    </row>
    <row r="57" spans="1:9">
      <c r="A57" s="428" t="s">
        <v>225</v>
      </c>
      <c r="B57" s="27">
        <f>VLOOKUP(A57,[1]進出口值表查詢結果!$A$3:$C$50,3,0)</f>
        <v>754</v>
      </c>
      <c r="C57" s="28">
        <f>VLOOKUP(A57,[1]進出口值表查詢結果!$A$3:$C$50,2,0)</f>
        <v>1765728</v>
      </c>
      <c r="D57" s="23">
        <f t="shared" si="1"/>
        <v>2341.814323607427</v>
      </c>
      <c r="E57" s="28">
        <f>VLOOKUP(A57,[2]進出口值表查詢結果!$A$3:$C$91,3,0)</f>
        <v>9132</v>
      </c>
      <c r="F57" s="29">
        <f t="shared" si="6"/>
        <v>1.3406738603831755E-2</v>
      </c>
      <c r="G57" s="27">
        <f>VLOOKUP(A57,[2]進出口值表查詢結果!$A$3:$C$91,2,0)</f>
        <v>14767837</v>
      </c>
      <c r="H57" s="29">
        <f t="shared" si="7"/>
        <v>1.9016397358045212E-2</v>
      </c>
      <c r="I57" s="25">
        <f t="shared" si="2"/>
        <v>1617.1525405168638</v>
      </c>
    </row>
    <row r="58" spans="1:9">
      <c r="A58" s="426" t="s">
        <v>24</v>
      </c>
      <c r="B58" s="27">
        <v>0</v>
      </c>
      <c r="C58" s="28">
        <v>0</v>
      </c>
      <c r="D58" s="23">
        <f t="shared" si="1"/>
        <v>0</v>
      </c>
      <c r="E58" s="28">
        <f>VLOOKUP(A58,[2]進出口值表查詢結果!$A$3:$C$91,3,0)</f>
        <v>3239</v>
      </c>
      <c r="F58" s="29">
        <f t="shared" si="6"/>
        <v>4.7551934228877634E-3</v>
      </c>
      <c r="G58" s="27">
        <f>VLOOKUP(A58,[2]進出口值表查詢結果!$A$3:$C$91,2,0)</f>
        <v>3409050</v>
      </c>
      <c r="H58" s="29">
        <f t="shared" si="7"/>
        <v>4.3897999018708044E-3</v>
      </c>
      <c r="I58" s="25">
        <f t="shared" si="2"/>
        <v>1052.5007718431614</v>
      </c>
    </row>
    <row r="59" spans="1:9">
      <c r="A59" s="426" t="s">
        <v>25</v>
      </c>
      <c r="B59" s="27">
        <v>0</v>
      </c>
      <c r="C59" s="28">
        <v>0</v>
      </c>
      <c r="D59" s="23">
        <f t="shared" si="1"/>
        <v>0</v>
      </c>
      <c r="E59" s="28">
        <f>VLOOKUP(A59,[2]進出口值表查詢結果!$A$3:$C$91,3,0)</f>
        <v>151</v>
      </c>
      <c r="F59" s="29">
        <f t="shared" si="6"/>
        <v>2.2168391690523378E-4</v>
      </c>
      <c r="G59" s="27">
        <f>VLOOKUP(A59,[2]進出口值表查詢結果!$A$3:$C$91,2,0)</f>
        <v>63160</v>
      </c>
      <c r="H59" s="29">
        <f t="shared" si="7"/>
        <v>8.1330506094706733E-5</v>
      </c>
      <c r="I59" s="25">
        <f t="shared" si="2"/>
        <v>418.27814569536423</v>
      </c>
    </row>
    <row r="60" spans="1:9">
      <c r="A60" s="426" t="s">
        <v>26</v>
      </c>
      <c r="B60" s="27">
        <f>VLOOKUP(A60,[1]進出口值表查詢結果!$A$3:$C$50,3,0)</f>
        <v>896</v>
      </c>
      <c r="C60" s="28">
        <f>VLOOKUP(A60,[1]進出口值表查詢結果!$A$3:$C$50,2,0)</f>
        <v>1104219</v>
      </c>
      <c r="D60" s="23">
        <f t="shared" si="1"/>
        <v>1232.3872767857142</v>
      </c>
      <c r="E60" s="28">
        <f>VLOOKUP(A60,[2]進出口值表查詢結果!$A$3:$C$91,3,0)</f>
        <v>2700</v>
      </c>
      <c r="F60" s="29">
        <f t="shared" si="6"/>
        <v>3.9638846069147762E-3</v>
      </c>
      <c r="G60" s="27">
        <f>VLOOKUP(A60,[2]進出口值表查詢結果!$A$3:$C$91,2,0)</f>
        <v>3477905</v>
      </c>
      <c r="H60" s="29">
        <f t="shared" si="7"/>
        <v>4.4784638030289899E-3</v>
      </c>
      <c r="I60" s="25">
        <f t="shared" si="2"/>
        <v>1288.1129629629629</v>
      </c>
    </row>
    <row r="61" spans="1:9">
      <c r="A61" s="427" t="s">
        <v>226</v>
      </c>
      <c r="B61" s="27">
        <f>VLOOKUP(A61,[1]進出口值表查詢結果!$A$3:$C$50,3,0)</f>
        <v>374</v>
      </c>
      <c r="C61" s="28">
        <f>VLOOKUP(A61,[1]進出口值表查詢結果!$A$3:$C$50,2,0)</f>
        <v>813902</v>
      </c>
      <c r="D61" s="23">
        <f t="shared" si="1"/>
        <v>2176.2085561497324</v>
      </c>
      <c r="E61" s="28">
        <f>VLOOKUP(A61,[2]進出口值表查詢結果!$A$3:$C$91,3,0)</f>
        <v>2457</v>
      </c>
      <c r="F61" s="29">
        <f t="shared" si="6"/>
        <v>3.6071349922924467E-3</v>
      </c>
      <c r="G61" s="27">
        <f>VLOOKUP(A61,[2]進出口值表查詢結果!$A$3:$C$91,2,0)</f>
        <v>5057631</v>
      </c>
      <c r="H61" s="29">
        <f t="shared" si="7"/>
        <v>6.5126613184021166E-3</v>
      </c>
      <c r="I61" s="25">
        <f t="shared" si="2"/>
        <v>2058.4578754578756</v>
      </c>
    </row>
    <row r="62" spans="1:9">
      <c r="A62" s="426" t="s">
        <v>27</v>
      </c>
      <c r="B62" s="27">
        <f>VLOOKUP(A62,[1]進出口值表查詢結果!$A$3:$C$50,3,0)</f>
        <v>223</v>
      </c>
      <c r="C62" s="28">
        <f>VLOOKUP(A62,[1]進出口值表查詢結果!$A$3:$C$50,2,0)</f>
        <v>427586</v>
      </c>
      <c r="D62" s="23">
        <f t="shared" si="1"/>
        <v>1917.4260089686099</v>
      </c>
      <c r="E62" s="28">
        <f>VLOOKUP(A62,[2]進出口值表查詢結果!$A$3:$C$91,3,0)</f>
        <v>2455</v>
      </c>
      <c r="F62" s="29">
        <f t="shared" si="6"/>
        <v>3.6041987814725098E-3</v>
      </c>
      <c r="G62" s="27">
        <f>VLOOKUP(A62,[2]進出口值表查詢結果!$A$3:$C$91,2,0)</f>
        <v>3871283</v>
      </c>
      <c r="H62" s="29">
        <f t="shared" si="7"/>
        <v>4.9850127553172034E-3</v>
      </c>
      <c r="I62" s="25">
        <f t="shared" si="2"/>
        <v>1576.8973523421589</v>
      </c>
    </row>
    <row r="63" spans="1:9">
      <c r="A63" s="285" t="s">
        <v>227</v>
      </c>
      <c r="B63" s="27">
        <v>0</v>
      </c>
      <c r="C63" s="28">
        <v>0</v>
      </c>
      <c r="D63" s="23">
        <f t="shared" si="1"/>
        <v>0</v>
      </c>
      <c r="E63" s="28">
        <f>VLOOKUP(A63,[2]進出口值表查詢結果!$A$3:$C$91,3,0)</f>
        <v>161</v>
      </c>
      <c r="F63" s="29">
        <f t="shared" si="6"/>
        <v>2.3636497100491816E-4</v>
      </c>
      <c r="G63" s="27">
        <f>VLOOKUP(A63,[2]進出口值表查詢結果!$A$3:$C$91,2,0)</f>
        <v>241154</v>
      </c>
      <c r="H63" s="29">
        <f t="shared" si="7"/>
        <v>3.1053161600321259E-4</v>
      </c>
      <c r="I63" s="25">
        <f t="shared" si="2"/>
        <v>1497.8509316770187</v>
      </c>
    </row>
    <row r="64" spans="1:9">
      <c r="A64" s="426" t="s">
        <v>28</v>
      </c>
      <c r="B64" s="27">
        <f>VLOOKUP(A64,[1]進出口值表查詢結果!$A$3:$C$50,3,0)</f>
        <v>115</v>
      </c>
      <c r="C64" s="28">
        <f>VLOOKUP(A64,[1]進出口值表查詢結果!$A$3:$C$50,2,0)</f>
        <v>223461</v>
      </c>
      <c r="D64" s="23">
        <f t="shared" si="1"/>
        <v>1943.1391304347826</v>
      </c>
      <c r="E64" s="28">
        <f>VLOOKUP(A64,[2]進出口值表查詢結果!$A$3:$C$91,3,0)</f>
        <v>931</v>
      </c>
      <c r="F64" s="29">
        <f t="shared" si="6"/>
        <v>1.3668061366806136E-3</v>
      </c>
      <c r="G64" s="27">
        <f>VLOOKUP(A64,[2]進出口值表查詢結果!$A$3:$C$91,2,0)</f>
        <v>2003869</v>
      </c>
      <c r="H64" s="29">
        <f t="shared" si="7"/>
        <v>2.5803622532852102E-3</v>
      </c>
      <c r="I64" s="25">
        <f t="shared" si="2"/>
        <v>2152.3834586466164</v>
      </c>
    </row>
    <row r="65" spans="1:256">
      <c r="A65" s="285" t="s">
        <v>228</v>
      </c>
      <c r="B65" s="27">
        <f>VLOOKUP(A65,[1]進出口值表查詢結果!$A$3:$C$50,3,0)</f>
        <v>266</v>
      </c>
      <c r="C65" s="28">
        <f>VLOOKUP(A65,[1]進出口值表查詢結果!$A$3:$C$50,2,0)</f>
        <v>274853</v>
      </c>
      <c r="D65" s="23">
        <f t="shared" si="1"/>
        <v>1033.281954887218</v>
      </c>
      <c r="E65" s="28">
        <f>VLOOKUP(A65,[2]進出口值表查詢結果!$A$3:$C$91,3,0)</f>
        <v>1548</v>
      </c>
      <c r="F65" s="29">
        <f t="shared" si="6"/>
        <v>2.2726271746311387E-3</v>
      </c>
      <c r="G65" s="27">
        <f>VLOOKUP(A65,[2]進出口值表查詢結果!$A$3:$C$91,2,0)</f>
        <v>1916528</v>
      </c>
      <c r="H65" s="29">
        <f t="shared" si="7"/>
        <v>2.4678941131202675E-3</v>
      </c>
      <c r="I65" s="25">
        <f t="shared" si="2"/>
        <v>1238.0671834625323</v>
      </c>
    </row>
    <row r="66" spans="1:256">
      <c r="A66" s="30" t="s">
        <v>29</v>
      </c>
      <c r="B66" s="27">
        <f>B67-B7-B12-B41-B47</f>
        <v>1941</v>
      </c>
      <c r="C66" s="27">
        <f>C67-C7-C12-C41-C47</f>
        <v>2612868</v>
      </c>
      <c r="D66" s="23">
        <f t="shared" si="1"/>
        <v>1346.145285935085</v>
      </c>
      <c r="E66" s="27">
        <f>E67-E7-E12-E41-E47</f>
        <v>13821</v>
      </c>
      <c r="F66" s="29">
        <f>E66/$E$67</f>
        <v>2.0290684871173751E-2</v>
      </c>
      <c r="G66" s="27">
        <f>G67-G7-G12-G41-G47</f>
        <v>20570552</v>
      </c>
      <c r="H66" s="29">
        <f t="shared" si="7"/>
        <v>2.6488495959586474E-2</v>
      </c>
      <c r="I66" s="25">
        <f t="shared" si="2"/>
        <v>1488.354822371753</v>
      </c>
    </row>
    <row r="67" spans="1:256">
      <c r="A67" s="286" t="s">
        <v>401</v>
      </c>
      <c r="B67" s="27">
        <f>VLOOKUP(A67,[1]進出口值表查詢結果!$A$3:$C$50,3,0)</f>
        <v>67360</v>
      </c>
      <c r="C67" s="28">
        <f>VLOOKUP(A67,[1]進出口值表查詢結果!$A$3:$C$50,2,0)</f>
        <v>75470252</v>
      </c>
      <c r="D67" s="23">
        <f t="shared" ref="D67" si="10">C67/B67</f>
        <v>1120.4016033254156</v>
      </c>
      <c r="E67" s="28">
        <f>VLOOKUP(A67,[2]進出口值表查詢結果!$A$3:$C$91,3,0)</f>
        <v>681150</v>
      </c>
      <c r="F67" s="24">
        <f>E67/$E$67</f>
        <v>1</v>
      </c>
      <c r="G67" s="27">
        <f>VLOOKUP(A67,[2]進出口值表查詢結果!$A$3:$C$91,2,0)</f>
        <v>776584372</v>
      </c>
      <c r="H67" s="24">
        <f>G67/$G$67</f>
        <v>1</v>
      </c>
      <c r="I67" s="25">
        <f>G67/E67</f>
        <v>1140.1077178301402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90" t="s">
        <v>149</v>
      </c>
      <c r="B69" s="591"/>
      <c r="C69" s="591"/>
      <c r="D69" s="591"/>
      <c r="E69" s="591"/>
      <c r="F69" s="591"/>
      <c r="G69" s="591"/>
      <c r="H69" s="591"/>
      <c r="I69" s="592"/>
    </row>
    <row r="70" spans="1:256">
      <c r="A70" s="8" t="s">
        <v>481</v>
      </c>
      <c r="B70" s="8" t="s">
        <v>482</v>
      </c>
      <c r="C70" s="8" t="s">
        <v>483</v>
      </c>
      <c r="D70" s="9" t="s">
        <v>0</v>
      </c>
      <c r="E70" s="10" t="s">
        <v>484</v>
      </c>
      <c r="F70" s="11" t="s">
        <v>1</v>
      </c>
      <c r="G70" s="72" t="s">
        <v>486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4" t="s">
        <v>3</v>
      </c>
      <c r="H71" s="51"/>
      <c r="I71" s="43" t="s">
        <v>3</v>
      </c>
    </row>
    <row r="72" spans="1:256">
      <c r="A72" s="32" t="s">
        <v>30</v>
      </c>
      <c r="B72" s="27">
        <v>3312</v>
      </c>
      <c r="C72" s="27">
        <v>631771</v>
      </c>
      <c r="D72" s="478">
        <f>C72/B72</f>
        <v>190.75211352657004</v>
      </c>
      <c r="E72" s="27">
        <v>17039</v>
      </c>
      <c r="F72" s="479">
        <v>1</v>
      </c>
      <c r="G72" s="27">
        <v>4456851</v>
      </c>
      <c r="H72" s="503">
        <v>1</v>
      </c>
      <c r="I72" s="52">
        <f>G72/E72</f>
        <v>261.56763894594752</v>
      </c>
    </row>
    <row r="73" spans="1:256" ht="6.7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14" t="s">
        <v>469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0"/>
  <sheetViews>
    <sheetView topLeftCell="A13" workbookViewId="0">
      <selection activeCell="A17" sqref="A17:XFD17"/>
    </sheetView>
  </sheetViews>
  <sheetFormatPr defaultRowHeight="16.5"/>
  <cols>
    <col min="1" max="1" width="18.5" style="5" customWidth="1"/>
    <col min="2" max="2" width="12.125" style="5" customWidth="1"/>
    <col min="3" max="3" width="12.125" style="58" customWidth="1"/>
    <col min="4" max="4" width="13.75" style="59" customWidth="1"/>
    <col min="5" max="5" width="13.5" style="487" customWidth="1"/>
    <col min="6" max="6" width="15.125" style="58" customWidth="1"/>
    <col min="7" max="7" width="12.25" style="59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496</v>
      </c>
      <c r="B1" s="1"/>
      <c r="C1" s="56"/>
      <c r="D1" s="57"/>
      <c r="E1" s="498"/>
      <c r="F1" s="56"/>
      <c r="G1" s="57"/>
    </row>
    <row r="3" spans="1:10">
      <c r="A3" s="110" t="s">
        <v>150</v>
      </c>
      <c r="B3" s="62"/>
      <c r="C3" s="65"/>
      <c r="D3" s="64"/>
      <c r="E3" s="488"/>
      <c r="F3" s="65"/>
      <c r="G3" s="198"/>
      <c r="H3" s="199"/>
      <c r="I3" s="67"/>
      <c r="J3" s="68"/>
    </row>
    <row r="4" spans="1:10">
      <c r="A4" s="69" t="s">
        <v>488</v>
      </c>
      <c r="B4" s="8" t="s">
        <v>450</v>
      </c>
      <c r="C4" s="540" t="s">
        <v>474</v>
      </c>
      <c r="D4" s="71" t="s">
        <v>155</v>
      </c>
      <c r="E4" s="489" t="s">
        <v>453</v>
      </c>
      <c r="F4" s="540" t="s">
        <v>474</v>
      </c>
      <c r="G4" s="73" t="s">
        <v>156</v>
      </c>
      <c r="H4" s="8" t="s">
        <v>450</v>
      </c>
      <c r="I4" s="70" t="s">
        <v>451</v>
      </c>
      <c r="J4" s="200" t="s">
        <v>114</v>
      </c>
    </row>
    <row r="5" spans="1:10">
      <c r="A5" s="46"/>
      <c r="B5" s="76" t="s">
        <v>32</v>
      </c>
      <c r="C5" s="536" t="s">
        <v>32</v>
      </c>
      <c r="D5" s="201" t="s">
        <v>1</v>
      </c>
      <c r="E5" s="490" t="s">
        <v>33</v>
      </c>
      <c r="F5" s="536" t="s">
        <v>476</v>
      </c>
      <c r="G5" s="201" t="s">
        <v>1</v>
      </c>
      <c r="H5" s="77" t="s">
        <v>34</v>
      </c>
      <c r="I5" s="78" t="s">
        <v>115</v>
      </c>
      <c r="J5" s="201" t="s">
        <v>1</v>
      </c>
    </row>
    <row r="6" spans="1:10">
      <c r="A6" s="20" t="s">
        <v>4</v>
      </c>
      <c r="B6" s="202"/>
      <c r="C6" s="545"/>
      <c r="D6" s="203"/>
      <c r="E6" s="491"/>
      <c r="F6" s="545"/>
      <c r="G6" s="204"/>
      <c r="H6" s="205"/>
      <c r="I6" s="82"/>
      <c r="J6" s="204"/>
    </row>
    <row r="7" spans="1:10">
      <c r="A7" s="121" t="s">
        <v>5</v>
      </c>
      <c r="B7" s="206">
        <f>SUM(B8:B10)</f>
        <v>20</v>
      </c>
      <c r="C7" s="546">
        <v>4</v>
      </c>
      <c r="D7" s="474">
        <f t="shared" ref="D7:D68" si="0">IF(C7,(B7-C7)/C7,0)</f>
        <v>4</v>
      </c>
      <c r="E7" s="492">
        <f>SUM(E8:E10)</f>
        <v>43199</v>
      </c>
      <c r="F7" s="546">
        <v>3424</v>
      </c>
      <c r="G7" s="474">
        <f>IF(F7,(E7-F7)/F7,0)</f>
        <v>11.616530373831775</v>
      </c>
      <c r="H7" s="85">
        <f>IF(B7,E7/B7,0)</f>
        <v>2159.9499999999998</v>
      </c>
      <c r="I7" s="86">
        <f>IF(C7,F7/C7,0)</f>
        <v>856</v>
      </c>
      <c r="J7" s="471">
        <f>IF(I7,(H7-I7)/I7,0)</f>
        <v>1.5233060747663549</v>
      </c>
    </row>
    <row r="8" spans="1:10">
      <c r="A8" s="76" t="s">
        <v>379</v>
      </c>
      <c r="B8" s="207">
        <f>折疊車!E8</f>
        <v>20</v>
      </c>
      <c r="C8" s="546">
        <v>3</v>
      </c>
      <c r="D8" s="474">
        <f t="shared" si="0"/>
        <v>5.666666666666667</v>
      </c>
      <c r="E8" s="493">
        <f>折疊車!G8</f>
        <v>43199</v>
      </c>
      <c r="F8" s="546">
        <v>2833</v>
      </c>
      <c r="G8" s="474">
        <f t="shared" ref="G8:G68" si="1">IF(F8,(E8-F8)/F8,0)</f>
        <v>14.248499823508649</v>
      </c>
      <c r="H8" s="85">
        <f t="shared" ref="H8:H10" si="2">IF(B8,E8/B8,0)</f>
        <v>2159.9499999999998</v>
      </c>
      <c r="I8" s="86">
        <f t="shared" ref="I8:I10" si="3">IF(C8,F8/C8,0)</f>
        <v>944.33333333333337</v>
      </c>
      <c r="J8" s="471">
        <f t="shared" ref="J8:J68" si="4">IF(I8,(H8-I8)/I8,0)</f>
        <v>1.2872749735262967</v>
      </c>
    </row>
    <row r="9" spans="1:10">
      <c r="A9" s="30" t="s">
        <v>6</v>
      </c>
      <c r="B9" s="207">
        <f>折疊車!E9</f>
        <v>0</v>
      </c>
      <c r="C9" s="546">
        <v>1</v>
      </c>
      <c r="D9" s="474">
        <f t="shared" si="0"/>
        <v>-1</v>
      </c>
      <c r="E9" s="493">
        <f>折疊車!G9</f>
        <v>0</v>
      </c>
      <c r="F9" s="546">
        <v>591</v>
      </c>
      <c r="G9" s="474">
        <f t="shared" si="1"/>
        <v>-1</v>
      </c>
      <c r="H9" s="85">
        <f t="shared" si="2"/>
        <v>0</v>
      </c>
      <c r="I9" s="86">
        <f t="shared" si="3"/>
        <v>591</v>
      </c>
      <c r="J9" s="471">
        <f t="shared" si="4"/>
        <v>-1</v>
      </c>
    </row>
    <row r="10" spans="1:10">
      <c r="A10" s="30" t="s">
        <v>7</v>
      </c>
      <c r="B10" s="207">
        <f>折疊車!E10</f>
        <v>0</v>
      </c>
      <c r="C10" s="546">
        <v>0</v>
      </c>
      <c r="D10" s="474">
        <f t="shared" si="0"/>
        <v>0</v>
      </c>
      <c r="E10" s="493">
        <f>折疊車!G10</f>
        <v>0</v>
      </c>
      <c r="F10" s="546">
        <v>0</v>
      </c>
      <c r="G10" s="474">
        <f t="shared" si="1"/>
        <v>0</v>
      </c>
      <c r="H10" s="85">
        <f t="shared" si="2"/>
        <v>0</v>
      </c>
      <c r="I10" s="86">
        <f t="shared" si="3"/>
        <v>0</v>
      </c>
      <c r="J10" s="471">
        <f t="shared" si="4"/>
        <v>0</v>
      </c>
    </row>
    <row r="11" spans="1:10">
      <c r="A11" s="30"/>
      <c r="B11" s="27"/>
      <c r="C11" s="535"/>
      <c r="D11" s="474"/>
      <c r="E11" s="494"/>
      <c r="F11" s="535"/>
      <c r="G11" s="474"/>
      <c r="H11" s="85"/>
      <c r="I11" s="86"/>
      <c r="J11" s="471"/>
    </row>
    <row r="12" spans="1:10">
      <c r="A12" s="32" t="s">
        <v>8</v>
      </c>
      <c r="B12" s="33">
        <f>SUM(B13:B39)</f>
        <v>731</v>
      </c>
      <c r="C12" s="535">
        <v>1694</v>
      </c>
      <c r="D12" s="474">
        <f t="shared" si="0"/>
        <v>-0.56847697756788662</v>
      </c>
      <c r="E12" s="495">
        <f>SUM(E13:E39)</f>
        <v>313851</v>
      </c>
      <c r="F12" s="535">
        <v>1053846</v>
      </c>
      <c r="G12" s="474">
        <f t="shared" si="1"/>
        <v>-0.7021851390051298</v>
      </c>
      <c r="H12" s="85">
        <f t="shared" ref="H12:H67" si="5">IF(B12,E12/B12,0)</f>
        <v>429.34473324213405</v>
      </c>
      <c r="I12" s="86">
        <f t="shared" ref="I12:I67" si="6">IF(C12,F12/C12,0)</f>
        <v>622.10507674144037</v>
      </c>
      <c r="J12" s="471">
        <f t="shared" si="4"/>
        <v>-0.30985174483541705</v>
      </c>
    </row>
    <row r="13" spans="1:10">
      <c r="A13" s="425" t="s">
        <v>198</v>
      </c>
      <c r="B13" s="207">
        <f>折疊車!E13</f>
        <v>631</v>
      </c>
      <c r="C13" s="535">
        <v>33</v>
      </c>
      <c r="D13" s="474">
        <f t="shared" si="0"/>
        <v>18.121212121212121</v>
      </c>
      <c r="E13" s="494">
        <f>折疊車!G13</f>
        <v>295315</v>
      </c>
      <c r="F13" s="546">
        <v>14379</v>
      </c>
      <c r="G13" s="474">
        <f t="shared" si="1"/>
        <v>19.537937269629321</v>
      </c>
      <c r="H13" s="85">
        <f t="shared" si="5"/>
        <v>468.01109350237721</v>
      </c>
      <c r="I13" s="86">
        <f t="shared" si="6"/>
        <v>435.72727272727275</v>
      </c>
      <c r="J13" s="471">
        <f t="shared" si="4"/>
        <v>7.4091806494084922E-2</v>
      </c>
    </row>
    <row r="14" spans="1:10">
      <c r="A14" s="425" t="s">
        <v>199</v>
      </c>
      <c r="B14" s="207">
        <f>折疊車!E14</f>
        <v>0</v>
      </c>
      <c r="C14" s="546">
        <v>0</v>
      </c>
      <c r="D14" s="474">
        <f t="shared" si="0"/>
        <v>0</v>
      </c>
      <c r="E14" s="494">
        <f>折疊車!G14</f>
        <v>0</v>
      </c>
      <c r="F14" s="546">
        <v>0</v>
      </c>
      <c r="G14" s="474">
        <f t="shared" si="1"/>
        <v>0</v>
      </c>
      <c r="H14" s="85">
        <f t="shared" si="5"/>
        <v>0</v>
      </c>
      <c r="I14" s="86">
        <f t="shared" si="6"/>
        <v>0</v>
      </c>
      <c r="J14" s="471">
        <f t="shared" si="4"/>
        <v>0</v>
      </c>
    </row>
    <row r="15" spans="1:10">
      <c r="A15" s="426" t="s">
        <v>9</v>
      </c>
      <c r="B15" s="207">
        <f>折疊車!E15</f>
        <v>0</v>
      </c>
      <c r="C15" s="546">
        <v>48</v>
      </c>
      <c r="D15" s="474">
        <f t="shared" si="0"/>
        <v>-1</v>
      </c>
      <c r="E15" s="494">
        <f>折疊車!G15</f>
        <v>0</v>
      </c>
      <c r="F15" s="546">
        <v>40131</v>
      </c>
      <c r="G15" s="474">
        <f t="shared" si="1"/>
        <v>-1</v>
      </c>
      <c r="H15" s="85">
        <f t="shared" si="5"/>
        <v>0</v>
      </c>
      <c r="I15" s="86">
        <f t="shared" si="6"/>
        <v>836.0625</v>
      </c>
      <c r="J15" s="471">
        <f t="shared" si="4"/>
        <v>-1</v>
      </c>
    </row>
    <row r="16" spans="1:10">
      <c r="A16" s="425" t="s">
        <v>200</v>
      </c>
      <c r="B16" s="207">
        <f>折疊車!E16</f>
        <v>0</v>
      </c>
      <c r="C16" s="546">
        <v>0</v>
      </c>
      <c r="D16" s="474">
        <f t="shared" si="0"/>
        <v>0</v>
      </c>
      <c r="E16" s="494">
        <f>折疊車!G16</f>
        <v>0</v>
      </c>
      <c r="F16" s="546">
        <v>0</v>
      </c>
      <c r="G16" s="474">
        <f t="shared" si="1"/>
        <v>0</v>
      </c>
      <c r="H16" s="85">
        <f t="shared" si="5"/>
        <v>0</v>
      </c>
      <c r="I16" s="86">
        <f t="shared" si="6"/>
        <v>0</v>
      </c>
      <c r="J16" s="471">
        <f t="shared" si="4"/>
        <v>0</v>
      </c>
    </row>
    <row r="17" spans="1:12">
      <c r="A17" s="426" t="s">
        <v>10</v>
      </c>
      <c r="B17" s="207">
        <f>折疊車!E17</f>
        <v>0</v>
      </c>
      <c r="C17" s="546">
        <v>113</v>
      </c>
      <c r="D17" s="474">
        <f t="shared" si="0"/>
        <v>-1</v>
      </c>
      <c r="E17" s="494">
        <f>折疊車!G17</f>
        <v>0</v>
      </c>
      <c r="F17" s="546">
        <v>115083</v>
      </c>
      <c r="G17" s="474">
        <f t="shared" si="1"/>
        <v>-1</v>
      </c>
      <c r="H17" s="85">
        <f t="shared" si="5"/>
        <v>0</v>
      </c>
      <c r="I17" s="86">
        <f t="shared" si="6"/>
        <v>1018.4336283185841</v>
      </c>
      <c r="J17" s="471">
        <f t="shared" si="4"/>
        <v>-1</v>
      </c>
      <c r="L17" s="5" t="e">
        <f>VLOOKUP(A15,[12]進出口值表查詢結果!$A$3:$E$19,5,0)</f>
        <v>#N/A</v>
      </c>
    </row>
    <row r="18" spans="1:12">
      <c r="A18" s="426" t="s">
        <v>11</v>
      </c>
      <c r="B18" s="207">
        <f>折疊車!E18</f>
        <v>0</v>
      </c>
      <c r="C18" s="546">
        <v>0</v>
      </c>
      <c r="D18" s="474">
        <f t="shared" si="0"/>
        <v>0</v>
      </c>
      <c r="E18" s="494">
        <f>折疊車!G18</f>
        <v>0</v>
      </c>
      <c r="F18" s="546">
        <v>0</v>
      </c>
      <c r="G18" s="474">
        <f t="shared" si="1"/>
        <v>0</v>
      </c>
      <c r="H18" s="85">
        <f t="shared" si="5"/>
        <v>0</v>
      </c>
      <c r="I18" s="86">
        <f t="shared" si="6"/>
        <v>0</v>
      </c>
      <c r="J18" s="471">
        <f t="shared" si="4"/>
        <v>0</v>
      </c>
    </row>
    <row r="19" spans="1:12">
      <c r="A19" s="425" t="s">
        <v>201</v>
      </c>
      <c r="B19" s="207">
        <f>折疊車!E19</f>
        <v>0</v>
      </c>
      <c r="C19" s="546">
        <v>0</v>
      </c>
      <c r="D19" s="474">
        <f t="shared" si="0"/>
        <v>0</v>
      </c>
      <c r="E19" s="494">
        <f>折疊車!G19</f>
        <v>0</v>
      </c>
      <c r="F19" s="546">
        <v>0</v>
      </c>
      <c r="G19" s="474">
        <f t="shared" si="1"/>
        <v>0</v>
      </c>
      <c r="H19" s="85">
        <f t="shared" si="5"/>
        <v>0</v>
      </c>
      <c r="I19" s="86">
        <f t="shared" si="6"/>
        <v>0</v>
      </c>
      <c r="J19" s="471">
        <f t="shared" si="4"/>
        <v>0</v>
      </c>
    </row>
    <row r="20" spans="1:12">
      <c r="A20" s="426" t="s">
        <v>12</v>
      </c>
      <c r="B20" s="207">
        <f>折疊車!E20</f>
        <v>0</v>
      </c>
      <c r="C20" s="546">
        <v>0</v>
      </c>
      <c r="D20" s="474">
        <f t="shared" si="0"/>
        <v>0</v>
      </c>
      <c r="E20" s="494">
        <f>折疊車!G20</f>
        <v>0</v>
      </c>
      <c r="F20" s="546">
        <v>0</v>
      </c>
      <c r="G20" s="474">
        <f t="shared" si="1"/>
        <v>0</v>
      </c>
      <c r="H20" s="85">
        <f t="shared" si="5"/>
        <v>0</v>
      </c>
      <c r="I20" s="86">
        <f t="shared" si="6"/>
        <v>0</v>
      </c>
      <c r="J20" s="471">
        <f t="shared" si="4"/>
        <v>0</v>
      </c>
      <c r="L20" s="5" t="e">
        <f>VLOOKUP(A18,[12]進出口值表查詢結果!$A$3:$E$19,5,0)</f>
        <v>#N/A</v>
      </c>
    </row>
    <row r="21" spans="1:12">
      <c r="A21" s="425" t="s">
        <v>203</v>
      </c>
      <c r="B21" s="207">
        <f>折疊車!E21</f>
        <v>0</v>
      </c>
      <c r="C21" s="546">
        <v>0</v>
      </c>
      <c r="D21" s="474">
        <f t="shared" si="0"/>
        <v>0</v>
      </c>
      <c r="E21" s="494">
        <f>折疊車!G21</f>
        <v>0</v>
      </c>
      <c r="F21" s="546">
        <v>0</v>
      </c>
      <c r="G21" s="474">
        <f t="shared" si="1"/>
        <v>0</v>
      </c>
      <c r="H21" s="85">
        <f t="shared" si="5"/>
        <v>0</v>
      </c>
      <c r="I21" s="86">
        <f t="shared" si="6"/>
        <v>0</v>
      </c>
      <c r="J21" s="471">
        <f t="shared" si="4"/>
        <v>0</v>
      </c>
    </row>
    <row r="22" spans="1:12">
      <c r="A22" s="426" t="s">
        <v>13</v>
      </c>
      <c r="B22" s="207">
        <f>折疊車!E22</f>
        <v>0</v>
      </c>
      <c r="C22" s="546">
        <v>0</v>
      </c>
      <c r="D22" s="474">
        <f t="shared" si="0"/>
        <v>0</v>
      </c>
      <c r="E22" s="494">
        <f>折疊車!G22</f>
        <v>0</v>
      </c>
      <c r="F22" s="546">
        <v>0</v>
      </c>
      <c r="G22" s="474">
        <f t="shared" si="1"/>
        <v>0</v>
      </c>
      <c r="H22" s="85">
        <f t="shared" si="5"/>
        <v>0</v>
      </c>
      <c r="I22" s="86">
        <f t="shared" si="6"/>
        <v>0</v>
      </c>
      <c r="J22" s="471">
        <f t="shared" si="4"/>
        <v>0</v>
      </c>
    </row>
    <row r="23" spans="1:12">
      <c r="A23" s="426" t="s">
        <v>14</v>
      </c>
      <c r="B23" s="207">
        <f>折疊車!E23</f>
        <v>0</v>
      </c>
      <c r="C23" s="546">
        <v>0</v>
      </c>
      <c r="D23" s="474">
        <f t="shared" si="0"/>
        <v>0</v>
      </c>
      <c r="E23" s="494">
        <f>折疊車!G23</f>
        <v>0</v>
      </c>
      <c r="F23" s="546">
        <v>0</v>
      </c>
      <c r="G23" s="474">
        <f t="shared" si="1"/>
        <v>0</v>
      </c>
      <c r="H23" s="85">
        <f t="shared" si="5"/>
        <v>0</v>
      </c>
      <c r="I23" s="86">
        <f t="shared" si="6"/>
        <v>0</v>
      </c>
      <c r="J23" s="471">
        <f t="shared" si="4"/>
        <v>0</v>
      </c>
    </row>
    <row r="24" spans="1:12">
      <c r="A24" s="426" t="s">
        <v>15</v>
      </c>
      <c r="B24" s="207">
        <f>折疊車!E24</f>
        <v>0</v>
      </c>
      <c r="C24" s="546">
        <v>1500</v>
      </c>
      <c r="D24" s="474">
        <f t="shared" si="0"/>
        <v>-1</v>
      </c>
      <c r="E24" s="494">
        <f>折疊車!G24</f>
        <v>0</v>
      </c>
      <c r="F24" s="546">
        <v>884253</v>
      </c>
      <c r="G24" s="474">
        <f t="shared" si="1"/>
        <v>-1</v>
      </c>
      <c r="H24" s="85">
        <f t="shared" si="5"/>
        <v>0</v>
      </c>
      <c r="I24" s="86">
        <f t="shared" si="6"/>
        <v>589.50199999999995</v>
      </c>
      <c r="J24" s="471">
        <f t="shared" si="4"/>
        <v>-1</v>
      </c>
    </row>
    <row r="25" spans="1:12">
      <c r="A25" s="425" t="s">
        <v>204</v>
      </c>
      <c r="B25" s="207">
        <f>折疊車!E25</f>
        <v>0</v>
      </c>
      <c r="C25" s="546">
        <v>0</v>
      </c>
      <c r="D25" s="474">
        <f t="shared" si="0"/>
        <v>0</v>
      </c>
      <c r="E25" s="494">
        <f>折疊車!G25</f>
        <v>0</v>
      </c>
      <c r="F25" s="546">
        <v>0</v>
      </c>
      <c r="G25" s="474">
        <f t="shared" si="1"/>
        <v>0</v>
      </c>
      <c r="H25" s="85">
        <f t="shared" si="5"/>
        <v>0</v>
      </c>
      <c r="I25" s="86">
        <f t="shared" si="6"/>
        <v>0</v>
      </c>
      <c r="J25" s="471">
        <f t="shared" si="4"/>
        <v>0</v>
      </c>
    </row>
    <row r="26" spans="1:12">
      <c r="A26" s="425" t="s">
        <v>205</v>
      </c>
      <c r="B26" s="207">
        <f>折疊車!E26</f>
        <v>0</v>
      </c>
      <c r="C26" s="546">
        <v>0</v>
      </c>
      <c r="D26" s="474">
        <f t="shared" si="0"/>
        <v>0</v>
      </c>
      <c r="E26" s="494">
        <f>折疊車!G26</f>
        <v>0</v>
      </c>
      <c r="F26" s="546">
        <v>0</v>
      </c>
      <c r="G26" s="474">
        <f t="shared" si="1"/>
        <v>0</v>
      </c>
      <c r="H26" s="85">
        <f t="shared" si="5"/>
        <v>0</v>
      </c>
      <c r="I26" s="86">
        <f t="shared" si="6"/>
        <v>0</v>
      </c>
      <c r="J26" s="471">
        <f t="shared" si="4"/>
        <v>0</v>
      </c>
    </row>
    <row r="27" spans="1:12">
      <c r="A27" s="285" t="s">
        <v>206</v>
      </c>
      <c r="B27" s="207">
        <f>折疊車!E27</f>
        <v>0</v>
      </c>
      <c r="C27" s="546">
        <v>0</v>
      </c>
      <c r="D27" s="474">
        <f t="shared" si="0"/>
        <v>0</v>
      </c>
      <c r="E27" s="494">
        <f>折疊車!G27</f>
        <v>0</v>
      </c>
      <c r="F27" s="546">
        <v>0</v>
      </c>
      <c r="G27" s="474">
        <f t="shared" si="1"/>
        <v>0</v>
      </c>
      <c r="H27" s="85">
        <f t="shared" si="5"/>
        <v>0</v>
      </c>
      <c r="I27" s="86">
        <f t="shared" si="6"/>
        <v>0</v>
      </c>
      <c r="J27" s="471">
        <f t="shared" si="4"/>
        <v>0</v>
      </c>
    </row>
    <row r="28" spans="1:12">
      <c r="A28" s="285" t="s">
        <v>207</v>
      </c>
      <c r="B28" s="207">
        <f>折疊車!E28</f>
        <v>0</v>
      </c>
      <c r="C28" s="546">
        <v>0</v>
      </c>
      <c r="D28" s="474">
        <f t="shared" si="0"/>
        <v>0</v>
      </c>
      <c r="E28" s="494">
        <f>折疊車!G28</f>
        <v>0</v>
      </c>
      <c r="F28" s="546">
        <v>0</v>
      </c>
      <c r="G28" s="474">
        <f t="shared" si="1"/>
        <v>0</v>
      </c>
      <c r="H28" s="85">
        <f t="shared" si="5"/>
        <v>0</v>
      </c>
      <c r="I28" s="86">
        <f t="shared" si="6"/>
        <v>0</v>
      </c>
      <c r="J28" s="471">
        <f t="shared" si="4"/>
        <v>0</v>
      </c>
    </row>
    <row r="29" spans="1:12">
      <c r="A29" s="426" t="s">
        <v>208</v>
      </c>
      <c r="B29" s="207">
        <f>折疊車!E29</f>
        <v>0</v>
      </c>
      <c r="C29" s="546">
        <v>0</v>
      </c>
      <c r="D29" s="474">
        <f t="shared" si="0"/>
        <v>0</v>
      </c>
      <c r="E29" s="494">
        <f>折疊車!G29</f>
        <v>0</v>
      </c>
      <c r="F29" s="546">
        <v>0</v>
      </c>
      <c r="G29" s="474">
        <f t="shared" si="1"/>
        <v>0</v>
      </c>
      <c r="H29" s="85">
        <f t="shared" si="5"/>
        <v>0</v>
      </c>
      <c r="I29" s="86">
        <f t="shared" si="6"/>
        <v>0</v>
      </c>
      <c r="J29" s="471">
        <f t="shared" si="4"/>
        <v>0</v>
      </c>
    </row>
    <row r="30" spans="1:12">
      <c r="A30" s="426" t="s">
        <v>209</v>
      </c>
      <c r="B30" s="207">
        <f>折疊車!E30</f>
        <v>0</v>
      </c>
      <c r="C30" s="546">
        <v>0</v>
      </c>
      <c r="D30" s="474">
        <f t="shared" si="0"/>
        <v>0</v>
      </c>
      <c r="E30" s="494">
        <f>折疊車!G30</f>
        <v>0</v>
      </c>
      <c r="F30" s="546">
        <v>0</v>
      </c>
      <c r="G30" s="474">
        <f t="shared" si="1"/>
        <v>0</v>
      </c>
      <c r="H30" s="85">
        <f t="shared" si="5"/>
        <v>0</v>
      </c>
      <c r="I30" s="86">
        <f t="shared" si="6"/>
        <v>0</v>
      </c>
      <c r="J30" s="471">
        <f t="shared" si="4"/>
        <v>0</v>
      </c>
    </row>
    <row r="31" spans="1:12">
      <c r="A31" s="426" t="s">
        <v>16</v>
      </c>
      <c r="B31" s="207">
        <f>折疊車!E31</f>
        <v>0</v>
      </c>
      <c r="C31" s="546">
        <v>0</v>
      </c>
      <c r="D31" s="474">
        <f t="shared" si="0"/>
        <v>0</v>
      </c>
      <c r="E31" s="494">
        <f>折疊車!G31</f>
        <v>0</v>
      </c>
      <c r="F31" s="546">
        <v>0</v>
      </c>
      <c r="G31" s="474">
        <f t="shared" si="1"/>
        <v>0</v>
      </c>
      <c r="H31" s="85">
        <f t="shared" si="5"/>
        <v>0</v>
      </c>
      <c r="I31" s="86">
        <f t="shared" si="6"/>
        <v>0</v>
      </c>
      <c r="J31" s="471">
        <f t="shared" si="4"/>
        <v>0</v>
      </c>
    </row>
    <row r="32" spans="1:12">
      <c r="A32" s="426" t="s">
        <v>17</v>
      </c>
      <c r="B32" s="207">
        <f>折疊車!E32</f>
        <v>0</v>
      </c>
      <c r="C32" s="546">
        <v>0</v>
      </c>
      <c r="D32" s="474">
        <f t="shared" si="0"/>
        <v>0</v>
      </c>
      <c r="E32" s="494">
        <f>折疊車!G32</f>
        <v>0</v>
      </c>
      <c r="F32" s="546">
        <v>0</v>
      </c>
      <c r="G32" s="474">
        <f t="shared" si="1"/>
        <v>0</v>
      </c>
      <c r="H32" s="85">
        <f t="shared" si="5"/>
        <v>0</v>
      </c>
      <c r="I32" s="86">
        <f t="shared" si="6"/>
        <v>0</v>
      </c>
      <c r="J32" s="471">
        <f t="shared" si="4"/>
        <v>0</v>
      </c>
    </row>
    <row r="33" spans="1:10">
      <c r="A33" s="426" t="s">
        <v>210</v>
      </c>
      <c r="B33" s="207">
        <f>折疊車!E33</f>
        <v>0</v>
      </c>
      <c r="C33" s="546">
        <v>0</v>
      </c>
      <c r="D33" s="474">
        <f t="shared" si="0"/>
        <v>0</v>
      </c>
      <c r="E33" s="494">
        <f>折疊車!G33</f>
        <v>0</v>
      </c>
      <c r="F33" s="546">
        <v>0</v>
      </c>
      <c r="G33" s="474">
        <f t="shared" si="1"/>
        <v>0</v>
      </c>
      <c r="H33" s="85">
        <f t="shared" si="5"/>
        <v>0</v>
      </c>
      <c r="I33" s="86">
        <f t="shared" si="6"/>
        <v>0</v>
      </c>
      <c r="J33" s="471">
        <f t="shared" si="4"/>
        <v>0</v>
      </c>
    </row>
    <row r="34" spans="1:10">
      <c r="A34" s="426" t="s">
        <v>211</v>
      </c>
      <c r="B34" s="207">
        <f>折疊車!E34</f>
        <v>0</v>
      </c>
      <c r="C34" s="546">
        <v>0</v>
      </c>
      <c r="D34" s="474">
        <f t="shared" si="0"/>
        <v>0</v>
      </c>
      <c r="E34" s="494">
        <f>折疊車!G34</f>
        <v>0</v>
      </c>
      <c r="F34" s="546">
        <v>0</v>
      </c>
      <c r="G34" s="474">
        <f t="shared" si="1"/>
        <v>0</v>
      </c>
      <c r="H34" s="85">
        <f t="shared" si="5"/>
        <v>0</v>
      </c>
      <c r="I34" s="86">
        <f t="shared" si="6"/>
        <v>0</v>
      </c>
      <c r="J34" s="471">
        <f t="shared" si="4"/>
        <v>0</v>
      </c>
    </row>
    <row r="35" spans="1:10">
      <c r="A35" s="426" t="s">
        <v>212</v>
      </c>
      <c r="B35" s="207">
        <f>折疊車!E35</f>
        <v>0</v>
      </c>
      <c r="C35" s="546">
        <v>0</v>
      </c>
      <c r="D35" s="474">
        <f t="shared" si="0"/>
        <v>0</v>
      </c>
      <c r="E35" s="494">
        <f>折疊車!G35</f>
        <v>0</v>
      </c>
      <c r="F35" s="546">
        <v>0</v>
      </c>
      <c r="G35" s="474">
        <f t="shared" si="1"/>
        <v>0</v>
      </c>
      <c r="H35" s="85">
        <f t="shared" si="5"/>
        <v>0</v>
      </c>
      <c r="I35" s="86">
        <f t="shared" si="6"/>
        <v>0</v>
      </c>
      <c r="J35" s="471">
        <f t="shared" si="4"/>
        <v>0</v>
      </c>
    </row>
    <row r="36" spans="1:10">
      <c r="A36" s="426" t="s">
        <v>380</v>
      </c>
      <c r="B36" s="207">
        <f>折疊車!E36</f>
        <v>0</v>
      </c>
      <c r="C36" s="546">
        <v>0</v>
      </c>
      <c r="D36" s="474">
        <f t="shared" si="0"/>
        <v>0</v>
      </c>
      <c r="E36" s="494">
        <f>折疊車!G36</f>
        <v>0</v>
      </c>
      <c r="F36" s="546">
        <v>0</v>
      </c>
      <c r="G36" s="474">
        <f t="shared" si="1"/>
        <v>0</v>
      </c>
      <c r="H36" s="85">
        <f t="shared" si="5"/>
        <v>0</v>
      </c>
      <c r="I36" s="86">
        <f t="shared" si="6"/>
        <v>0</v>
      </c>
      <c r="J36" s="471">
        <f t="shared" si="4"/>
        <v>0</v>
      </c>
    </row>
    <row r="37" spans="1:10">
      <c r="A37" s="426" t="s">
        <v>214</v>
      </c>
      <c r="B37" s="207">
        <f>折疊車!E37</f>
        <v>0</v>
      </c>
      <c r="C37" s="546">
        <v>0</v>
      </c>
      <c r="D37" s="474">
        <f t="shared" si="0"/>
        <v>0</v>
      </c>
      <c r="E37" s="494">
        <f>折疊車!G37</f>
        <v>0</v>
      </c>
      <c r="F37" s="546">
        <v>0</v>
      </c>
      <c r="G37" s="474">
        <f t="shared" si="1"/>
        <v>0</v>
      </c>
      <c r="H37" s="85">
        <f t="shared" si="5"/>
        <v>0</v>
      </c>
      <c r="I37" s="86">
        <f t="shared" si="6"/>
        <v>0</v>
      </c>
      <c r="J37" s="471">
        <f t="shared" si="4"/>
        <v>0</v>
      </c>
    </row>
    <row r="38" spans="1:10">
      <c r="A38" s="426" t="s">
        <v>215</v>
      </c>
      <c r="B38" s="207">
        <f>折疊車!E38</f>
        <v>100</v>
      </c>
      <c r="C38" s="546">
        <v>0</v>
      </c>
      <c r="D38" s="474">
        <f t="shared" si="0"/>
        <v>0</v>
      </c>
      <c r="E38" s="494">
        <f>折疊車!G38</f>
        <v>18536</v>
      </c>
      <c r="F38" s="546">
        <v>0</v>
      </c>
      <c r="G38" s="474">
        <f t="shared" si="1"/>
        <v>0</v>
      </c>
      <c r="H38" s="85">
        <f t="shared" si="5"/>
        <v>185.36</v>
      </c>
      <c r="I38" s="86">
        <f t="shared" si="6"/>
        <v>0</v>
      </c>
      <c r="J38" s="471">
        <f t="shared" si="4"/>
        <v>0</v>
      </c>
    </row>
    <row r="39" spans="1:10">
      <c r="A39" s="426" t="s">
        <v>18</v>
      </c>
      <c r="B39" s="207">
        <f>折疊車!E39</f>
        <v>0</v>
      </c>
      <c r="C39" s="546">
        <v>0</v>
      </c>
      <c r="D39" s="474">
        <f t="shared" si="0"/>
        <v>0</v>
      </c>
      <c r="E39" s="494">
        <f>折疊車!G39</f>
        <v>0</v>
      </c>
      <c r="F39" s="546">
        <v>0</v>
      </c>
      <c r="G39" s="474">
        <f t="shared" si="1"/>
        <v>0</v>
      </c>
      <c r="H39" s="85">
        <f t="shared" si="5"/>
        <v>0</v>
      </c>
      <c r="I39" s="86">
        <f t="shared" si="6"/>
        <v>0</v>
      </c>
      <c r="J39" s="471">
        <f t="shared" si="4"/>
        <v>0</v>
      </c>
    </row>
    <row r="40" spans="1:10">
      <c r="A40" s="30"/>
      <c r="B40" s="27"/>
      <c r="C40" s="535"/>
      <c r="D40" s="474"/>
      <c r="E40" s="494"/>
      <c r="F40" s="535"/>
      <c r="G40" s="474"/>
      <c r="H40" s="85"/>
      <c r="I40" s="86"/>
      <c r="J40" s="471"/>
    </row>
    <row r="41" spans="1:10" ht="16.149999999999999" customHeight="1">
      <c r="A41" s="36" t="s">
        <v>19</v>
      </c>
      <c r="B41" s="33">
        <f>SUM(B42:B45)</f>
        <v>0</v>
      </c>
      <c r="C41" s="535">
        <v>0</v>
      </c>
      <c r="D41" s="474">
        <f t="shared" si="0"/>
        <v>0</v>
      </c>
      <c r="E41" s="495">
        <f>SUM(E42:E45)</f>
        <v>0</v>
      </c>
      <c r="F41" s="535">
        <v>0</v>
      </c>
      <c r="G41" s="474">
        <f t="shared" si="1"/>
        <v>0</v>
      </c>
      <c r="H41" s="85">
        <f t="shared" si="5"/>
        <v>0</v>
      </c>
      <c r="I41" s="86">
        <f t="shared" si="6"/>
        <v>0</v>
      </c>
      <c r="J41" s="471">
        <f t="shared" si="4"/>
        <v>0</v>
      </c>
    </row>
    <row r="42" spans="1:10">
      <c r="A42" s="26" t="s">
        <v>216</v>
      </c>
      <c r="B42" s="27">
        <f>折疊車!E42</f>
        <v>0</v>
      </c>
      <c r="C42" s="546">
        <v>0</v>
      </c>
      <c r="D42" s="474">
        <f t="shared" si="0"/>
        <v>0</v>
      </c>
      <c r="E42" s="494">
        <f>折疊車!G42</f>
        <v>0</v>
      </c>
      <c r="F42" s="546">
        <v>0</v>
      </c>
      <c r="G42" s="474">
        <f t="shared" si="1"/>
        <v>0</v>
      </c>
      <c r="H42" s="85">
        <f t="shared" si="5"/>
        <v>0</v>
      </c>
      <c r="I42" s="86">
        <f t="shared" si="6"/>
        <v>0</v>
      </c>
      <c r="J42" s="471">
        <f t="shared" si="4"/>
        <v>0</v>
      </c>
    </row>
    <row r="43" spans="1:10">
      <c r="A43" s="26" t="s">
        <v>217</v>
      </c>
      <c r="B43" s="27">
        <f>折疊車!E43</f>
        <v>0</v>
      </c>
      <c r="C43" s="546">
        <v>0</v>
      </c>
      <c r="D43" s="474">
        <f t="shared" si="0"/>
        <v>0</v>
      </c>
      <c r="E43" s="494">
        <f>折疊車!G43</f>
        <v>0</v>
      </c>
      <c r="F43" s="546">
        <v>0</v>
      </c>
      <c r="G43" s="474">
        <f t="shared" si="1"/>
        <v>0</v>
      </c>
      <c r="H43" s="85">
        <f t="shared" si="5"/>
        <v>0</v>
      </c>
      <c r="I43" s="86">
        <f t="shared" si="6"/>
        <v>0</v>
      </c>
      <c r="J43" s="471">
        <f t="shared" si="4"/>
        <v>0</v>
      </c>
    </row>
    <row r="44" spans="1:10">
      <c r="A44" s="26" t="s">
        <v>218</v>
      </c>
      <c r="B44" s="27">
        <f>折疊車!E44</f>
        <v>0</v>
      </c>
      <c r="C44" s="546">
        <v>0</v>
      </c>
      <c r="D44" s="474">
        <f t="shared" si="0"/>
        <v>0</v>
      </c>
      <c r="E44" s="494">
        <f>折疊車!G44</f>
        <v>0</v>
      </c>
      <c r="F44" s="546">
        <v>0</v>
      </c>
      <c r="G44" s="474">
        <f t="shared" si="1"/>
        <v>0</v>
      </c>
      <c r="H44" s="85">
        <f t="shared" si="5"/>
        <v>0</v>
      </c>
      <c r="I44" s="86">
        <f t="shared" si="6"/>
        <v>0</v>
      </c>
      <c r="J44" s="471">
        <f t="shared" si="4"/>
        <v>0</v>
      </c>
    </row>
    <row r="45" spans="1:10">
      <c r="A45" s="30" t="s">
        <v>20</v>
      </c>
      <c r="B45" s="27">
        <f>折疊車!E45</f>
        <v>0</v>
      </c>
      <c r="C45" s="546">
        <v>0</v>
      </c>
      <c r="D45" s="474">
        <f t="shared" si="0"/>
        <v>0</v>
      </c>
      <c r="E45" s="494">
        <f>折疊車!G45</f>
        <v>0</v>
      </c>
      <c r="F45" s="546">
        <v>0</v>
      </c>
      <c r="G45" s="474">
        <f t="shared" si="1"/>
        <v>0</v>
      </c>
      <c r="H45" s="85">
        <f t="shared" si="5"/>
        <v>0</v>
      </c>
      <c r="I45" s="86">
        <f t="shared" si="6"/>
        <v>0</v>
      </c>
      <c r="J45" s="471">
        <f t="shared" si="4"/>
        <v>0</v>
      </c>
    </row>
    <row r="46" spans="1:10">
      <c r="A46" s="30"/>
      <c r="B46" s="27"/>
      <c r="C46" s="535"/>
      <c r="D46" s="474"/>
      <c r="E46" s="494"/>
      <c r="F46" s="535"/>
      <c r="G46" s="474"/>
      <c r="H46" s="85"/>
      <c r="I46" s="86"/>
      <c r="J46" s="471"/>
    </row>
    <row r="47" spans="1:10">
      <c r="A47" s="36" t="s">
        <v>21</v>
      </c>
      <c r="B47" s="33">
        <f>SUM(B48:B66)</f>
        <v>2579</v>
      </c>
      <c r="C47" s="535">
        <v>7664</v>
      </c>
      <c r="D47" s="474">
        <f t="shared" si="0"/>
        <v>-0.66349164926931103</v>
      </c>
      <c r="E47" s="495">
        <f>SUM(E48:E66)</f>
        <v>2175866</v>
      </c>
      <c r="F47" s="535">
        <v>5477424</v>
      </c>
      <c r="G47" s="474">
        <f t="shared" si="1"/>
        <v>-0.60275742757909556</v>
      </c>
      <c r="H47" s="85">
        <f t="shared" si="5"/>
        <v>843.68592477704533</v>
      </c>
      <c r="I47" s="86">
        <f t="shared" si="6"/>
        <v>714.69519832985384</v>
      </c>
      <c r="J47" s="471">
        <f t="shared" si="4"/>
        <v>0.18048354983862408</v>
      </c>
    </row>
    <row r="48" spans="1:10">
      <c r="A48" s="453" t="s">
        <v>159</v>
      </c>
      <c r="B48" s="27">
        <f>折疊車!E48</f>
        <v>0</v>
      </c>
      <c r="C48" s="546">
        <v>0</v>
      </c>
      <c r="D48" s="474">
        <f t="shared" si="0"/>
        <v>0</v>
      </c>
      <c r="E48" s="494">
        <f>折疊車!G48</f>
        <v>0</v>
      </c>
      <c r="F48" s="546">
        <v>0</v>
      </c>
      <c r="G48" s="474">
        <f t="shared" si="1"/>
        <v>0</v>
      </c>
      <c r="H48" s="85">
        <f t="shared" si="5"/>
        <v>0</v>
      </c>
      <c r="I48" s="86">
        <f t="shared" si="6"/>
        <v>0</v>
      </c>
      <c r="J48" s="471">
        <f t="shared" si="4"/>
        <v>0</v>
      </c>
    </row>
    <row r="49" spans="1:10">
      <c r="A49" s="425" t="s">
        <v>219</v>
      </c>
      <c r="B49" s="27">
        <f>折疊車!E49</f>
        <v>168</v>
      </c>
      <c r="C49" s="546">
        <v>1195</v>
      </c>
      <c r="D49" s="474">
        <f t="shared" si="0"/>
        <v>-0.85941422594142258</v>
      </c>
      <c r="E49" s="494">
        <f>折疊車!G49</f>
        <v>130809</v>
      </c>
      <c r="F49" s="546">
        <v>942083</v>
      </c>
      <c r="G49" s="474">
        <f t="shared" si="1"/>
        <v>-0.86114917687719661</v>
      </c>
      <c r="H49" s="85">
        <f t="shared" si="5"/>
        <v>778.625</v>
      </c>
      <c r="I49" s="86">
        <f t="shared" si="6"/>
        <v>788.35397489539753</v>
      </c>
      <c r="J49" s="471">
        <f t="shared" si="4"/>
        <v>-1.2340871239582971E-2</v>
      </c>
    </row>
    <row r="50" spans="1:10">
      <c r="A50" s="282" t="s">
        <v>220</v>
      </c>
      <c r="B50" s="27">
        <f>折疊車!E50</f>
        <v>19</v>
      </c>
      <c r="C50" s="546">
        <v>0</v>
      </c>
      <c r="D50" s="474">
        <f t="shared" si="0"/>
        <v>0</v>
      </c>
      <c r="E50" s="494">
        <f>折疊車!G50</f>
        <v>19056</v>
      </c>
      <c r="F50" s="546">
        <v>0</v>
      </c>
      <c r="G50" s="474">
        <f t="shared" si="1"/>
        <v>0</v>
      </c>
      <c r="H50" s="85">
        <f t="shared" si="5"/>
        <v>1002.9473684210526</v>
      </c>
      <c r="I50" s="86">
        <f t="shared" si="6"/>
        <v>0</v>
      </c>
      <c r="J50" s="471">
        <f t="shared" si="4"/>
        <v>0</v>
      </c>
    </row>
    <row r="51" spans="1:10">
      <c r="A51" s="425" t="s">
        <v>221</v>
      </c>
      <c r="B51" s="27">
        <f>折疊車!E51</f>
        <v>0</v>
      </c>
      <c r="C51" s="546">
        <v>0</v>
      </c>
      <c r="D51" s="474">
        <f t="shared" si="0"/>
        <v>0</v>
      </c>
      <c r="E51" s="494">
        <f>折疊車!G51</f>
        <v>0</v>
      </c>
      <c r="F51" s="546">
        <v>0</v>
      </c>
      <c r="G51" s="474">
        <f t="shared" si="1"/>
        <v>0</v>
      </c>
      <c r="H51" s="85">
        <f t="shared" si="5"/>
        <v>0</v>
      </c>
      <c r="I51" s="86">
        <f t="shared" si="6"/>
        <v>0</v>
      </c>
      <c r="J51" s="471">
        <f t="shared" si="4"/>
        <v>0</v>
      </c>
    </row>
    <row r="52" spans="1:10">
      <c r="A52" s="426" t="s">
        <v>22</v>
      </c>
      <c r="B52" s="27">
        <f>折疊車!E52</f>
        <v>0</v>
      </c>
      <c r="C52" s="546">
        <v>0</v>
      </c>
      <c r="D52" s="474">
        <f t="shared" si="0"/>
        <v>0</v>
      </c>
      <c r="E52" s="494">
        <f>折疊車!G52</f>
        <v>0</v>
      </c>
      <c r="F52" s="546">
        <v>0</v>
      </c>
      <c r="G52" s="474">
        <f t="shared" si="1"/>
        <v>0</v>
      </c>
      <c r="H52" s="85">
        <f t="shared" si="5"/>
        <v>0</v>
      </c>
      <c r="I52" s="86">
        <f t="shared" si="6"/>
        <v>0</v>
      </c>
      <c r="J52" s="471">
        <f t="shared" si="4"/>
        <v>0</v>
      </c>
    </row>
    <row r="53" spans="1:10">
      <c r="A53" s="425" t="s">
        <v>222</v>
      </c>
      <c r="B53" s="27">
        <f>折疊車!E53</f>
        <v>0</v>
      </c>
      <c r="C53" s="546">
        <v>0</v>
      </c>
      <c r="D53" s="474">
        <f t="shared" si="0"/>
        <v>0</v>
      </c>
      <c r="E53" s="494">
        <f>折疊車!G53</f>
        <v>0</v>
      </c>
      <c r="F53" s="546">
        <v>0</v>
      </c>
      <c r="G53" s="474">
        <f t="shared" si="1"/>
        <v>0</v>
      </c>
      <c r="H53" s="85">
        <f t="shared" si="5"/>
        <v>0</v>
      </c>
      <c r="I53" s="86">
        <f t="shared" si="6"/>
        <v>0</v>
      </c>
      <c r="J53" s="471">
        <f t="shared" si="4"/>
        <v>0</v>
      </c>
    </row>
    <row r="54" spans="1:10">
      <c r="A54" s="426" t="s">
        <v>223</v>
      </c>
      <c r="B54" s="27">
        <f>折疊車!E54</f>
        <v>0</v>
      </c>
      <c r="C54" s="546">
        <v>43</v>
      </c>
      <c r="D54" s="474">
        <f t="shared" si="0"/>
        <v>-1</v>
      </c>
      <c r="E54" s="494">
        <f>折疊車!G54</f>
        <v>0</v>
      </c>
      <c r="F54" s="546">
        <v>29985</v>
      </c>
      <c r="G54" s="474">
        <f t="shared" si="1"/>
        <v>-1</v>
      </c>
      <c r="H54" s="85">
        <f t="shared" si="5"/>
        <v>0</v>
      </c>
      <c r="I54" s="86">
        <f t="shared" si="6"/>
        <v>697.32558139534888</v>
      </c>
      <c r="J54" s="471">
        <f t="shared" si="4"/>
        <v>-1</v>
      </c>
    </row>
    <row r="55" spans="1:10">
      <c r="A55" s="426" t="s">
        <v>23</v>
      </c>
      <c r="B55" s="27">
        <f>折疊車!E55</f>
        <v>0</v>
      </c>
      <c r="C55" s="546">
        <v>0</v>
      </c>
      <c r="D55" s="474">
        <f t="shared" si="0"/>
        <v>0</v>
      </c>
      <c r="E55" s="494">
        <f>折疊車!G55</f>
        <v>0</v>
      </c>
      <c r="F55" s="546">
        <v>0</v>
      </c>
      <c r="G55" s="474">
        <f t="shared" si="1"/>
        <v>0</v>
      </c>
      <c r="H55" s="85">
        <f t="shared" si="5"/>
        <v>0</v>
      </c>
      <c r="I55" s="86">
        <f t="shared" si="6"/>
        <v>0</v>
      </c>
      <c r="J55" s="471">
        <f t="shared" si="4"/>
        <v>0</v>
      </c>
    </row>
    <row r="56" spans="1:10">
      <c r="A56" s="426" t="s">
        <v>224</v>
      </c>
      <c r="B56" s="27">
        <f>折疊車!E56</f>
        <v>1607</v>
      </c>
      <c r="C56" s="546">
        <v>3196</v>
      </c>
      <c r="D56" s="474">
        <f t="shared" si="0"/>
        <v>-0.49718397997496871</v>
      </c>
      <c r="E56" s="494">
        <f>折疊車!G56</f>
        <v>1309895</v>
      </c>
      <c r="F56" s="546">
        <v>2056250</v>
      </c>
      <c r="G56" s="474">
        <f t="shared" si="1"/>
        <v>-0.36296899696048635</v>
      </c>
      <c r="H56" s="85">
        <f t="shared" si="5"/>
        <v>815.11823273179834</v>
      </c>
      <c r="I56" s="86">
        <f t="shared" si="6"/>
        <v>643.38235294117646</v>
      </c>
      <c r="J56" s="471">
        <f t="shared" si="4"/>
        <v>0.2669266245888523</v>
      </c>
    </row>
    <row r="57" spans="1:10">
      <c r="A57" s="428" t="s">
        <v>225</v>
      </c>
      <c r="B57" s="27">
        <f>折疊車!E57</f>
        <v>605</v>
      </c>
      <c r="C57" s="546">
        <v>2095</v>
      </c>
      <c r="D57" s="474">
        <f t="shared" si="0"/>
        <v>-0.71121718377088305</v>
      </c>
      <c r="E57" s="494">
        <f>折疊車!G57</f>
        <v>539345</v>
      </c>
      <c r="F57" s="546">
        <v>1773882</v>
      </c>
      <c r="G57" s="474">
        <f t="shared" si="1"/>
        <v>-0.6959521546529025</v>
      </c>
      <c r="H57" s="85">
        <f t="shared" si="5"/>
        <v>891.47933884297515</v>
      </c>
      <c r="I57" s="86">
        <f t="shared" si="6"/>
        <v>846.72171837708834</v>
      </c>
      <c r="J57" s="471">
        <f t="shared" si="4"/>
        <v>5.2859894218461476E-2</v>
      </c>
    </row>
    <row r="58" spans="1:10">
      <c r="A58" s="285" t="s">
        <v>381</v>
      </c>
      <c r="B58" s="27">
        <f>折疊車!E58</f>
        <v>172</v>
      </c>
      <c r="C58" s="546">
        <v>310</v>
      </c>
      <c r="D58" s="474">
        <f t="shared" si="0"/>
        <v>-0.44516129032258067</v>
      </c>
      <c r="E58" s="494">
        <f>折疊車!G58</f>
        <v>173183</v>
      </c>
      <c r="F58" s="546">
        <v>308636</v>
      </c>
      <c r="G58" s="474">
        <f t="shared" si="1"/>
        <v>-0.4388762166435542</v>
      </c>
      <c r="H58" s="85">
        <f t="shared" si="5"/>
        <v>1006.8779069767442</v>
      </c>
      <c r="I58" s="86">
        <f t="shared" si="6"/>
        <v>995.6</v>
      </c>
      <c r="J58" s="471">
        <f t="shared" si="4"/>
        <v>1.1327749072663856E-2</v>
      </c>
    </row>
    <row r="59" spans="1:10">
      <c r="A59" s="426" t="s">
        <v>24</v>
      </c>
      <c r="B59" s="27">
        <f>折疊車!E59</f>
        <v>0</v>
      </c>
      <c r="C59" s="546">
        <v>820</v>
      </c>
      <c r="D59" s="474">
        <f t="shared" si="0"/>
        <v>-1</v>
      </c>
      <c r="E59" s="494">
        <f>折疊車!G59</f>
        <v>0</v>
      </c>
      <c r="F59" s="546">
        <v>366327</v>
      </c>
      <c r="G59" s="474">
        <f t="shared" si="1"/>
        <v>-1</v>
      </c>
      <c r="H59" s="85">
        <f t="shared" si="5"/>
        <v>0</v>
      </c>
      <c r="I59" s="86">
        <f t="shared" si="6"/>
        <v>446.74024390243903</v>
      </c>
      <c r="J59" s="471">
        <f t="shared" si="4"/>
        <v>-1</v>
      </c>
    </row>
    <row r="60" spans="1:10">
      <c r="A60" s="426" t="s">
        <v>25</v>
      </c>
      <c r="B60" s="27">
        <f>折疊車!E60</f>
        <v>0</v>
      </c>
      <c r="C60" s="546">
        <v>0</v>
      </c>
      <c r="D60" s="474">
        <f t="shared" si="0"/>
        <v>0</v>
      </c>
      <c r="E60" s="494">
        <f>折疊車!G60</f>
        <v>0</v>
      </c>
      <c r="F60" s="546">
        <v>0</v>
      </c>
      <c r="G60" s="474">
        <f t="shared" si="1"/>
        <v>0</v>
      </c>
      <c r="H60" s="85">
        <f t="shared" si="5"/>
        <v>0</v>
      </c>
      <c r="I60" s="86">
        <f t="shared" si="6"/>
        <v>0</v>
      </c>
      <c r="J60" s="471">
        <f t="shared" si="4"/>
        <v>0</v>
      </c>
    </row>
    <row r="61" spans="1:10">
      <c r="A61" s="426" t="s">
        <v>26</v>
      </c>
      <c r="B61" s="27">
        <f>折疊車!E61</f>
        <v>0</v>
      </c>
      <c r="C61" s="546">
        <v>0</v>
      </c>
      <c r="D61" s="474">
        <f t="shared" si="0"/>
        <v>0</v>
      </c>
      <c r="E61" s="494">
        <f>折疊車!G61</f>
        <v>0</v>
      </c>
      <c r="F61" s="546">
        <v>0</v>
      </c>
      <c r="G61" s="474">
        <f t="shared" si="1"/>
        <v>0</v>
      </c>
      <c r="H61" s="85">
        <f t="shared" si="5"/>
        <v>0</v>
      </c>
      <c r="I61" s="86">
        <f t="shared" si="6"/>
        <v>0</v>
      </c>
      <c r="J61" s="471">
        <f t="shared" si="4"/>
        <v>0</v>
      </c>
    </row>
    <row r="62" spans="1:10">
      <c r="A62" s="285" t="s">
        <v>226</v>
      </c>
      <c r="B62" s="27">
        <f>折疊車!E62</f>
        <v>0</v>
      </c>
      <c r="C62" s="546">
        <v>0</v>
      </c>
      <c r="D62" s="474">
        <f t="shared" si="0"/>
        <v>0</v>
      </c>
      <c r="E62" s="494">
        <f>折疊車!G62</f>
        <v>0</v>
      </c>
      <c r="F62" s="546">
        <v>0</v>
      </c>
      <c r="G62" s="474">
        <f t="shared" si="1"/>
        <v>0</v>
      </c>
      <c r="H62" s="85">
        <f t="shared" si="5"/>
        <v>0</v>
      </c>
      <c r="I62" s="86">
        <f t="shared" si="6"/>
        <v>0</v>
      </c>
      <c r="J62" s="471">
        <f t="shared" si="4"/>
        <v>0</v>
      </c>
    </row>
    <row r="63" spans="1:10">
      <c r="A63" s="426" t="s">
        <v>27</v>
      </c>
      <c r="B63" s="27">
        <f>折疊車!E63</f>
        <v>0</v>
      </c>
      <c r="C63" s="546">
        <v>0</v>
      </c>
      <c r="D63" s="474">
        <f t="shared" si="0"/>
        <v>0</v>
      </c>
      <c r="E63" s="494">
        <f>折疊車!G63</f>
        <v>0</v>
      </c>
      <c r="F63" s="546">
        <v>0</v>
      </c>
      <c r="G63" s="474">
        <f t="shared" si="1"/>
        <v>0</v>
      </c>
      <c r="H63" s="85">
        <f t="shared" si="5"/>
        <v>0</v>
      </c>
      <c r="I63" s="86">
        <f t="shared" si="6"/>
        <v>0</v>
      </c>
      <c r="J63" s="471">
        <f t="shared" si="4"/>
        <v>0</v>
      </c>
    </row>
    <row r="64" spans="1:10">
      <c r="A64" s="285" t="s">
        <v>227</v>
      </c>
      <c r="B64" s="27">
        <f>折疊車!E64</f>
        <v>0</v>
      </c>
      <c r="C64" s="546">
        <v>0</v>
      </c>
      <c r="D64" s="474">
        <f t="shared" si="0"/>
        <v>0</v>
      </c>
      <c r="E64" s="494">
        <f>折疊車!G64</f>
        <v>0</v>
      </c>
      <c r="F64" s="546">
        <v>0</v>
      </c>
      <c r="G64" s="474">
        <f t="shared" si="1"/>
        <v>0</v>
      </c>
      <c r="H64" s="85">
        <f t="shared" si="5"/>
        <v>0</v>
      </c>
      <c r="I64" s="86">
        <f t="shared" si="6"/>
        <v>0</v>
      </c>
      <c r="J64" s="471">
        <f t="shared" si="4"/>
        <v>0</v>
      </c>
    </row>
    <row r="65" spans="1:10">
      <c r="A65" s="426" t="s">
        <v>28</v>
      </c>
      <c r="B65" s="27">
        <f>折疊車!E65</f>
        <v>0</v>
      </c>
      <c r="C65" s="546">
        <v>0</v>
      </c>
      <c r="D65" s="474">
        <f t="shared" si="0"/>
        <v>0</v>
      </c>
      <c r="E65" s="494">
        <f>折疊車!G65</f>
        <v>0</v>
      </c>
      <c r="F65" s="546">
        <v>0</v>
      </c>
      <c r="G65" s="474">
        <f t="shared" si="1"/>
        <v>0</v>
      </c>
      <c r="H65" s="85">
        <f t="shared" si="5"/>
        <v>0</v>
      </c>
      <c r="I65" s="86">
        <f t="shared" si="6"/>
        <v>0</v>
      </c>
      <c r="J65" s="471">
        <f t="shared" si="4"/>
        <v>0</v>
      </c>
    </row>
    <row r="66" spans="1:10">
      <c r="A66" s="285" t="s">
        <v>228</v>
      </c>
      <c r="B66" s="27">
        <f>折疊車!E66</f>
        <v>8</v>
      </c>
      <c r="C66" s="546">
        <v>5</v>
      </c>
      <c r="D66" s="474">
        <f t="shared" si="0"/>
        <v>0.6</v>
      </c>
      <c r="E66" s="494">
        <f>折疊車!G66</f>
        <v>3578</v>
      </c>
      <c r="F66" s="546">
        <v>261</v>
      </c>
      <c r="G66" s="474">
        <f t="shared" si="1"/>
        <v>12.708812260536398</v>
      </c>
      <c r="H66" s="85">
        <f t="shared" si="5"/>
        <v>447.25</v>
      </c>
      <c r="I66" s="86">
        <f t="shared" si="6"/>
        <v>52.2</v>
      </c>
      <c r="J66" s="471">
        <f t="shared" si="4"/>
        <v>7.5680076628352486</v>
      </c>
    </row>
    <row r="67" spans="1:10">
      <c r="A67" s="30" t="s">
        <v>29</v>
      </c>
      <c r="B67" s="27">
        <f>B68-B47-B41-B12-B7</f>
        <v>21</v>
      </c>
      <c r="C67" s="535">
        <v>7</v>
      </c>
      <c r="D67" s="84">
        <f t="shared" si="0"/>
        <v>2</v>
      </c>
      <c r="E67" s="494">
        <f>E68-E47-E41-E12-E7</f>
        <v>14246</v>
      </c>
      <c r="F67" s="535">
        <v>3569</v>
      </c>
      <c r="G67" s="474">
        <f t="shared" si="1"/>
        <v>2.9915942841131971</v>
      </c>
      <c r="H67" s="85">
        <f t="shared" si="5"/>
        <v>678.38095238095241</v>
      </c>
      <c r="I67" s="86">
        <f t="shared" si="6"/>
        <v>509.85714285714283</v>
      </c>
      <c r="J67" s="471">
        <f t="shared" si="4"/>
        <v>0.33053142803773244</v>
      </c>
    </row>
    <row r="68" spans="1:10">
      <c r="A68" s="32" t="s">
        <v>400</v>
      </c>
      <c r="B68" s="33">
        <f>折疊車!E68</f>
        <v>3351</v>
      </c>
      <c r="C68" s="546">
        <v>9369</v>
      </c>
      <c r="D68" s="474">
        <f t="shared" si="0"/>
        <v>-0.64233109189881521</v>
      </c>
      <c r="E68" s="494">
        <f>折疊車!G68</f>
        <v>2547162</v>
      </c>
      <c r="F68" s="546">
        <v>6538263</v>
      </c>
      <c r="G68" s="474">
        <f t="shared" si="1"/>
        <v>-0.61042221764404403</v>
      </c>
      <c r="H68" s="85">
        <f t="shared" ref="H68" si="7">E68/B68</f>
        <v>760.11996418979413</v>
      </c>
      <c r="I68" s="86">
        <f>F68/C68</f>
        <v>697.86135126480951</v>
      </c>
      <c r="J68" s="471">
        <f t="shared" si="4"/>
        <v>8.9213441627261067E-2</v>
      </c>
    </row>
    <row r="69" spans="1:10">
      <c r="A69" s="38"/>
      <c r="B69" s="39"/>
      <c r="C69" s="148"/>
      <c r="D69" s="208"/>
      <c r="E69" s="496"/>
      <c r="F69" s="148"/>
      <c r="G69" s="208"/>
    </row>
    <row r="70" spans="1:10" ht="12.75" customHeight="1">
      <c r="A70" s="54" t="s">
        <v>54</v>
      </c>
      <c r="B70" s="13"/>
      <c r="E70" s="497"/>
      <c r="G70" s="59" t="s">
        <v>116</v>
      </c>
    </row>
  </sheetData>
  <phoneticPr fontId="3" type="noConversion"/>
  <conditionalFormatting sqref="D4">
    <cfRule type="cellIs" dxfId="49" priority="3" operator="greaterThanOrEqual">
      <formula>0</formula>
    </cfRule>
    <cfRule type="cellIs" dxfId="48" priority="4" operator="lessThan">
      <formula>0</formula>
    </cfRule>
  </conditionalFormatting>
  <conditionalFormatting sqref="G4">
    <cfRule type="cellIs" dxfId="47" priority="1" operator="greaterThanOrEqual">
      <formula>0</formula>
    </cfRule>
    <cfRule type="cellIs" dxfId="46" priority="2" operator="lessThan">
      <formula>0</formula>
    </cfRule>
  </conditionalFormatting>
  <conditionalFormatting sqref="J1:J3 J6:J1048576">
    <cfRule type="cellIs" dxfId="45" priority="5" operator="greaterThanOrEqual">
      <formula>0</formula>
    </cfRule>
    <cfRule type="cellIs" dxfId="44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E31" sqref="E31"/>
    </sheetView>
  </sheetViews>
  <sheetFormatPr defaultRowHeight="16.5"/>
  <cols>
    <col min="1" max="1" width="7.125" style="5" customWidth="1"/>
    <col min="2" max="2" width="11.25" style="5" customWidth="1"/>
    <col min="3" max="3" width="13" style="297" customWidth="1"/>
    <col min="4" max="4" width="10.75" style="298" customWidth="1"/>
    <col min="5" max="5" width="13.625" style="5" customWidth="1"/>
    <col min="6" max="6" width="14.25" style="297" customWidth="1"/>
    <col min="7" max="7" width="11" style="298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497</v>
      </c>
      <c r="B1" s="127"/>
      <c r="C1" s="295"/>
      <c r="D1" s="296"/>
      <c r="E1" s="127"/>
      <c r="F1" s="295"/>
      <c r="G1" s="296"/>
      <c r="I1"/>
      <c r="J1"/>
      <c r="K1"/>
      <c r="L1"/>
      <c r="M1"/>
      <c r="N1"/>
      <c r="O1"/>
      <c r="P1"/>
    </row>
    <row r="2" spans="1:16" ht="7.5" customHeight="1">
      <c r="I2"/>
      <c r="J2"/>
      <c r="K2"/>
      <c r="L2"/>
      <c r="M2"/>
      <c r="N2"/>
      <c r="O2"/>
      <c r="P2"/>
    </row>
    <row r="3" spans="1:16" s="120" customFormat="1" ht="18" customHeight="1">
      <c r="A3" s="130" t="s">
        <v>416</v>
      </c>
      <c r="B3" s="131"/>
      <c r="C3" s="132"/>
      <c r="D3" s="133"/>
      <c r="E3" s="131"/>
      <c r="F3" s="134"/>
      <c r="G3" s="135"/>
      <c r="I3"/>
      <c r="J3"/>
      <c r="K3"/>
      <c r="L3"/>
      <c r="M3"/>
      <c r="N3"/>
      <c r="O3"/>
      <c r="P3"/>
    </row>
    <row r="4" spans="1:16" ht="18" customHeight="1">
      <c r="A4" s="136" t="s">
        <v>454</v>
      </c>
      <c r="B4" s="67"/>
      <c r="C4" s="299"/>
      <c r="D4" s="300"/>
      <c r="E4" s="67"/>
      <c r="F4" s="301"/>
      <c r="G4" s="140"/>
      <c r="I4"/>
      <c r="J4"/>
      <c r="K4"/>
      <c r="L4"/>
      <c r="M4"/>
      <c r="N4"/>
      <c r="O4"/>
      <c r="P4"/>
    </row>
    <row r="5" spans="1:16" ht="18" customHeight="1">
      <c r="A5" s="76" t="s">
        <v>49</v>
      </c>
      <c r="B5" s="141" t="s">
        <v>50</v>
      </c>
      <c r="C5" s="142"/>
      <c r="D5" s="143"/>
      <c r="E5" s="144" t="s">
        <v>51</v>
      </c>
      <c r="F5" s="142"/>
      <c r="G5" s="143"/>
      <c r="I5"/>
      <c r="J5"/>
      <c r="K5"/>
      <c r="L5"/>
      <c r="M5"/>
      <c r="N5"/>
      <c r="O5"/>
      <c r="P5"/>
    </row>
    <row r="6" spans="1:16" ht="18" customHeight="1">
      <c r="A6" s="92"/>
      <c r="B6" s="30" t="s">
        <v>446</v>
      </c>
      <c r="C6" s="145" t="s">
        <v>447</v>
      </c>
      <c r="D6" s="302" t="s">
        <v>58</v>
      </c>
      <c r="E6" s="30" t="s">
        <v>446</v>
      </c>
      <c r="F6" s="145" t="s">
        <v>447</v>
      </c>
      <c r="G6" s="302" t="s">
        <v>58</v>
      </c>
      <c r="I6" s="455"/>
      <c r="J6" s="455"/>
      <c r="K6" s="455"/>
      <c r="L6" s="455"/>
    </row>
    <row r="7" spans="1:16" ht="18" customHeight="1">
      <c r="A7" s="31">
        <v>1</v>
      </c>
      <c r="B7" s="358">
        <v>31838</v>
      </c>
      <c r="C7" s="89">
        <v>102575</v>
      </c>
      <c r="D7" s="471">
        <f t="shared" ref="D7:D19" si="0">(B7-C7)/C7</f>
        <v>-0.68961247867414088</v>
      </c>
      <c r="E7" s="33">
        <v>61174971</v>
      </c>
      <c r="F7" s="89">
        <v>157168031</v>
      </c>
      <c r="G7" s="471">
        <f t="shared" ref="G7:G19" si="1">(E7-F7)/F7</f>
        <v>-0.61076708405159064</v>
      </c>
      <c r="I7" s="455"/>
      <c r="J7" s="455"/>
    </row>
    <row r="8" spans="1:16" ht="18" customHeight="1">
      <c r="A8" s="31">
        <v>2</v>
      </c>
      <c r="B8" s="358">
        <v>35076</v>
      </c>
      <c r="C8" s="89">
        <v>68335</v>
      </c>
      <c r="D8" s="471">
        <f t="shared" si="0"/>
        <v>-0.48670520231213871</v>
      </c>
      <c r="E8" s="358">
        <v>62026650</v>
      </c>
      <c r="F8" s="89">
        <v>114935015</v>
      </c>
      <c r="G8" s="471">
        <f t="shared" si="1"/>
        <v>-0.46033286722936434</v>
      </c>
      <c r="I8" s="455"/>
      <c r="J8" s="455"/>
      <c r="K8" s="455"/>
      <c r="L8" s="455"/>
    </row>
    <row r="9" spans="1:16" ht="18" customHeight="1">
      <c r="A9" s="31">
        <v>3</v>
      </c>
      <c r="B9" s="358">
        <v>32952</v>
      </c>
      <c r="C9" s="89">
        <v>67324</v>
      </c>
      <c r="D9" s="471">
        <f t="shared" si="0"/>
        <v>-0.51054601627948426</v>
      </c>
      <c r="E9" s="352">
        <v>59290687</v>
      </c>
      <c r="F9" s="89">
        <v>108657809</v>
      </c>
      <c r="G9" s="471">
        <f t="shared" si="1"/>
        <v>-0.4543357026460933</v>
      </c>
      <c r="J9" s="455"/>
      <c r="K9" s="455"/>
    </row>
    <row r="10" spans="1:16" ht="18" customHeight="1">
      <c r="A10" s="31">
        <v>4</v>
      </c>
      <c r="B10" s="359">
        <v>30803</v>
      </c>
      <c r="C10" s="89">
        <v>78722</v>
      </c>
      <c r="D10" s="471">
        <f t="shared" si="0"/>
        <v>-0.60871166891085082</v>
      </c>
      <c r="E10" s="359">
        <v>53645109</v>
      </c>
      <c r="F10" s="89">
        <v>135497637</v>
      </c>
      <c r="G10" s="471">
        <f t="shared" si="1"/>
        <v>-0.60408823218075747</v>
      </c>
    </row>
    <row r="11" spans="1:16" ht="18" customHeight="1">
      <c r="A11" s="31">
        <v>5</v>
      </c>
      <c r="B11" s="358">
        <v>32671</v>
      </c>
      <c r="C11" s="89">
        <v>383679</v>
      </c>
      <c r="D11" s="471">
        <f t="shared" si="0"/>
        <v>-0.91484808915786375</v>
      </c>
      <c r="E11" s="358">
        <v>61360549</v>
      </c>
      <c r="F11" s="89">
        <v>633042627</v>
      </c>
      <c r="G11" s="471">
        <f t="shared" si="1"/>
        <v>-0.90307043099010775</v>
      </c>
    </row>
    <row r="12" spans="1:16" ht="18" customHeight="1">
      <c r="A12" s="31">
        <v>6</v>
      </c>
      <c r="B12" s="358">
        <v>41304</v>
      </c>
      <c r="C12" s="89">
        <v>63099</v>
      </c>
      <c r="D12" s="471">
        <f t="shared" si="0"/>
        <v>-0.34540959444682168</v>
      </c>
      <c r="E12" s="358">
        <v>72243125</v>
      </c>
      <c r="F12" s="89">
        <v>106973248</v>
      </c>
      <c r="G12" s="471">
        <f t="shared" si="1"/>
        <v>-0.32466176029356425</v>
      </c>
      <c r="J12" s="455"/>
      <c r="K12" s="455"/>
    </row>
    <row r="13" spans="1:16" ht="18" customHeight="1">
      <c r="A13" s="31">
        <v>7</v>
      </c>
      <c r="B13" s="360">
        <v>26785</v>
      </c>
      <c r="C13" s="89">
        <v>50927</v>
      </c>
      <c r="D13" s="471">
        <f t="shared" si="0"/>
        <v>-0.47405109274058949</v>
      </c>
      <c r="E13" s="360">
        <v>53256117</v>
      </c>
      <c r="F13" s="89">
        <v>88792506</v>
      </c>
      <c r="G13" s="471">
        <f t="shared" si="1"/>
        <v>-0.4002183359933551</v>
      </c>
    </row>
    <row r="14" spans="1:16" ht="18" customHeight="1">
      <c r="A14" s="31">
        <v>8</v>
      </c>
      <c r="B14" s="358">
        <v>29765</v>
      </c>
      <c r="C14" s="89">
        <v>44985</v>
      </c>
      <c r="D14" s="471">
        <f t="shared" si="0"/>
        <v>-0.33833500055574078</v>
      </c>
      <c r="E14" s="358">
        <v>56910930</v>
      </c>
      <c r="F14" s="89">
        <v>90712357</v>
      </c>
      <c r="G14" s="471">
        <f t="shared" si="1"/>
        <v>-0.37262207837902395</v>
      </c>
      <c r="J14" s="455"/>
      <c r="K14" s="455"/>
    </row>
    <row r="15" spans="1:16" ht="18" customHeight="1">
      <c r="A15" s="31">
        <v>9</v>
      </c>
      <c r="B15" s="27">
        <v>19759</v>
      </c>
      <c r="C15" s="89">
        <v>39289</v>
      </c>
      <c r="D15" s="471">
        <f t="shared" si="0"/>
        <v>-0.49708569828705235</v>
      </c>
      <c r="E15" s="27">
        <v>40283509</v>
      </c>
      <c r="F15" s="89">
        <v>79224306</v>
      </c>
      <c r="G15" s="471">
        <f t="shared" si="1"/>
        <v>-0.49152588348328352</v>
      </c>
    </row>
    <row r="16" spans="1:16" ht="18" customHeight="1">
      <c r="A16" s="31">
        <v>10</v>
      </c>
      <c r="B16" s="27"/>
      <c r="C16" s="89"/>
      <c r="D16" s="471"/>
      <c r="E16" s="27"/>
      <c r="F16" s="89"/>
      <c r="G16" s="471"/>
    </row>
    <row r="17" spans="1:18" ht="18" customHeight="1">
      <c r="A17" s="31">
        <v>11</v>
      </c>
      <c r="B17" s="27"/>
      <c r="C17" s="89"/>
      <c r="D17" s="471"/>
      <c r="E17" s="27"/>
      <c r="F17" s="89"/>
      <c r="G17" s="471"/>
    </row>
    <row r="18" spans="1:18" ht="18" customHeight="1">
      <c r="A18" s="31">
        <v>12</v>
      </c>
      <c r="B18" s="27"/>
      <c r="C18" s="89"/>
      <c r="D18" s="471"/>
      <c r="E18" s="27"/>
      <c r="F18" s="89"/>
      <c r="G18" s="471"/>
      <c r="I18" s="456"/>
      <c r="J18" s="456"/>
      <c r="K18" s="456"/>
      <c r="L18" s="456"/>
      <c r="M18"/>
      <c r="N18"/>
      <c r="O18"/>
      <c r="P18"/>
      <c r="Q18"/>
      <c r="R18"/>
    </row>
    <row r="19" spans="1:18" s="113" customFormat="1" ht="18" customHeight="1">
      <c r="A19" s="32" t="s">
        <v>48</v>
      </c>
      <c r="B19" s="33">
        <f>SUM(B7:B18)</f>
        <v>280953</v>
      </c>
      <c r="C19" s="89">
        <f>SUM(C7:C18)</f>
        <v>898935</v>
      </c>
      <c r="D19" s="471">
        <f t="shared" si="0"/>
        <v>-0.68746016119074238</v>
      </c>
      <c r="E19" s="33">
        <f>SUM(E7:E18)</f>
        <v>520191647</v>
      </c>
      <c r="F19" s="89">
        <f>SUM(F7:F18)</f>
        <v>1515003536</v>
      </c>
      <c r="G19" s="471">
        <f t="shared" si="1"/>
        <v>-0.65663997829771403</v>
      </c>
      <c r="H19" s="5"/>
      <c r="I19" s="456"/>
      <c r="J19" s="456"/>
      <c r="K19" s="456"/>
      <c r="L19" s="456"/>
      <c r="M19"/>
      <c r="N19"/>
      <c r="O19"/>
      <c r="P19"/>
      <c r="Q19"/>
      <c r="R19"/>
    </row>
    <row r="20" spans="1:18" s="113" customFormat="1" ht="9" customHeight="1">
      <c r="A20" s="38"/>
      <c r="B20" s="39"/>
      <c r="C20" s="457"/>
      <c r="D20" s="303"/>
      <c r="E20" s="39"/>
      <c r="F20" s="457"/>
      <c r="G20" s="303"/>
      <c r="H20" s="5"/>
      <c r="I20" s="456"/>
      <c r="J20" s="456"/>
      <c r="K20"/>
      <c r="L20"/>
      <c r="M20"/>
      <c r="N20"/>
      <c r="O20"/>
      <c r="P20"/>
      <c r="Q20"/>
      <c r="R20"/>
    </row>
    <row r="21" spans="1:18" s="113" customFormat="1" ht="8.25" customHeight="1">
      <c r="A21" s="38"/>
      <c r="B21" s="39"/>
      <c r="C21" s="457"/>
      <c r="D21" s="303"/>
      <c r="E21" s="39"/>
      <c r="F21" s="457"/>
      <c r="G21" s="303"/>
      <c r="H21" s="5"/>
      <c r="I21" s="456"/>
      <c r="J21" s="456"/>
      <c r="K21" s="456"/>
      <c r="L21" s="456"/>
      <c r="M21"/>
      <c r="N21"/>
      <c r="O21"/>
      <c r="P21"/>
      <c r="Q21"/>
      <c r="R21"/>
    </row>
    <row r="22" spans="1:18" ht="18" customHeight="1">
      <c r="A22" s="1" t="s">
        <v>509</v>
      </c>
      <c r="B22" s="127"/>
      <c r="C22" s="295"/>
      <c r="D22" s="296"/>
      <c r="E22" s="127"/>
      <c r="F22" s="295"/>
      <c r="G22" s="296"/>
      <c r="I22"/>
      <c r="J22"/>
      <c r="K22"/>
      <c r="L22"/>
      <c r="M22"/>
      <c r="N22"/>
      <c r="O22"/>
      <c r="P22"/>
      <c r="Q22"/>
      <c r="R22"/>
    </row>
    <row r="23" spans="1:18" ht="6.75" customHeight="1">
      <c r="A23" s="1"/>
      <c r="B23" s="127"/>
      <c r="C23" s="295"/>
      <c r="D23" s="296"/>
      <c r="E23" s="127"/>
      <c r="F23" s="295"/>
      <c r="G23" s="296"/>
      <c r="I23"/>
      <c r="J23"/>
      <c r="K23"/>
      <c r="L23"/>
      <c r="M23"/>
      <c r="N23"/>
      <c r="O23"/>
      <c r="P23"/>
      <c r="Q23"/>
      <c r="R23"/>
    </row>
    <row r="24" spans="1:18" s="120" customFormat="1" ht="18" customHeight="1">
      <c r="A24" s="150" t="s">
        <v>414</v>
      </c>
      <c r="B24" s="151"/>
      <c r="C24" s="152"/>
      <c r="D24" s="153"/>
      <c r="E24" s="151"/>
      <c r="F24" s="154"/>
      <c r="G24" s="155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6" t="s">
        <v>448</v>
      </c>
      <c r="B25" s="156"/>
      <c r="C25" s="304"/>
      <c r="D25" s="305"/>
      <c r="E25" s="156"/>
      <c r="F25" s="306"/>
      <c r="G25" s="160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6" t="s">
        <v>49</v>
      </c>
      <c r="B26" s="161" t="s">
        <v>50</v>
      </c>
      <c r="C26" s="162"/>
      <c r="D26" s="163"/>
      <c r="E26" s="164" t="s">
        <v>51</v>
      </c>
      <c r="F26" s="162"/>
      <c r="G26" s="163"/>
    </row>
    <row r="27" spans="1:18" ht="18" customHeight="1">
      <c r="A27" s="92"/>
      <c r="B27" s="30" t="s">
        <v>446</v>
      </c>
      <c r="C27" s="145" t="s">
        <v>447</v>
      </c>
      <c r="D27" s="302" t="s">
        <v>410</v>
      </c>
      <c r="E27" s="30" t="s">
        <v>446</v>
      </c>
      <c r="F27" s="145" t="s">
        <v>447</v>
      </c>
      <c r="G27" s="302" t="s">
        <v>411</v>
      </c>
    </row>
    <row r="28" spans="1:18" ht="18" customHeight="1">
      <c r="A28" s="31">
        <v>1</v>
      </c>
      <c r="B28" s="358">
        <v>11</v>
      </c>
      <c r="C28" s="89">
        <v>661</v>
      </c>
      <c r="D28" s="471">
        <f t="shared" ref="D28:D36" si="2">(B28-C28)/C28</f>
        <v>-0.98335854765506803</v>
      </c>
      <c r="E28" s="358">
        <v>15617</v>
      </c>
      <c r="F28" s="89">
        <v>457222</v>
      </c>
      <c r="G28" s="471">
        <f t="shared" ref="G28:G36" si="3">(E28-F28)/F28</f>
        <v>-0.96584372580497002</v>
      </c>
    </row>
    <row r="29" spans="1:18" ht="18" customHeight="1">
      <c r="A29" s="31">
        <v>2</v>
      </c>
      <c r="B29" s="358">
        <v>106</v>
      </c>
      <c r="C29" s="89">
        <v>306</v>
      </c>
      <c r="D29" s="471">
        <f t="shared" si="2"/>
        <v>-0.65359477124183007</v>
      </c>
      <c r="E29" s="358">
        <v>42589</v>
      </c>
      <c r="F29" s="89">
        <v>343954</v>
      </c>
      <c r="G29" s="471">
        <f t="shared" si="3"/>
        <v>-0.87617820987690209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58">
        <v>326</v>
      </c>
      <c r="C30" s="89">
        <v>1748</v>
      </c>
      <c r="D30" s="471">
        <f t="shared" si="2"/>
        <v>-0.81350114416475972</v>
      </c>
      <c r="E30" s="358">
        <v>166330</v>
      </c>
      <c r="F30" s="89">
        <v>1134184</v>
      </c>
      <c r="G30" s="471">
        <f t="shared" si="3"/>
        <v>-0.85334831032707215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58">
        <v>686</v>
      </c>
      <c r="C31" s="89">
        <v>413</v>
      </c>
      <c r="D31" s="471">
        <f t="shared" si="2"/>
        <v>0.66101694915254239</v>
      </c>
      <c r="E31" s="359">
        <v>422430</v>
      </c>
      <c r="F31" s="89">
        <v>387680</v>
      </c>
      <c r="G31" s="471">
        <f t="shared" si="3"/>
        <v>8.9635782088320265E-2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58">
        <v>254</v>
      </c>
      <c r="C32" s="89">
        <v>2715</v>
      </c>
      <c r="D32" s="471">
        <f t="shared" si="2"/>
        <v>-0.9064456721915285</v>
      </c>
      <c r="E32" s="358">
        <v>229365</v>
      </c>
      <c r="F32" s="89">
        <v>1301531</v>
      </c>
      <c r="G32" s="471">
        <f t="shared" si="3"/>
        <v>-0.82377292588497697</v>
      </c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58">
        <v>352</v>
      </c>
      <c r="C33" s="89">
        <v>947</v>
      </c>
      <c r="D33" s="471">
        <f t="shared" si="2"/>
        <v>-0.62829989440337908</v>
      </c>
      <c r="E33" s="358">
        <v>331158</v>
      </c>
      <c r="F33" s="89">
        <v>961015</v>
      </c>
      <c r="G33" s="471">
        <f t="shared" si="3"/>
        <v>-0.65540808416101726</v>
      </c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58">
        <v>542</v>
      </c>
      <c r="C34" s="89">
        <v>670</v>
      </c>
      <c r="D34" s="471">
        <f t="shared" si="2"/>
        <v>-0.19104477611940299</v>
      </c>
      <c r="E34" s="358">
        <v>426123</v>
      </c>
      <c r="F34" s="89">
        <v>485378</v>
      </c>
      <c r="G34" s="471">
        <f t="shared" si="3"/>
        <v>-0.12208011075903728</v>
      </c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58">
        <v>928</v>
      </c>
      <c r="C35" s="89">
        <v>994</v>
      </c>
      <c r="D35" s="471">
        <f t="shared" si="2"/>
        <v>-6.6398390342052319E-2</v>
      </c>
      <c r="E35" s="358">
        <v>790058</v>
      </c>
      <c r="F35" s="89">
        <v>648641</v>
      </c>
      <c r="G35" s="471">
        <f t="shared" si="3"/>
        <v>0.21802044582442368</v>
      </c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>
        <v>146</v>
      </c>
      <c r="C36" s="89">
        <v>915</v>
      </c>
      <c r="D36" s="471">
        <f t="shared" si="2"/>
        <v>-0.84043715846994538</v>
      </c>
      <c r="E36" s="27">
        <v>123492</v>
      </c>
      <c r="F36" s="89">
        <v>818658</v>
      </c>
      <c r="G36" s="471">
        <f t="shared" si="3"/>
        <v>-0.84915312621387684</v>
      </c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89"/>
      <c r="D37" s="471"/>
      <c r="E37" s="27"/>
      <c r="F37" s="89"/>
      <c r="G37" s="471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9"/>
      <c r="D38" s="471"/>
      <c r="E38" s="27"/>
      <c r="F38" s="89"/>
      <c r="G38" s="471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9"/>
      <c r="D39" s="471"/>
      <c r="E39" s="27"/>
      <c r="F39" s="89"/>
      <c r="G39" s="471"/>
      <c r="I39" s="456"/>
      <c r="J39" s="456"/>
      <c r="K39"/>
      <c r="L39"/>
      <c r="M39"/>
      <c r="N39"/>
      <c r="O39"/>
      <c r="P39"/>
    </row>
    <row r="40" spans="1:16" s="113" customFormat="1" ht="18" customHeight="1">
      <c r="A40" s="32" t="s">
        <v>48</v>
      </c>
      <c r="B40" s="33">
        <f>SUM(B28:B39)</f>
        <v>3351</v>
      </c>
      <c r="C40" s="89">
        <f>SUM(C28:C39)</f>
        <v>9369</v>
      </c>
      <c r="D40" s="471">
        <f t="shared" ref="D40" si="4">(B40-C40)/C40</f>
        <v>-0.64233109189881521</v>
      </c>
      <c r="E40" s="33">
        <f>SUM(E28:E39)</f>
        <v>2547162</v>
      </c>
      <c r="F40" s="89">
        <f>SUM(F28:F39)</f>
        <v>6538263</v>
      </c>
      <c r="G40" s="471">
        <f t="shared" ref="G40" si="5">(E40-F40)/F40</f>
        <v>-0.61042221764404403</v>
      </c>
      <c r="H40" s="5"/>
      <c r="I40"/>
      <c r="J40"/>
      <c r="K40"/>
      <c r="L40"/>
      <c r="M40"/>
      <c r="N40"/>
      <c r="O40"/>
      <c r="P40"/>
    </row>
    <row r="41" spans="1:16" s="113" customFormat="1" ht="6.75" customHeight="1">
      <c r="A41" s="38"/>
      <c r="B41" s="39"/>
      <c r="C41" s="457"/>
      <c r="D41" s="303"/>
      <c r="E41" s="39"/>
      <c r="F41" s="457"/>
      <c r="G41" s="303"/>
      <c r="H41" s="5"/>
      <c r="I41" s="456"/>
      <c r="J41" s="456"/>
      <c r="K41" s="456"/>
      <c r="L41" s="456"/>
      <c r="M41"/>
      <c r="N41"/>
      <c r="O41"/>
      <c r="P41"/>
    </row>
    <row r="42" spans="1:16" s="13" customFormat="1">
      <c r="A42" s="514" t="s">
        <v>510</v>
      </c>
      <c r="C42" s="166"/>
      <c r="D42" s="167"/>
      <c r="F42" s="166"/>
      <c r="G42" s="167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43" priority="35" operator="lessThan">
      <formula>0</formula>
    </cfRule>
  </conditionalFormatting>
  <conditionalFormatting sqref="B28:B35">
    <cfRule type="cellIs" dxfId="42" priority="5" operator="lessThan">
      <formula>0</formula>
    </cfRule>
  </conditionalFormatting>
  <conditionalFormatting sqref="D7:D19">
    <cfRule type="cellIs" dxfId="41" priority="1" operator="greaterThanOrEqual">
      <formula>0</formula>
    </cfRule>
    <cfRule type="cellIs" dxfId="40" priority="2" operator="lessThan">
      <formula>0</formula>
    </cfRule>
  </conditionalFormatting>
  <conditionalFormatting sqref="D28:D40">
    <cfRule type="cellIs" dxfId="39" priority="20" operator="greaterThanOrEqual">
      <formula>0</formula>
    </cfRule>
    <cfRule type="cellIs" dxfId="38" priority="21" operator="lessThan">
      <formula>0</formula>
    </cfRule>
  </conditionalFormatting>
  <conditionalFormatting sqref="E8:E9 E11:E14">
    <cfRule type="cellIs" dxfId="37" priority="34" operator="lessThan">
      <formula>0</formula>
    </cfRule>
  </conditionalFormatting>
  <conditionalFormatting sqref="E28:E30 E32:E35">
    <cfRule type="cellIs" dxfId="36" priority="32" operator="lessThan">
      <formula>0</formula>
    </cfRule>
  </conditionalFormatting>
  <conditionalFormatting sqref="G7:G19">
    <cfRule type="cellIs" dxfId="35" priority="26" operator="greaterThanOrEqual">
      <formula>0</formula>
    </cfRule>
    <cfRule type="cellIs" dxfId="34" priority="27" operator="lessThan">
      <formula>0</formula>
    </cfRule>
  </conditionalFormatting>
  <conditionalFormatting sqref="G28:G40">
    <cfRule type="cellIs" dxfId="33" priority="16" operator="greaterThanOrEqual">
      <formula>0</formula>
    </cfRule>
    <cfRule type="cellIs" dxfId="32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topLeftCell="A49" zoomScaleNormal="100" workbookViewId="0">
      <pane xSplit="1" topLeftCell="K1" activePane="topRight" state="frozen"/>
      <selection pane="topRight" activeCell="A58" sqref="A58:XFD58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1" customWidth="1"/>
    <col min="4" max="4" width="16.625" style="311" customWidth="1"/>
    <col min="5" max="5" width="2.375" style="311" customWidth="1"/>
    <col min="6" max="6" width="17.125" style="311" customWidth="1"/>
    <col min="7" max="7" width="19" style="311" customWidth="1"/>
    <col min="8" max="8" width="2.125" style="311" customWidth="1"/>
    <col min="9" max="9" width="15.625" style="311" customWidth="1"/>
    <col min="10" max="10" width="17.875" style="311" customWidth="1"/>
    <col min="11" max="11" width="2.5" style="311" customWidth="1"/>
    <col min="12" max="12" width="17.125" style="311" customWidth="1"/>
    <col min="13" max="13" width="18.5" style="311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08" customFormat="1" ht="18" customHeight="1">
      <c r="A1" s="1" t="s">
        <v>498</v>
      </c>
      <c r="B1" s="1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</row>
    <row r="2" spans="1:13" s="308" customFormat="1">
      <c r="C2" s="309"/>
      <c r="D2" s="309"/>
      <c r="E2" s="309"/>
      <c r="F2" s="309"/>
      <c r="G2" s="309"/>
      <c r="H2" s="309"/>
      <c r="I2" s="309"/>
      <c r="J2" s="309"/>
      <c r="K2" s="309"/>
      <c r="L2" s="5"/>
      <c r="M2" s="309" t="s">
        <v>59</v>
      </c>
    </row>
    <row r="3" spans="1:13" s="308" customFormat="1">
      <c r="A3" s="310"/>
      <c r="B3" s="310"/>
      <c r="C3" s="309"/>
      <c r="D3" s="309"/>
      <c r="E3" s="309"/>
      <c r="F3" s="309"/>
      <c r="G3" s="309"/>
      <c r="H3" s="309"/>
      <c r="I3" s="309"/>
      <c r="J3" s="309"/>
      <c r="K3" s="309"/>
      <c r="L3" s="5"/>
      <c r="M3" s="309" t="s">
        <v>60</v>
      </c>
    </row>
    <row r="4" spans="1:13" ht="5.25" customHeight="1">
      <c r="M4" s="5"/>
    </row>
    <row r="5" spans="1:13" s="308" customFormat="1">
      <c r="A5" s="312" t="s">
        <v>61</v>
      </c>
      <c r="B5" s="313"/>
      <c r="C5" s="510" t="s">
        <v>499</v>
      </c>
      <c r="D5" s="509" t="s">
        <v>500</v>
      </c>
      <c r="E5" s="313"/>
      <c r="F5" s="314" t="s">
        <v>501</v>
      </c>
      <c r="G5" s="315" t="s">
        <v>502</v>
      </c>
      <c r="H5" s="313"/>
      <c r="I5" s="510" t="s">
        <v>503</v>
      </c>
      <c r="J5" s="509" t="s">
        <v>504</v>
      </c>
      <c r="K5" s="313"/>
      <c r="L5" s="314" t="s">
        <v>505</v>
      </c>
      <c r="M5" s="315" t="s">
        <v>506</v>
      </c>
    </row>
    <row r="6" spans="1:13">
      <c r="A6" s="316">
        <v>85121010001</v>
      </c>
      <c r="B6" s="452"/>
      <c r="C6" s="451"/>
      <c r="D6" s="317"/>
      <c r="E6" s="451"/>
      <c r="F6" s="451"/>
      <c r="G6" s="317"/>
      <c r="H6" s="451"/>
      <c r="I6" s="451"/>
      <c r="J6" s="317"/>
      <c r="K6" s="451"/>
      <c r="L6" s="451"/>
      <c r="M6" s="317"/>
    </row>
    <row r="7" spans="1:13">
      <c r="A7" s="318" t="s">
        <v>62</v>
      </c>
      <c r="B7" s="308"/>
      <c r="C7" s="440">
        <v>7675</v>
      </c>
      <c r="D7" s="440">
        <v>884319</v>
      </c>
      <c r="F7" s="440">
        <v>83304</v>
      </c>
      <c r="G7" s="440">
        <v>8847745</v>
      </c>
      <c r="I7" s="440">
        <v>4469</v>
      </c>
      <c r="J7" s="440">
        <v>189123</v>
      </c>
      <c r="L7" s="440">
        <v>32587</v>
      </c>
      <c r="M7" s="440">
        <v>1785547</v>
      </c>
    </row>
    <row r="8" spans="1:13">
      <c r="A8" s="318" t="s">
        <v>63</v>
      </c>
      <c r="B8" s="13" t="s">
        <v>64</v>
      </c>
      <c r="C8" s="440">
        <v>68856</v>
      </c>
      <c r="D8" s="512" t="s">
        <v>393</v>
      </c>
      <c r="E8" s="13" t="s">
        <v>64</v>
      </c>
      <c r="F8" s="440">
        <v>760155</v>
      </c>
      <c r="G8" s="439" t="s">
        <v>392</v>
      </c>
      <c r="H8" s="13" t="s">
        <v>64</v>
      </c>
      <c r="I8" s="440">
        <v>57277</v>
      </c>
      <c r="J8" s="512" t="s">
        <v>393</v>
      </c>
      <c r="K8" s="311" t="s">
        <v>64</v>
      </c>
      <c r="L8" s="440">
        <v>446133</v>
      </c>
      <c r="M8" s="439" t="s">
        <v>392</v>
      </c>
    </row>
    <row r="9" spans="1:13">
      <c r="A9" s="320">
        <v>85121020009</v>
      </c>
      <c r="B9" s="450"/>
      <c r="C9" s="448"/>
      <c r="D9" s="445"/>
      <c r="E9" s="449"/>
      <c r="F9" s="445"/>
      <c r="G9" s="441"/>
      <c r="H9" s="449"/>
      <c r="I9" s="448"/>
      <c r="J9" s="448"/>
      <c r="K9" s="449"/>
      <c r="L9" s="448"/>
      <c r="M9" s="448"/>
    </row>
    <row r="10" spans="1:13">
      <c r="A10" s="318" t="s">
        <v>65</v>
      </c>
      <c r="B10" s="308"/>
      <c r="C10" s="440">
        <v>5357</v>
      </c>
      <c r="D10" s="440">
        <v>833860</v>
      </c>
      <c r="F10" s="440">
        <v>37426</v>
      </c>
      <c r="G10" s="440">
        <v>5926342</v>
      </c>
      <c r="I10" s="440">
        <v>3299</v>
      </c>
      <c r="J10" s="440">
        <v>210549</v>
      </c>
      <c r="L10" s="440">
        <v>21690</v>
      </c>
      <c r="M10" s="440">
        <v>1324610</v>
      </c>
    </row>
    <row r="11" spans="1:13">
      <c r="A11" s="318" t="s">
        <v>66</v>
      </c>
      <c r="B11" s="13" t="s">
        <v>64</v>
      </c>
      <c r="C11" s="440">
        <v>51731</v>
      </c>
      <c r="D11" s="512" t="s">
        <v>393</v>
      </c>
      <c r="E11" s="13" t="s">
        <v>64</v>
      </c>
      <c r="F11" s="440">
        <v>385617</v>
      </c>
      <c r="G11" s="439" t="s">
        <v>392</v>
      </c>
      <c r="H11" s="13" t="s">
        <v>64</v>
      </c>
      <c r="I11" s="440">
        <v>61534</v>
      </c>
      <c r="J11" s="512" t="s">
        <v>392</v>
      </c>
      <c r="K11" s="440">
        <v>111572</v>
      </c>
      <c r="L11" s="440">
        <v>377024</v>
      </c>
      <c r="M11" s="439" t="s">
        <v>392</v>
      </c>
    </row>
    <row r="12" spans="1:13">
      <c r="A12" s="320">
        <v>87149120007</v>
      </c>
      <c r="B12" s="444"/>
      <c r="C12" s="441"/>
      <c r="D12" s="445"/>
      <c r="E12" s="443"/>
      <c r="F12" s="445"/>
      <c r="G12" s="441"/>
      <c r="H12" s="443"/>
      <c r="I12" s="445"/>
      <c r="J12" s="441"/>
      <c r="K12" s="443"/>
      <c r="L12" s="448"/>
      <c r="M12" s="448"/>
    </row>
    <row r="13" spans="1:13">
      <c r="A13" s="318" t="s">
        <v>68</v>
      </c>
      <c r="B13" s="308"/>
      <c r="C13" s="440">
        <f>VLOOKUP(A12,[13]進出口值表查詢結果!$A$3:$E$19,4,0)</f>
        <v>673821</v>
      </c>
      <c r="D13" s="440">
        <f>VLOOKUP(A12,[13]進出口值表查詢結果!$A$3:$E$19,3,0)</f>
        <v>43647193</v>
      </c>
      <c r="F13" s="440">
        <f>VLOOKUP(A12,[14]進出口值表查詢結果!$A$3:$E$19,4,0)</f>
        <v>5840530</v>
      </c>
      <c r="G13" s="440">
        <f>VLOOKUP(A12,[14]進出口值表查詢結果!$A$3:$E$19,3,0)</f>
        <v>380667382</v>
      </c>
      <c r="I13" s="440">
        <f>VLOOKUP(A12,[15]進出口值表查詢結果!$A$3:$E$19,4,0)</f>
        <v>322295</v>
      </c>
      <c r="J13" s="440">
        <f>VLOOKUP(A12,[15]進出口值表查詢結果!$A$3:$E$19,3,0)</f>
        <v>25751235</v>
      </c>
      <c r="L13" s="440">
        <f>VLOOKUP(A12,[16]進出口值表查詢結果!$A$10:$E$26,4,0)</f>
        <v>3045449</v>
      </c>
      <c r="M13" s="440">
        <f>VLOOKUP(A12,[16]進出口值表查詢結果!$A$10:$E$26,3,0)</f>
        <v>231297701</v>
      </c>
    </row>
    <row r="14" spans="1:13">
      <c r="A14" s="318" t="s">
        <v>69</v>
      </c>
      <c r="B14" s="13" t="s">
        <v>64</v>
      </c>
      <c r="C14" s="440"/>
      <c r="D14" s="512"/>
      <c r="E14" s="13" t="s">
        <v>64</v>
      </c>
      <c r="F14" s="440">
        <v>0</v>
      </c>
      <c r="G14" s="439"/>
      <c r="I14" s="440"/>
      <c r="J14" s="439"/>
      <c r="L14" s="440"/>
      <c r="M14" s="439"/>
    </row>
    <row r="15" spans="1:13">
      <c r="A15" s="321">
        <v>87149200108</v>
      </c>
      <c r="B15" s="444"/>
      <c r="C15" s="445"/>
      <c r="D15" s="441"/>
      <c r="E15" s="443"/>
      <c r="F15" s="445"/>
      <c r="G15" s="441"/>
      <c r="H15" s="443"/>
      <c r="I15" s="445"/>
      <c r="J15" s="441"/>
      <c r="K15" s="443"/>
      <c r="L15" s="445"/>
      <c r="M15" s="441"/>
    </row>
    <row r="16" spans="1:13">
      <c r="A16" s="318" t="s">
        <v>70</v>
      </c>
      <c r="B16" s="308"/>
      <c r="C16" s="440">
        <f>VLOOKUP(A15,[13]進出口值表查詢結果!$A$3:$E$19,4,0)</f>
        <v>80944</v>
      </c>
      <c r="D16" s="440">
        <f>VLOOKUP(A15,[13]進出口值表查詢結果!$A$3:$E$19,3,0)</f>
        <v>3752356</v>
      </c>
      <c r="F16" s="440">
        <f>VLOOKUP(A15,[14]進出口值表查詢結果!$A$3:$E$19,4,0)</f>
        <v>870715</v>
      </c>
      <c r="G16" s="440">
        <f>VLOOKUP(A15,[14]進出口值表查詢結果!$A$3:$E$19,3,0)</f>
        <v>30295347</v>
      </c>
      <c r="I16" s="440">
        <f>VLOOKUP(A15,[15]進出口值表查詢結果!$A$3:$E$19,4,0)</f>
        <v>55817</v>
      </c>
      <c r="J16" s="440">
        <f>VLOOKUP(A15,[15]進出口值表查詢結果!$A$3:$E$19,3,0)</f>
        <v>5559443</v>
      </c>
      <c r="L16" s="440">
        <f>VLOOKUP(A15,[16]進出口值表查詢結果!$A$10:$E$26,4,0)</f>
        <v>468200</v>
      </c>
      <c r="M16" s="440">
        <f>VLOOKUP(A15,[16]進出口值表查詢結果!$A$10:$E$26,3,0)</f>
        <v>49213090</v>
      </c>
    </row>
    <row r="17" spans="1:13">
      <c r="A17" s="318"/>
      <c r="B17" s="13" t="s">
        <v>64</v>
      </c>
      <c r="C17" s="440">
        <f>VLOOKUP(A15,[13]進出口值表查詢結果!$A$3:$E$19,5,0)</f>
        <v>242404</v>
      </c>
      <c r="D17" s="512" t="s">
        <v>151</v>
      </c>
      <c r="E17" s="13" t="s">
        <v>64</v>
      </c>
      <c r="F17" s="440">
        <f>VLOOKUP(A15,[14]進出口值表查詢結果!$A$3:$E$19,5,0)</f>
        <v>1630605</v>
      </c>
      <c r="G17" s="439" t="s">
        <v>67</v>
      </c>
      <c r="H17" s="13" t="s">
        <v>64</v>
      </c>
      <c r="I17" s="440">
        <f>VLOOKUP(A15,[15]進出口值表查詢結果!$A$3:$E$19,5,0)</f>
        <v>111890</v>
      </c>
      <c r="J17" s="512" t="s">
        <v>67</v>
      </c>
      <c r="K17" s="311" t="s">
        <v>64</v>
      </c>
      <c r="L17" s="440">
        <f>VLOOKUP(A15,[16]進出口值表查詢結果!$A$10:$E$26,5,0)</f>
        <v>1008984</v>
      </c>
      <c r="M17" s="439" t="s">
        <v>67</v>
      </c>
    </row>
    <row r="18" spans="1:13">
      <c r="A18" s="321">
        <v>87149200206</v>
      </c>
      <c r="B18" s="444"/>
      <c r="C18" s="445"/>
      <c r="D18" s="441"/>
      <c r="E18" s="443"/>
      <c r="F18" s="445"/>
      <c r="G18" s="441"/>
      <c r="H18" s="443"/>
      <c r="I18" s="442"/>
      <c r="J18" s="441"/>
      <c r="K18" s="443"/>
      <c r="L18" s="442"/>
      <c r="M18" s="441"/>
    </row>
    <row r="19" spans="1:13">
      <c r="A19" s="318" t="s">
        <v>55</v>
      </c>
      <c r="B19" s="308"/>
      <c r="C19" s="440">
        <f>VLOOKUP(A18,[13]進出口值表查詢結果!$A$3:$E$19,4,0)</f>
        <v>75505</v>
      </c>
      <c r="D19" s="440">
        <f>VLOOKUP(A18,[13]進出口值表查詢結果!$A$3:$E$19,3,0)</f>
        <v>1526210</v>
      </c>
      <c r="F19" s="440">
        <f>VLOOKUP(A18,[14]進出口值表查詢結果!$A$3:$E$19,4,0)</f>
        <v>736053</v>
      </c>
      <c r="G19" s="440">
        <f>VLOOKUP(A18,[14]進出口值表查詢結果!$A$3:$E$19,3,0)</f>
        <v>11165291</v>
      </c>
      <c r="I19" s="440">
        <f>VLOOKUP(A18,[15]進出口值表查詢結果!$A$3:$E$19,4,0)</f>
        <v>13697</v>
      </c>
      <c r="J19" s="440">
        <f>VLOOKUP(A18,[15]進出口值表查詢結果!$A$3:$E$19,3,0)</f>
        <v>1060131</v>
      </c>
      <c r="L19" s="440">
        <f>VLOOKUP(A18,[16]進出口值表查詢結果!$A$10:$E$26,4,0)</f>
        <v>98245</v>
      </c>
      <c r="M19" s="440">
        <f>VLOOKUP(A18,[16]進出口值表查詢結果!$A$10:$E$26,3,0)</f>
        <v>8793605</v>
      </c>
    </row>
    <row r="20" spans="1:13">
      <c r="A20" s="318"/>
      <c r="B20" s="13" t="s">
        <v>64</v>
      </c>
      <c r="C20" s="440">
        <f>VLOOKUP(A18,[13]進出口值表查詢結果!$A$3:$E$19,5,0)</f>
        <v>11828032</v>
      </c>
      <c r="D20" s="512" t="s">
        <v>151</v>
      </c>
      <c r="E20" s="13" t="s">
        <v>64</v>
      </c>
      <c r="F20" s="440">
        <f>VLOOKUP(A18,[14]進出口值表查詢結果!$A$3:$E$19,5,0)</f>
        <v>111166427</v>
      </c>
      <c r="G20" s="439" t="s">
        <v>67</v>
      </c>
      <c r="H20" s="13" t="s">
        <v>64</v>
      </c>
      <c r="I20" s="440">
        <f>VLOOKUP(A18,[15]進出口值表查詢結果!$A$3:$E$19,5,0)</f>
        <v>2540321</v>
      </c>
      <c r="J20" s="512" t="s">
        <v>67</v>
      </c>
      <c r="K20" s="311" t="s">
        <v>64</v>
      </c>
      <c r="L20" s="440">
        <f>VLOOKUP(A18,[16]進出口值表查詢結果!$A$10:$E$26,5,0)</f>
        <v>17320185</v>
      </c>
      <c r="M20" s="439" t="s">
        <v>67</v>
      </c>
    </row>
    <row r="21" spans="1:13">
      <c r="A21" s="321">
        <v>87149200304</v>
      </c>
      <c r="B21" s="444"/>
      <c r="C21" s="445"/>
      <c r="D21" s="441"/>
      <c r="E21" s="443"/>
      <c r="F21" s="445"/>
      <c r="G21" s="441"/>
      <c r="H21" s="443"/>
      <c r="I21" s="442"/>
      <c r="J21" s="441"/>
      <c r="K21" s="443"/>
      <c r="L21" s="442"/>
      <c r="M21" s="441"/>
    </row>
    <row r="22" spans="1:13">
      <c r="A22" s="318" t="s">
        <v>56</v>
      </c>
      <c r="B22" s="308"/>
      <c r="C22" s="440">
        <f>VLOOKUP(A21,[13]進出口值表查詢結果!$A$3:$E$19,4,0)</f>
        <v>52871</v>
      </c>
      <c r="D22" s="440">
        <f>VLOOKUP(A21,[13]進出口值表查詢結果!$A$3:$E$19,3,0)</f>
        <v>7008495</v>
      </c>
      <c r="E22" s="311">
        <f>[17]二全年出口類別合計驗算!U18</f>
        <v>0</v>
      </c>
      <c r="F22" s="440">
        <f>VLOOKUP(A21,[14]進出口值表查詢結果!$A$3:$E$19,4,0)</f>
        <v>441980</v>
      </c>
      <c r="G22" s="440">
        <f>VLOOKUP(A21,[14]進出口值表查詢結果!$A$3:$E$19,3,0)</f>
        <v>53793028</v>
      </c>
      <c r="I22" s="440">
        <f>VLOOKUP(A21,[15]進出口值表查詢結果!$A$3:$E$19,4,0)</f>
        <v>14682</v>
      </c>
      <c r="J22" s="440">
        <f>VLOOKUP(A21,[15]進出口值表查詢結果!$A$3:$E$19,3,0)</f>
        <v>549545</v>
      </c>
      <c r="L22" s="440">
        <f>VLOOKUP(A21,[16]進出口值表查詢結果!$A$10:$E$26,4,0)</f>
        <v>120045</v>
      </c>
      <c r="M22" s="440">
        <f>VLOOKUP(A21,[16]進出口值表查詢結果!$A$10:$E$26,3,0)</f>
        <v>3734282</v>
      </c>
    </row>
    <row r="23" spans="1:13">
      <c r="A23" s="321">
        <v>87149310007</v>
      </c>
      <c r="B23" s="444"/>
      <c r="C23" s="445"/>
      <c r="D23" s="441"/>
      <c r="E23" s="443"/>
      <c r="F23" s="445"/>
      <c r="G23" s="441"/>
      <c r="H23" s="443"/>
      <c r="I23" s="442"/>
      <c r="J23" s="441"/>
      <c r="K23" s="443"/>
      <c r="L23" s="442"/>
      <c r="M23" s="441"/>
    </row>
    <row r="24" spans="1:13">
      <c r="A24" s="318" t="s">
        <v>71</v>
      </c>
      <c r="B24" s="308"/>
      <c r="C24" s="440">
        <f>VLOOKUP(A23,[13]進出口值表查詢結果!$A$3:$E$19,4,0)</f>
        <v>36684</v>
      </c>
      <c r="D24" s="440">
        <f>VLOOKUP(A23,[13]進出口值表查詢結果!$A$3:$E$19,3,0)</f>
        <v>3097772</v>
      </c>
      <c r="F24" s="440">
        <f>VLOOKUP(A23,[14]進出口值表查詢結果!$A$3:$E$19,4,0)</f>
        <v>511406</v>
      </c>
      <c r="G24" s="440">
        <f>VLOOKUP(A23,[14]進出口值表查詢結果!$A$3:$E$19,3,0)</f>
        <v>32909543</v>
      </c>
      <c r="I24" s="440">
        <f>VLOOKUP(A23,[15]進出口值表查詢結果!$A$3:$E$19,4,0)</f>
        <v>56551</v>
      </c>
      <c r="J24" s="440">
        <f>VLOOKUP(A23,[15]進出口值表查詢結果!$A$3:$E$19,3,0)</f>
        <v>2525166</v>
      </c>
      <c r="L24" s="440">
        <f>VLOOKUP(A23,[16]進出口值表查詢結果!$A$10:$E$26,4,0)</f>
        <v>554266</v>
      </c>
      <c r="M24" s="440">
        <f>VLOOKUP(A23,[16]進出口值表查詢結果!$A$10:$E$26,3,0)</f>
        <v>22235789</v>
      </c>
    </row>
    <row r="25" spans="1:13">
      <c r="A25" s="318" t="s">
        <v>72</v>
      </c>
      <c r="B25" s="308"/>
      <c r="C25" s="440"/>
      <c r="D25" s="439"/>
      <c r="F25" s="440"/>
      <c r="G25" s="439"/>
      <c r="I25" s="440"/>
      <c r="J25" s="439"/>
      <c r="L25" s="440"/>
      <c r="M25" s="439"/>
    </row>
    <row r="26" spans="1:13">
      <c r="A26" s="318" t="s">
        <v>73</v>
      </c>
      <c r="B26" s="308"/>
      <c r="C26" s="440"/>
      <c r="D26" s="439"/>
      <c r="F26" s="440"/>
      <c r="G26" s="439"/>
      <c r="I26" s="440"/>
      <c r="J26" s="439"/>
      <c r="L26" s="440"/>
      <c r="M26" s="439"/>
    </row>
    <row r="27" spans="1:13">
      <c r="A27" s="321">
        <v>87149320103</v>
      </c>
      <c r="B27" s="444"/>
      <c r="C27" s="445"/>
      <c r="D27" s="441"/>
      <c r="E27" s="443"/>
      <c r="F27" s="445"/>
      <c r="G27" s="441"/>
      <c r="H27" s="443"/>
      <c r="I27" s="442"/>
      <c r="J27" s="441"/>
      <c r="K27" s="443"/>
      <c r="L27" s="442"/>
      <c r="M27" s="441"/>
    </row>
    <row r="28" spans="1:13">
      <c r="A28" s="318" t="s">
        <v>406</v>
      </c>
      <c r="B28" s="308"/>
      <c r="C28" s="440">
        <f>VLOOKUP(A27,[13]進出口值表查詢結果!$A$3:$E$19,4,0)</f>
        <v>851</v>
      </c>
      <c r="D28" s="440">
        <f>VLOOKUP(A27,[13]進出口值表查詢結果!$A$3:$E$19,3,0)</f>
        <v>26897</v>
      </c>
      <c r="F28" s="440">
        <f>VLOOKUP(A27,[14]進出口值表查詢結果!$A$3:$E$19,4,0)</f>
        <v>15950</v>
      </c>
      <c r="G28" s="440">
        <f>VLOOKUP(A27,[14]進出口值表查詢結果!$A$3:$E$19,3,0)</f>
        <v>514399</v>
      </c>
      <c r="I28" s="440">
        <f>VLOOKUP(A27,[15]進出口值表查詢結果!$A$3:$E$19,4,0)</f>
        <v>491</v>
      </c>
      <c r="J28" s="440">
        <f>VLOOKUP(A27,[15]進出口值表查詢結果!$A$3:$E$19,3,0)</f>
        <v>21493</v>
      </c>
      <c r="L28" s="440">
        <f>VLOOKUP(A27,[16]進出口值表查詢結果!$A$10:$E$26,4,0)</f>
        <v>8271</v>
      </c>
      <c r="M28" s="440">
        <f>VLOOKUP(A27,[16]進出口值表查詢結果!$A$10:$E$26,3,0)</f>
        <v>354822</v>
      </c>
    </row>
    <row r="29" spans="1:13">
      <c r="A29" s="321">
        <v>87149410006</v>
      </c>
      <c r="B29" s="444"/>
      <c r="C29" s="445"/>
      <c r="D29" s="441"/>
      <c r="E29" s="443"/>
      <c r="F29" s="445"/>
      <c r="G29" s="441"/>
      <c r="H29" s="443"/>
      <c r="I29" s="442"/>
      <c r="J29" s="441"/>
      <c r="K29" s="443"/>
      <c r="L29" s="442"/>
      <c r="M29" s="441"/>
    </row>
    <row r="30" spans="1:13">
      <c r="A30" s="318" t="s">
        <v>74</v>
      </c>
      <c r="B30" s="308"/>
      <c r="C30" s="440">
        <f>VLOOKUP(A29,[13]進出口值表查詢結果!$A$3:$E$19,4,0)</f>
        <v>9976</v>
      </c>
      <c r="D30" s="440">
        <f>VLOOKUP(A29,[13]進出口值表查詢結果!$A$3:$E$19,3,0)</f>
        <v>243641</v>
      </c>
      <c r="F30" s="440">
        <f>VLOOKUP(A29,[14]進出口值表查詢結果!$A$3:$E$19,4,0)</f>
        <v>60711</v>
      </c>
      <c r="G30" s="440">
        <f>VLOOKUP(A29,[14]進出口值表查詢結果!$A$3:$E$19,3,0)</f>
        <v>1461929</v>
      </c>
      <c r="I30" s="440">
        <f>VLOOKUP(A29,[15]進出口值表查詢結果!$A$3:$E$19,4,0)</f>
        <v>3859</v>
      </c>
      <c r="J30" s="440">
        <f>VLOOKUP(A29,[15]進出口值表查詢結果!$A$3:$E$19,3,0)</f>
        <v>86252</v>
      </c>
      <c r="L30" s="440">
        <f>VLOOKUP(A29,[16]進出口值表查詢結果!$A$10:$E$26,4,0)</f>
        <v>17899</v>
      </c>
      <c r="M30" s="440">
        <f>VLOOKUP(A29,[16]進出口值表查詢結果!$A$10:$E$26,3,0)</f>
        <v>338055</v>
      </c>
    </row>
    <row r="31" spans="1:13">
      <c r="A31" s="318" t="s">
        <v>75</v>
      </c>
      <c r="B31" s="308"/>
      <c r="C31" s="440"/>
      <c r="D31" s="512"/>
      <c r="F31" s="440"/>
      <c r="G31" s="439"/>
      <c r="I31" s="440"/>
      <c r="J31" s="439"/>
      <c r="L31" s="440"/>
      <c r="M31" s="439"/>
    </row>
    <row r="32" spans="1:13">
      <c r="A32" s="321">
        <v>87149490009</v>
      </c>
      <c r="B32" s="444"/>
      <c r="C32" s="445"/>
      <c r="D32" s="441"/>
      <c r="E32" s="443"/>
      <c r="F32" s="445"/>
      <c r="G32" s="441"/>
      <c r="H32" s="443"/>
      <c r="I32" s="442"/>
      <c r="J32" s="441"/>
      <c r="K32" s="443"/>
      <c r="L32" s="442"/>
      <c r="M32" s="441"/>
    </row>
    <row r="33" spans="1:13">
      <c r="A33" s="318" t="s">
        <v>76</v>
      </c>
      <c r="B33" s="308"/>
      <c r="C33" s="440">
        <f>VLOOKUP(A32,[13]進出口值表查詢結果!$A$3:$E$19,4,0)</f>
        <v>284933</v>
      </c>
      <c r="D33" s="440">
        <f>VLOOKUP(A32,[13]進出口值表查詢結果!$A$3:$E$19,3,0)</f>
        <v>12476593</v>
      </c>
      <c r="F33" s="440">
        <f>VLOOKUP(A32,[14]進出口值表查詢結果!$A$3:$E$19,4,0)</f>
        <v>2719622</v>
      </c>
      <c r="G33" s="440">
        <f>VLOOKUP(A32,[14]進出口值表查詢結果!$A$3:$E$19,3,0)</f>
        <v>118930020</v>
      </c>
      <c r="I33" s="440">
        <f>VLOOKUP(A32,[15]進出口值表查詢結果!$A$3:$E$19,4,0)</f>
        <v>134072</v>
      </c>
      <c r="J33" s="440">
        <f>VLOOKUP(A32,[15]進出口值表查詢結果!$A$3:$E$19,3,0)</f>
        <v>8238740</v>
      </c>
      <c r="L33" s="440">
        <f>VLOOKUP(A32,[16]進出口值表查詢結果!$A$10:$E$26,4,0)</f>
        <v>1052234</v>
      </c>
      <c r="M33" s="440">
        <f>VLOOKUP(A32,[16]進出口值表查詢結果!$A$10:$E$26,3,0)</f>
        <v>67222887</v>
      </c>
    </row>
    <row r="34" spans="1:13">
      <c r="A34" s="318" t="s">
        <v>77</v>
      </c>
      <c r="B34" s="308"/>
      <c r="C34" s="440"/>
      <c r="D34" s="439"/>
      <c r="F34" s="440"/>
      <c r="G34" s="439"/>
      <c r="I34" s="440"/>
      <c r="J34" s="512"/>
      <c r="L34" s="440"/>
      <c r="M34" s="439"/>
    </row>
    <row r="35" spans="1:13">
      <c r="A35" s="321">
        <v>87149500007</v>
      </c>
      <c r="B35" s="444"/>
      <c r="C35" s="442"/>
      <c r="D35" s="441"/>
      <c r="E35" s="443"/>
      <c r="F35" s="442"/>
      <c r="G35" s="441"/>
      <c r="H35" s="443"/>
      <c r="I35" s="442"/>
      <c r="J35" s="441"/>
      <c r="K35" s="443"/>
      <c r="L35" s="442"/>
      <c r="M35" s="441"/>
    </row>
    <row r="36" spans="1:13">
      <c r="A36" s="318" t="s">
        <v>78</v>
      </c>
      <c r="B36" s="308"/>
      <c r="C36" s="440">
        <f>VLOOKUP(A35,[13]進出口值表查詢結果!$A$3:$E$19,4,0)</f>
        <v>70352</v>
      </c>
      <c r="D36" s="440">
        <f>VLOOKUP(A35,[13]進出口值表查詢結果!$A$3:$E$19,3,0)</f>
        <v>1987529</v>
      </c>
      <c r="F36" s="440">
        <f>VLOOKUP(A35,[14]進出口值表查詢結果!$A$3:$E$19,4,0)</f>
        <v>879803</v>
      </c>
      <c r="G36" s="440">
        <f>VLOOKUP(A35,[14]進出口值表查詢結果!$A$3:$E$19,3,0)</f>
        <v>19301831</v>
      </c>
      <c r="I36" s="440">
        <f>VLOOKUP(A35,[15]進出口值表查詢結果!$A$3:$E$19,4,0)</f>
        <v>51363</v>
      </c>
      <c r="J36" s="440">
        <f>VLOOKUP(A35,[15]進出口值表查詢結果!$A$3:$E$19,3,0)</f>
        <v>864388</v>
      </c>
      <c r="L36" s="440">
        <f>VLOOKUP(A35,[16]進出口值表查詢結果!$A$10:$E$26,4,0)</f>
        <v>423186</v>
      </c>
      <c r="M36" s="440">
        <f>VLOOKUP(A35,[16]進出口值表查詢結果!$A$10:$E$26,3,0)</f>
        <v>7765700</v>
      </c>
    </row>
    <row r="37" spans="1:13">
      <c r="A37" s="321">
        <v>87149610004</v>
      </c>
      <c r="B37" s="444"/>
      <c r="C37" s="442"/>
      <c r="D37" s="441"/>
      <c r="E37" s="443"/>
      <c r="F37" s="442"/>
      <c r="G37" s="441"/>
      <c r="H37" s="443"/>
      <c r="I37" s="442"/>
      <c r="J37" s="441"/>
      <c r="K37" s="443"/>
      <c r="L37" s="442"/>
      <c r="M37" s="441"/>
    </row>
    <row r="38" spans="1:13">
      <c r="A38" s="318" t="s">
        <v>79</v>
      </c>
      <c r="B38" s="308"/>
      <c r="C38" s="440">
        <f>VLOOKUP(A37,[13]進出口值表查詢結果!$A$3:$E$19,4,0)</f>
        <v>132020</v>
      </c>
      <c r="D38" s="440">
        <f>VLOOKUP(A37,[13]進出口值表查詢結果!$A$3:$E$19,3,0)</f>
        <v>3153238</v>
      </c>
      <c r="F38" s="440">
        <f>VLOOKUP(A37,[14]進出口值表查詢結果!$A$3:$E$19,4,0)</f>
        <v>1127253</v>
      </c>
      <c r="G38" s="440">
        <f>VLOOKUP(A37,[14]進出口值表查詢結果!$A$3:$E$19,3,0)</f>
        <v>28060497</v>
      </c>
      <c r="I38" s="440">
        <f>VLOOKUP(A37,[15]進出口值表查詢結果!$A$3:$E$19,4,0)</f>
        <v>22593</v>
      </c>
      <c r="J38" s="440">
        <f>VLOOKUP(A37,[15]進出口值表查詢結果!$A$3:$E$19,3,0)</f>
        <v>610461</v>
      </c>
      <c r="L38" s="440">
        <f>VLOOKUP(A37,[16]進出口值表查詢結果!$A$10:$E$26,4,0)</f>
        <v>177818</v>
      </c>
      <c r="M38" s="440">
        <f>VLOOKUP(A37,[16]進出口值表查詢結果!$A$10:$E$26,3,0)</f>
        <v>2936103</v>
      </c>
    </row>
    <row r="39" spans="1:13">
      <c r="A39" s="321">
        <v>87149620002</v>
      </c>
      <c r="B39" s="444"/>
      <c r="C39" s="445"/>
      <c r="D39" s="441"/>
      <c r="E39" s="443"/>
      <c r="F39" s="445"/>
      <c r="G39" s="441"/>
      <c r="H39" s="443"/>
      <c r="I39" s="442"/>
      <c r="J39" s="441"/>
      <c r="K39" s="443"/>
      <c r="L39" s="442"/>
      <c r="M39" s="441"/>
    </row>
    <row r="40" spans="1:13">
      <c r="A40" s="318" t="s">
        <v>80</v>
      </c>
      <c r="B40" s="308"/>
      <c r="C40" s="440">
        <f>VLOOKUP(A39,[13]進出口值表查詢結果!$A$3:$E$19,4,0)</f>
        <v>109877</v>
      </c>
      <c r="D40" s="440">
        <f>VLOOKUP(A39,[13]進出口值表查詢結果!$A$3:$E$19,3,0)</f>
        <v>6621106</v>
      </c>
      <c r="F40" s="440">
        <f>VLOOKUP(A39,[14]進出口值表查詢結果!$A$3:$E$19,4,0)</f>
        <v>1170193</v>
      </c>
      <c r="G40" s="440">
        <f>VLOOKUP(A39,[14]進出口值表查詢結果!$A$3:$E$19,3,0)</f>
        <v>61819721</v>
      </c>
      <c r="I40" s="440">
        <f>VLOOKUP(A39,[15]進出口值表查詢結果!$A$3:$E$19,4,0)</f>
        <v>102243</v>
      </c>
      <c r="J40" s="440">
        <f>VLOOKUP(A39,[15]進出口值表查詢結果!$A$3:$E$19,3,0)</f>
        <v>3369909</v>
      </c>
      <c r="L40" s="440">
        <f>VLOOKUP(A39,[16]進出口值表查詢結果!$A$10:$E$26,4,0)</f>
        <v>815411</v>
      </c>
      <c r="M40" s="440">
        <f>VLOOKUP(A39,[16]進出口值表查詢結果!$A$10:$E$26,3,0)</f>
        <v>24431379</v>
      </c>
    </row>
    <row r="41" spans="1:13">
      <c r="A41" s="318" t="s">
        <v>75</v>
      </c>
      <c r="B41" s="308"/>
      <c r="C41" s="440"/>
      <c r="D41" s="440"/>
      <c r="F41" s="440"/>
      <c r="G41" s="440"/>
      <c r="I41" s="440"/>
      <c r="J41" s="440"/>
      <c r="L41" s="440"/>
      <c r="M41" s="440"/>
    </row>
    <row r="42" spans="1:13">
      <c r="A42" s="321">
        <v>73151100209</v>
      </c>
      <c r="B42" s="444"/>
      <c r="C42" s="441"/>
      <c r="D42" s="445"/>
      <c r="E42" s="443"/>
      <c r="F42" s="442"/>
      <c r="G42" s="441"/>
      <c r="H42" s="443"/>
      <c r="I42" s="442"/>
      <c r="J42" s="441"/>
      <c r="K42" s="443"/>
      <c r="L42" s="442"/>
      <c r="M42" s="441"/>
    </row>
    <row r="43" spans="1:13">
      <c r="A43" s="318" t="s">
        <v>81</v>
      </c>
      <c r="B43" s="308"/>
      <c r="C43" s="440">
        <v>89379</v>
      </c>
      <c r="D43" s="440">
        <v>2397313</v>
      </c>
      <c r="F43" s="440">
        <v>680110</v>
      </c>
      <c r="G43" s="440">
        <v>16069438</v>
      </c>
      <c r="I43" s="440">
        <v>68167</v>
      </c>
      <c r="J43" s="440">
        <v>734309</v>
      </c>
      <c r="L43" s="440">
        <v>667761</v>
      </c>
      <c r="M43" s="440">
        <v>7148729</v>
      </c>
    </row>
    <row r="44" spans="1:13">
      <c r="A44" s="318" t="s">
        <v>82</v>
      </c>
      <c r="B44" s="308"/>
      <c r="C44" s="440"/>
      <c r="D44" s="439"/>
      <c r="F44" s="440"/>
      <c r="G44" s="439"/>
      <c r="I44" s="440"/>
      <c r="J44" s="439"/>
      <c r="L44" s="440"/>
      <c r="M44" s="439"/>
    </row>
    <row r="45" spans="1:13">
      <c r="A45" s="321">
        <v>87149990111</v>
      </c>
      <c r="B45" s="444"/>
      <c r="C45" s="445"/>
      <c r="D45" s="441"/>
      <c r="E45" s="443"/>
      <c r="F45" s="445"/>
      <c r="G45" s="441"/>
      <c r="H45" s="443"/>
      <c r="I45" s="442"/>
      <c r="J45" s="441"/>
      <c r="K45" s="443"/>
      <c r="L45" s="442"/>
      <c r="M45" s="441"/>
    </row>
    <row r="46" spans="1:13">
      <c r="A46" s="322" t="s">
        <v>83</v>
      </c>
      <c r="B46" s="310"/>
      <c r="C46" s="440">
        <f>VLOOKUP(A45,[13]進出口值表查詢結果!$A$3:$E$19,4,0)</f>
        <v>39451</v>
      </c>
      <c r="D46" s="440">
        <f>VLOOKUP(A45,[13]進出口值表查詢結果!$A$3:$E$19,3,0)</f>
        <v>5599563</v>
      </c>
      <c r="F46" s="440">
        <f>VLOOKUP(A45,[14]進出口值表查詢結果!$A$3:$E$19,4,0)</f>
        <v>470089</v>
      </c>
      <c r="G46" s="440">
        <f>VLOOKUP(A45,[14]進出口值表查詢結果!$A$3:$E$19,3,0)</f>
        <v>58325209</v>
      </c>
      <c r="I46" s="440">
        <f>VLOOKUP(A45,[15]進出口值表查詢結果!$A$3:$E$19,4,0)</f>
        <v>21592</v>
      </c>
      <c r="J46" s="440">
        <f>VLOOKUP(A45,[15]進出口值表查詢結果!$A$3:$E$19,3,0)</f>
        <v>2584315</v>
      </c>
      <c r="L46" s="440">
        <f>VLOOKUP(A45,[16]進出口值表查詢結果!$A$10:$E$26,4,0)</f>
        <v>229152</v>
      </c>
      <c r="M46" s="440">
        <f>VLOOKUP(A45,[16]進出口值表查詢結果!$A$10:$E$26,3,0)</f>
        <v>21259986</v>
      </c>
    </row>
    <row r="47" spans="1:13">
      <c r="A47" s="318" t="s">
        <v>84</v>
      </c>
      <c r="B47" s="308"/>
      <c r="C47" s="440"/>
      <c r="D47" s="439"/>
      <c r="F47" s="440"/>
      <c r="G47" s="439"/>
      <c r="I47" s="440"/>
      <c r="J47" s="439"/>
      <c r="L47" s="440"/>
      <c r="M47" s="439"/>
    </row>
    <row r="48" spans="1:13">
      <c r="A48" s="321">
        <v>87149320906</v>
      </c>
      <c r="B48" s="444"/>
      <c r="C48" s="445"/>
      <c r="D48" s="441"/>
      <c r="E48" s="443"/>
      <c r="F48" s="445"/>
      <c r="G48" s="441"/>
      <c r="H48" s="443"/>
      <c r="I48" s="442"/>
      <c r="J48" s="441"/>
      <c r="K48" s="443"/>
      <c r="L48" s="442"/>
      <c r="M48" s="441"/>
    </row>
    <row r="49" spans="1:13">
      <c r="A49" s="318" t="s">
        <v>407</v>
      </c>
      <c r="B49" s="308"/>
      <c r="C49" s="440">
        <f>VLOOKUP(A48,[13]進出口值表查詢結果!$A$3:$E$19,4,0)</f>
        <v>102796</v>
      </c>
      <c r="D49" s="440">
        <f>VLOOKUP(A48,[13]進出口值表查詢結果!$A$3:$E$19,3,0)</f>
        <v>4406090</v>
      </c>
      <c r="F49" s="440">
        <f>VLOOKUP(A48,[14]進出口值表查詢結果!$A$3:$E$19,4,0)</f>
        <v>1069909</v>
      </c>
      <c r="G49" s="440">
        <f>VLOOKUP(A48,[14]進出口值表查詢結果!$A$3:$E$19,3,0)</f>
        <v>45161286</v>
      </c>
      <c r="I49" s="440">
        <f>VLOOKUP(A48,[15]進出口值表查詢結果!$A$3:$E$19,4,0)</f>
        <v>41427</v>
      </c>
      <c r="J49" s="440">
        <f>VLOOKUP(A48,[15]進出口值表查詢結果!$A$3:$E$19,3,0)</f>
        <v>1515087</v>
      </c>
      <c r="L49" s="440">
        <f>VLOOKUP(A48,[16]進出口值表查詢結果!$A$10:$E$26,4,0)</f>
        <v>272691</v>
      </c>
      <c r="M49" s="440">
        <f>VLOOKUP(A48,[16]進出口值表查詢結果!$A$10:$E$26,3,0)</f>
        <v>10330112</v>
      </c>
    </row>
    <row r="50" spans="1:13">
      <c r="A50" s="321">
        <v>87149990139</v>
      </c>
      <c r="B50" s="444"/>
      <c r="C50" s="445"/>
      <c r="D50" s="441"/>
      <c r="E50" s="443"/>
      <c r="F50" s="445"/>
      <c r="G50" s="441"/>
      <c r="H50" s="443"/>
      <c r="I50" s="442"/>
      <c r="J50" s="441"/>
      <c r="K50" s="443"/>
      <c r="L50" s="442"/>
      <c r="M50" s="441"/>
    </row>
    <row r="51" spans="1:13">
      <c r="A51" s="318" t="s">
        <v>85</v>
      </c>
      <c r="B51" s="308"/>
      <c r="C51" s="440">
        <f>VLOOKUP(A50,[13]進出口值表查詢結果!$A$3:$E$19,4,0)</f>
        <v>6250</v>
      </c>
      <c r="D51" s="440">
        <f>VLOOKUP(A50,[13]進出口值表查詢結果!$A$3:$E$19,3,0)</f>
        <v>204341</v>
      </c>
      <c r="F51" s="440">
        <f>VLOOKUP(A50,[14]進出口值表查詢結果!$A$3:$E$19,4,0)</f>
        <v>104347</v>
      </c>
      <c r="G51" s="440">
        <f>VLOOKUP(A50,[14]進出口值表查詢結果!$A$3:$E$19,3,0)</f>
        <v>1934715</v>
      </c>
      <c r="I51" s="440">
        <f>VLOOKUP(A50,[15]進出口值表查詢結果!$A$3:$E$19,4,0)</f>
        <v>10661</v>
      </c>
      <c r="J51" s="440">
        <f>VLOOKUP(A50,[15]進出口值表查詢結果!$A$3:$E$19,3,0)</f>
        <v>119182</v>
      </c>
      <c r="L51" s="440">
        <f>VLOOKUP(A50,[16]進出口值表查詢結果!$A$10:$E$26,4,0)</f>
        <v>61528</v>
      </c>
      <c r="M51" s="440">
        <f>VLOOKUP(A50,[16]進出口值表查詢結果!$A$10:$E$26,3,0)</f>
        <v>702404</v>
      </c>
    </row>
    <row r="52" spans="1:13">
      <c r="A52" s="321">
        <v>87149990148</v>
      </c>
      <c r="B52" s="444"/>
      <c r="C52" s="445"/>
      <c r="D52" s="441"/>
      <c r="E52" s="443"/>
      <c r="F52" s="445"/>
      <c r="G52" s="441"/>
      <c r="H52" s="443"/>
      <c r="I52" s="442"/>
      <c r="J52" s="441"/>
      <c r="K52" s="443"/>
      <c r="L52" s="442"/>
      <c r="M52" s="441"/>
    </row>
    <row r="53" spans="1:13">
      <c r="A53" s="323" t="s">
        <v>86</v>
      </c>
      <c r="B53" s="447"/>
      <c r="C53" s="440">
        <f>VLOOKUP(A52,[13]進出口值表查詢結果!$A$3:$E$19,4,0)</f>
        <v>44148</v>
      </c>
      <c r="D53" s="440">
        <f>VLOOKUP(A52,[13]進出口值表查詢結果!$A$3:$E$19,3,0)</f>
        <v>1503223</v>
      </c>
      <c r="F53" s="440">
        <f>VLOOKUP(A52,[14]進出口值表查詢結果!$A$3:$E$19,4,0)</f>
        <v>421748</v>
      </c>
      <c r="G53" s="440">
        <f>VLOOKUP(A52,[14]進出口值表查詢結果!$A$3:$E$19,3,0)</f>
        <v>14996378</v>
      </c>
      <c r="I53" s="440">
        <f>VLOOKUP(A52,[15]進出口值表查詢結果!$A$3:$E$19,4,0)</f>
        <v>19633</v>
      </c>
      <c r="J53" s="440">
        <f>VLOOKUP(A52,[15]進出口值表查詢結果!$A$3:$E$19,3,0)</f>
        <v>579527</v>
      </c>
      <c r="L53" s="440">
        <f>VLOOKUP(A52,[16]進出口值表查詢結果!$A$10:$E$26,4,0)</f>
        <v>116205</v>
      </c>
      <c r="M53" s="440">
        <f>VLOOKUP(A52,[16]進出口值表查詢結果!$A$10:$E$26,3,0)</f>
        <v>3617108</v>
      </c>
    </row>
    <row r="54" spans="1:13">
      <c r="A54" s="318" t="s">
        <v>87</v>
      </c>
      <c r="B54" s="308"/>
      <c r="C54" s="440"/>
      <c r="D54" s="439"/>
      <c r="F54" s="440"/>
      <c r="G54" s="439"/>
      <c r="I54" s="440"/>
      <c r="J54" s="446"/>
      <c r="L54" s="440"/>
      <c r="M54" s="439"/>
    </row>
    <row r="55" spans="1:13">
      <c r="A55" s="321">
        <v>87149990157</v>
      </c>
      <c r="B55" s="444"/>
      <c r="C55" s="445"/>
      <c r="D55" s="441"/>
      <c r="E55" s="443"/>
      <c r="F55" s="445"/>
      <c r="G55" s="441"/>
      <c r="H55" s="443"/>
      <c r="I55" s="442"/>
      <c r="J55" s="441"/>
      <c r="K55" s="443"/>
      <c r="L55" s="442"/>
      <c r="M55" s="441"/>
    </row>
    <row r="56" spans="1:13">
      <c r="A56" s="318" t="s">
        <v>88</v>
      </c>
      <c r="B56" s="308"/>
      <c r="C56" s="440">
        <f>VLOOKUP(A55,[13]進出口值表查詢結果!$A$3:$E$19,4,0)</f>
        <v>122626</v>
      </c>
      <c r="D56" s="440">
        <f>VLOOKUP(A55,[13]進出口值表查詢結果!$A$3:$E$19,3,0)</f>
        <v>5837765</v>
      </c>
      <c r="F56" s="440">
        <f>VLOOKUP(A55,[14]進出口值表查詢結果!$A$3:$E$19,4,0)</f>
        <v>832800</v>
      </c>
      <c r="G56" s="440">
        <f>VLOOKUP(A55,[14]進出口值表查詢結果!$A$3:$E$19,3,0)</f>
        <v>36278497</v>
      </c>
      <c r="I56" s="440">
        <f>VLOOKUP(A55,[15]進出口值表查詢結果!$A$3:$E$19,4,0)</f>
        <v>26150</v>
      </c>
      <c r="J56" s="440">
        <f>VLOOKUP(A55,[15]進出口值表查詢結果!$A$3:$E$19,3,0)</f>
        <v>1208260</v>
      </c>
      <c r="L56" s="440">
        <f>VLOOKUP(A55,[16]進出口值表查詢結果!$A$10:$E$26,4,0)</f>
        <v>241577</v>
      </c>
      <c r="M56" s="440">
        <f>VLOOKUP(A55,[16]進出口值表查詢結果!$A$10:$E$26,3,0)</f>
        <v>10739565</v>
      </c>
    </row>
    <row r="57" spans="1:13">
      <c r="A57" s="318" t="s">
        <v>89</v>
      </c>
      <c r="B57" s="308"/>
      <c r="C57" s="440"/>
      <c r="D57" s="512"/>
      <c r="F57" s="440"/>
      <c r="G57" s="439"/>
      <c r="I57" s="440"/>
      <c r="J57" s="440"/>
      <c r="L57" s="440"/>
      <c r="M57" s="439"/>
    </row>
    <row r="58" spans="1:13">
      <c r="A58" s="321">
        <v>87149990166</v>
      </c>
      <c r="B58" s="444"/>
      <c r="C58" s="445"/>
      <c r="D58" s="441"/>
      <c r="E58" s="443"/>
      <c r="F58" s="445"/>
      <c r="G58" s="441"/>
      <c r="H58" s="443"/>
      <c r="I58" s="442"/>
      <c r="J58" s="442"/>
      <c r="K58" s="443"/>
      <c r="L58" s="442"/>
      <c r="M58" s="441"/>
    </row>
    <row r="59" spans="1:13">
      <c r="A59" s="318" t="s">
        <v>86</v>
      </c>
      <c r="B59" s="308"/>
      <c r="C59" s="440">
        <f>VLOOKUP(A58,[13]進出口值表查詢結果!$A$3:$E$19,4,0)</f>
        <v>96942</v>
      </c>
      <c r="D59" s="440">
        <f>VLOOKUP(A58,[13]進出口值表查詢結果!$A$3:$E$19,3,0)</f>
        <v>3613149</v>
      </c>
      <c r="F59" s="440">
        <f>VLOOKUP(A58,[14]進出口值表查詢結果!$A$3:$E$19,4,0)</f>
        <v>891542</v>
      </c>
      <c r="G59" s="440">
        <f>VLOOKUP(A58,[14]進出口值表查詢結果!$A$3:$E$19,3,0)</f>
        <v>32171721</v>
      </c>
      <c r="I59" s="440">
        <f>VLOOKUP(A58,[15]進出口值表查詢結果!$A$3:$E$19,4,0)</f>
        <v>36729</v>
      </c>
      <c r="J59" s="440">
        <f>VLOOKUP(A58,[15]進出口值表查詢結果!$A$3:$E$19,3,0)</f>
        <v>2236993</v>
      </c>
      <c r="L59" s="440">
        <f>VLOOKUP(A58,[16]進出口值表查詢結果!$A$10:$E$26,4,0)</f>
        <v>279139</v>
      </c>
      <c r="M59" s="440">
        <f>VLOOKUP(A58,[16]進出口值表查詢結果!$A$10:$E$26,3,0)</f>
        <v>20907370</v>
      </c>
    </row>
    <row r="60" spans="1:13">
      <c r="A60" s="321">
        <v>40115000008</v>
      </c>
      <c r="B60" s="444"/>
      <c r="C60" s="442"/>
      <c r="D60" s="442"/>
      <c r="E60" s="443"/>
      <c r="F60" s="442"/>
      <c r="G60" s="442"/>
      <c r="H60" s="443"/>
      <c r="I60" s="442"/>
      <c r="J60" s="442"/>
      <c r="K60" s="443"/>
      <c r="L60" s="442"/>
      <c r="M60" s="441"/>
    </row>
    <row r="61" spans="1:13">
      <c r="A61" s="318" t="s">
        <v>90</v>
      </c>
      <c r="B61" s="308"/>
      <c r="C61" s="440">
        <v>340213</v>
      </c>
      <c r="D61" s="440">
        <v>6392931</v>
      </c>
      <c r="F61" s="440">
        <v>2982278</v>
      </c>
      <c r="G61" s="440">
        <v>51376243</v>
      </c>
      <c r="I61" s="440">
        <v>113499</v>
      </c>
      <c r="J61" s="440">
        <v>1304334</v>
      </c>
      <c r="L61" s="440">
        <v>1172295</v>
      </c>
      <c r="M61" s="440">
        <v>13705854</v>
      </c>
    </row>
    <row r="62" spans="1:13">
      <c r="A62" s="318" t="s">
        <v>91</v>
      </c>
      <c r="B62" s="308" t="s">
        <v>64</v>
      </c>
      <c r="C62" s="440">
        <v>504349</v>
      </c>
      <c r="D62" s="439" t="s">
        <v>67</v>
      </c>
      <c r="E62" s="13" t="s">
        <v>64</v>
      </c>
      <c r="F62" s="440">
        <v>4286270</v>
      </c>
      <c r="G62" s="439" t="s">
        <v>67</v>
      </c>
      <c r="H62" s="13" t="s">
        <v>64</v>
      </c>
      <c r="I62" s="440">
        <v>161853</v>
      </c>
      <c r="J62" s="512" t="s">
        <v>67</v>
      </c>
      <c r="K62" s="311" t="s">
        <v>64</v>
      </c>
      <c r="L62" s="440">
        <v>1729841</v>
      </c>
      <c r="M62" s="439" t="s">
        <v>67</v>
      </c>
    </row>
    <row r="63" spans="1:13">
      <c r="A63" s="321">
        <v>40132000003</v>
      </c>
      <c r="B63" s="444"/>
      <c r="C63" s="442"/>
      <c r="D63" s="442"/>
      <c r="E63" s="443"/>
      <c r="F63" s="442"/>
      <c r="G63" s="442"/>
      <c r="H63" s="443"/>
      <c r="I63" s="442"/>
      <c r="J63" s="442"/>
      <c r="K63" s="443"/>
      <c r="L63" s="442"/>
      <c r="M63" s="441"/>
    </row>
    <row r="64" spans="1:13">
      <c r="A64" s="318" t="s">
        <v>92</v>
      </c>
      <c r="B64" s="308"/>
      <c r="C64" s="440">
        <v>42732</v>
      </c>
      <c r="D64" s="440">
        <v>438832</v>
      </c>
      <c r="F64" s="440">
        <v>380690</v>
      </c>
      <c r="G64" s="440">
        <v>4100395</v>
      </c>
      <c r="I64" s="440">
        <v>34584</v>
      </c>
      <c r="J64" s="440">
        <v>260498</v>
      </c>
      <c r="L64" s="440">
        <v>238032</v>
      </c>
      <c r="M64" s="440">
        <v>1534867</v>
      </c>
    </row>
    <row r="65" spans="1:13">
      <c r="A65" s="318" t="s">
        <v>93</v>
      </c>
      <c r="B65" s="308" t="s">
        <v>64</v>
      </c>
      <c r="C65" s="440">
        <v>247581</v>
      </c>
      <c r="D65" s="439" t="s">
        <v>67</v>
      </c>
      <c r="E65" s="13" t="s">
        <v>64</v>
      </c>
      <c r="F65" s="440">
        <v>2199548</v>
      </c>
      <c r="G65" s="439" t="s">
        <v>67</v>
      </c>
      <c r="H65" s="13" t="s">
        <v>64</v>
      </c>
      <c r="I65" s="440">
        <v>218694</v>
      </c>
      <c r="J65" s="512" t="s">
        <v>67</v>
      </c>
      <c r="K65" s="311" t="s">
        <v>64</v>
      </c>
      <c r="L65" s="440">
        <v>1240577</v>
      </c>
      <c r="M65" s="439" t="s">
        <v>67</v>
      </c>
    </row>
    <row r="66" spans="1:13">
      <c r="A66" s="318"/>
      <c r="B66" s="308"/>
      <c r="D66" s="319"/>
      <c r="G66" s="319"/>
      <c r="J66" s="319"/>
      <c r="M66" s="319"/>
    </row>
    <row r="67" spans="1:13">
      <c r="A67" s="312" t="s">
        <v>94</v>
      </c>
      <c r="B67" s="324"/>
      <c r="C67" s="325">
        <f>SUM(C6:C66)-C65-C62-C20-C17-C11-C8-C14</f>
        <v>2425403</v>
      </c>
      <c r="D67" s="326">
        <f>SUM(D6:D66)</f>
        <v>115652416</v>
      </c>
      <c r="E67" s="325"/>
      <c r="F67" s="325">
        <f>SUM(F6:F66)-F65-F62-F20-F17-F11-F8-F14</f>
        <v>22328459</v>
      </c>
      <c r="G67" s="326">
        <f>SUM(G6:G66)</f>
        <v>1014106957</v>
      </c>
      <c r="H67" s="325"/>
      <c r="I67" s="325">
        <f>SUM(I6:I66)-I65-I62-I20-I17-I11-I8</f>
        <v>1157873</v>
      </c>
      <c r="J67" s="326">
        <f>SUM(J6:J66)</f>
        <v>59578940</v>
      </c>
      <c r="K67" s="325"/>
      <c r="L67" s="325">
        <f>SUM(L6:L66)-L65-L62-L20-L17-L11-L8</f>
        <v>10113681</v>
      </c>
      <c r="M67" s="326">
        <f>SUM(M6:M66)</f>
        <v>511379565</v>
      </c>
    </row>
    <row r="68" spans="1:13" ht="8.25" customHeight="1">
      <c r="G68" s="5"/>
    </row>
    <row r="69" spans="1:13">
      <c r="A69" s="54" t="s">
        <v>31</v>
      </c>
      <c r="B69" s="54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topLeftCell="A46" zoomScaleNormal="100" workbookViewId="0">
      <selection activeCell="B63" sqref="B63"/>
    </sheetView>
  </sheetViews>
  <sheetFormatPr defaultColWidth="10" defaultRowHeight="16.5"/>
  <cols>
    <col min="1" max="1" width="22.375" style="13" customWidth="1"/>
    <col min="2" max="2" width="16.625" style="311" customWidth="1"/>
    <col min="3" max="3" width="17.25" style="350" customWidth="1"/>
    <col min="4" max="4" width="15.75" style="351" customWidth="1"/>
    <col min="5" max="5" width="16.75" style="311" customWidth="1"/>
    <col min="6" max="6" width="16.875" style="350" customWidth="1"/>
    <col min="7" max="7" width="14.875" style="351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8" customFormat="1" ht="21">
      <c r="A1" s="327" t="s">
        <v>507</v>
      </c>
      <c r="B1" s="328"/>
      <c r="C1" s="329"/>
      <c r="D1" s="330"/>
      <c r="E1" s="328"/>
      <c r="F1" s="329"/>
      <c r="G1" s="330"/>
    </row>
    <row r="2" spans="1:7" s="308" customFormat="1">
      <c r="B2" s="309"/>
      <c r="C2" s="331"/>
      <c r="D2" s="332"/>
      <c r="E2" s="309"/>
      <c r="F2" s="331"/>
      <c r="G2" s="332"/>
    </row>
    <row r="3" spans="1:7" s="308" customFormat="1">
      <c r="A3" s="310"/>
      <c r="B3" s="309"/>
      <c r="C3" s="331"/>
      <c r="D3" s="332"/>
      <c r="E3" s="309"/>
      <c r="F3" s="331"/>
      <c r="G3" s="332"/>
    </row>
    <row r="4" spans="1:7">
      <c r="A4" s="42" t="s">
        <v>95</v>
      </c>
      <c r="B4" s="484" t="s">
        <v>450</v>
      </c>
      <c r="C4" s="70" t="s">
        <v>467</v>
      </c>
      <c r="D4" s="333" t="s">
        <v>36</v>
      </c>
      <c r="E4" s="72" t="s">
        <v>450</v>
      </c>
      <c r="F4" s="70" t="s">
        <v>467</v>
      </c>
      <c r="G4" s="200" t="s">
        <v>36</v>
      </c>
    </row>
    <row r="5" spans="1:7" s="308" customFormat="1" ht="18" customHeight="1">
      <c r="A5" s="46"/>
      <c r="B5" s="76" t="s">
        <v>96</v>
      </c>
      <c r="C5" s="75" t="s">
        <v>468</v>
      </c>
      <c r="D5" s="201" t="s">
        <v>1</v>
      </c>
      <c r="E5" s="76" t="s">
        <v>33</v>
      </c>
      <c r="F5" s="75" t="s">
        <v>33</v>
      </c>
      <c r="G5" s="201" t="s">
        <v>1</v>
      </c>
    </row>
    <row r="6" spans="1:7">
      <c r="A6" s="334">
        <v>85121010001</v>
      </c>
      <c r="B6" s="335"/>
      <c r="C6" s="336"/>
      <c r="D6" s="337"/>
      <c r="E6" s="335"/>
      <c r="F6" s="336"/>
      <c r="G6" s="338"/>
    </row>
    <row r="7" spans="1:7">
      <c r="A7" s="318" t="s">
        <v>62</v>
      </c>
      <c r="B7" s="339">
        <f>零件!F7</f>
        <v>83304</v>
      </c>
      <c r="C7" s="585">
        <v>73241</v>
      </c>
      <c r="D7" s="472">
        <f>(B7-C7)/C7</f>
        <v>0.13739572097595609</v>
      </c>
      <c r="E7" s="339">
        <f>零件!G7</f>
        <v>8847745</v>
      </c>
      <c r="F7" s="547">
        <v>8402215</v>
      </c>
      <c r="G7" s="472">
        <f>(E7-F7)/F7</f>
        <v>5.3025303446769693E-2</v>
      </c>
    </row>
    <row r="8" spans="1:7">
      <c r="A8" s="318" t="s">
        <v>63</v>
      </c>
      <c r="B8" s="339"/>
      <c r="C8" s="586"/>
      <c r="D8" s="340"/>
      <c r="E8" s="341"/>
      <c r="F8" s="547"/>
      <c r="G8" s="341"/>
    </row>
    <row r="9" spans="1:7">
      <c r="A9" s="320">
        <v>85121020009</v>
      </c>
      <c r="B9" s="342"/>
      <c r="C9" s="587"/>
      <c r="D9" s="343"/>
      <c r="E9" s="342"/>
      <c r="F9" s="552"/>
      <c r="G9" s="342"/>
    </row>
    <row r="10" spans="1:7">
      <c r="A10" s="318" t="s">
        <v>65</v>
      </c>
      <c r="B10" s="339">
        <f>零件!F10</f>
        <v>37426</v>
      </c>
      <c r="C10" s="585">
        <v>29038</v>
      </c>
      <c r="D10" s="473">
        <f>(B10-C10)/C10</f>
        <v>0.28886286934361871</v>
      </c>
      <c r="E10" s="339">
        <f>零件!G10</f>
        <v>5926342</v>
      </c>
      <c r="F10" s="547">
        <v>5093455</v>
      </c>
      <c r="G10" s="473">
        <f>(E10-F10)/F10</f>
        <v>0.1635210284571082</v>
      </c>
    </row>
    <row r="11" spans="1:7">
      <c r="A11" s="318" t="s">
        <v>66</v>
      </c>
      <c r="B11" s="339"/>
      <c r="C11" s="586"/>
      <c r="D11" s="344"/>
      <c r="E11" s="341"/>
      <c r="F11" s="547"/>
      <c r="G11" s="341"/>
    </row>
    <row r="12" spans="1:7">
      <c r="A12" s="321">
        <v>87149120007</v>
      </c>
      <c r="B12" s="342"/>
      <c r="C12" s="588"/>
      <c r="D12" s="345"/>
      <c r="E12" s="346"/>
      <c r="F12" s="554"/>
      <c r="G12" s="346"/>
    </row>
    <row r="13" spans="1:7">
      <c r="A13" s="318" t="s">
        <v>68</v>
      </c>
      <c r="B13" s="339">
        <f>零件!F13</f>
        <v>5840530</v>
      </c>
      <c r="C13" s="585">
        <f>VLOOKUP(A12,[18]進出口值表查詢結果!$A$3:$D$19,4,0)</f>
        <v>8803392</v>
      </c>
      <c r="D13" s="472">
        <f>(B13-C13)/C13</f>
        <v>-0.33655913538781418</v>
      </c>
      <c r="E13" s="339">
        <f>零件!G13</f>
        <v>380667382</v>
      </c>
      <c r="F13" s="547">
        <v>573536087</v>
      </c>
      <c r="G13" s="473">
        <f>(E13-F13)/F13</f>
        <v>-0.33627998197783848</v>
      </c>
    </row>
    <row r="14" spans="1:7">
      <c r="A14" s="318" t="s">
        <v>69</v>
      </c>
      <c r="B14" s="344"/>
      <c r="C14" s="586"/>
      <c r="D14" s="339"/>
      <c r="E14" s="341"/>
      <c r="F14" s="547"/>
      <c r="G14" s="341"/>
    </row>
    <row r="15" spans="1:7">
      <c r="A15" s="321">
        <v>87149200108</v>
      </c>
      <c r="B15" s="342"/>
      <c r="C15" s="588"/>
      <c r="D15" s="345"/>
      <c r="E15" s="346"/>
      <c r="F15" s="554"/>
      <c r="G15" s="346"/>
    </row>
    <row r="16" spans="1:7">
      <c r="A16" s="318" t="s">
        <v>70</v>
      </c>
      <c r="B16" s="339">
        <f>零件!F16</f>
        <v>870715</v>
      </c>
      <c r="C16" s="585">
        <f>VLOOKUP(A15,[18]進出口值表查詢結果!$A$3:$D$19,4,0)</f>
        <v>1253577</v>
      </c>
      <c r="D16" s="473">
        <f>(B16-C16)/C16</f>
        <v>-0.30541562265421268</v>
      </c>
      <c r="E16" s="339">
        <f>零件!G16</f>
        <v>30295347</v>
      </c>
      <c r="F16" s="547">
        <v>28024984</v>
      </c>
      <c r="G16" s="472">
        <f>(E16-F16)/F16</f>
        <v>8.1012106911461573E-2</v>
      </c>
    </row>
    <row r="17" spans="1:7">
      <c r="A17" s="318"/>
      <c r="B17" s="339"/>
      <c r="C17" s="586"/>
      <c r="D17" s="339"/>
      <c r="E17" s="341"/>
      <c r="F17" s="547"/>
      <c r="G17" s="341"/>
    </row>
    <row r="18" spans="1:7">
      <c r="A18" s="321">
        <v>87149200206</v>
      </c>
      <c r="B18" s="342"/>
      <c r="C18" s="588"/>
      <c r="D18" s="345"/>
      <c r="E18" s="346"/>
      <c r="F18" s="554"/>
      <c r="G18" s="346"/>
    </row>
    <row r="19" spans="1:7">
      <c r="A19" s="318" t="s">
        <v>55</v>
      </c>
      <c r="B19" s="339">
        <f>零件!F19</f>
        <v>736053</v>
      </c>
      <c r="C19" s="585">
        <f>VLOOKUP(A18,[18]進出口值表查詢結果!$A$3:$D$19,4,0)</f>
        <v>608269</v>
      </c>
      <c r="D19" s="473">
        <f>(B19-C19)/C19</f>
        <v>0.21007810689020812</v>
      </c>
      <c r="E19" s="339">
        <f>零件!G19</f>
        <v>11165291</v>
      </c>
      <c r="F19" s="547">
        <v>7850629</v>
      </c>
      <c r="G19" s="473">
        <f>(E19-F19)/F19</f>
        <v>0.42221610523182285</v>
      </c>
    </row>
    <row r="20" spans="1:7">
      <c r="A20" s="318"/>
      <c r="B20" s="339"/>
      <c r="C20" s="586"/>
      <c r="D20" s="339"/>
      <c r="E20" s="341"/>
      <c r="F20" s="547"/>
      <c r="G20" s="341"/>
    </row>
    <row r="21" spans="1:7">
      <c r="A21" s="321">
        <v>87149200304</v>
      </c>
      <c r="B21" s="342"/>
      <c r="C21" s="588"/>
      <c r="D21" s="345"/>
      <c r="E21" s="346"/>
      <c r="F21" s="554"/>
      <c r="G21" s="346"/>
    </row>
    <row r="22" spans="1:7">
      <c r="A22" s="318" t="s">
        <v>56</v>
      </c>
      <c r="B22" s="339">
        <f>零件!F22</f>
        <v>441980</v>
      </c>
      <c r="C22" s="585">
        <f>VLOOKUP(A21,[18]進出口值表查詢結果!$A$3:$D$19,4,0)</f>
        <v>553510</v>
      </c>
      <c r="D22" s="472">
        <f>(B22-C22)/C22</f>
        <v>-0.20149590793300934</v>
      </c>
      <c r="E22" s="339">
        <f>零件!G22</f>
        <v>53793028</v>
      </c>
      <c r="F22" s="547">
        <v>66794618</v>
      </c>
      <c r="G22" s="473">
        <f>(E22-F22)/F22</f>
        <v>-0.1946502635886023</v>
      </c>
    </row>
    <row r="23" spans="1:7">
      <c r="A23" s="321">
        <v>87149310007</v>
      </c>
      <c r="B23" s="342"/>
      <c r="C23" s="588"/>
      <c r="D23" s="345"/>
      <c r="E23" s="346"/>
      <c r="F23" s="554"/>
      <c r="G23" s="346"/>
    </row>
    <row r="24" spans="1:7">
      <c r="A24" s="318" t="s">
        <v>71</v>
      </c>
      <c r="B24" s="339">
        <f>零件!F24</f>
        <v>511406</v>
      </c>
      <c r="C24" s="585">
        <f>VLOOKUP(A23,[18]進出口值表查詢結果!$A$3:$D$19,4,0)</f>
        <v>720364</v>
      </c>
      <c r="D24" s="473">
        <f>(B24-C24)/C24</f>
        <v>-0.29007279653064283</v>
      </c>
      <c r="E24" s="339">
        <f>零件!G24</f>
        <v>32909543</v>
      </c>
      <c r="F24" s="547">
        <v>39365154</v>
      </c>
      <c r="G24" s="473">
        <f>(E24-F24)/F24</f>
        <v>-0.16399303302611237</v>
      </c>
    </row>
    <row r="25" spans="1:7">
      <c r="A25" s="318" t="s">
        <v>97</v>
      </c>
      <c r="B25" s="339"/>
      <c r="C25" s="586"/>
      <c r="D25" s="339"/>
      <c r="E25" s="341"/>
      <c r="F25" s="547"/>
      <c r="G25" s="341"/>
    </row>
    <row r="26" spans="1:7">
      <c r="A26" s="321">
        <v>87149320103</v>
      </c>
      <c r="B26" s="342"/>
      <c r="C26" s="588"/>
      <c r="D26" s="345"/>
      <c r="E26" s="346"/>
      <c r="F26" s="554"/>
      <c r="G26" s="346"/>
    </row>
    <row r="27" spans="1:7">
      <c r="A27" s="318" t="s">
        <v>406</v>
      </c>
      <c r="B27" s="339">
        <f>零件!F28</f>
        <v>15950</v>
      </c>
      <c r="C27" s="585">
        <f>VLOOKUP(A26,[18]進出口值表查詢結果!$A$3:$D$19,4,0)</f>
        <v>18255</v>
      </c>
      <c r="D27" s="473">
        <f>(B27-C27)/C27</f>
        <v>-0.1262667762256916</v>
      </c>
      <c r="E27" s="339">
        <f>零件!G28</f>
        <v>514399</v>
      </c>
      <c r="F27" s="547">
        <v>638836</v>
      </c>
      <c r="G27" s="473">
        <f>(E27-F27)/F27</f>
        <v>-0.19478708150448629</v>
      </c>
    </row>
    <row r="28" spans="1:7">
      <c r="A28" s="321">
        <v>87149410006</v>
      </c>
      <c r="B28" s="342"/>
      <c r="C28" s="588"/>
      <c r="D28" s="345"/>
      <c r="E28" s="346"/>
      <c r="F28" s="554"/>
      <c r="G28" s="346"/>
    </row>
    <row r="29" spans="1:7">
      <c r="A29" s="318" t="s">
        <v>74</v>
      </c>
      <c r="B29" s="339">
        <f>零件!F30</f>
        <v>60711</v>
      </c>
      <c r="C29" s="585">
        <f>VLOOKUP(A28,[18]進出口值表查詢結果!$A$3:$D$19,4,0)</f>
        <v>147768</v>
      </c>
      <c r="D29" s="473">
        <f>(B29-C29)/C29</f>
        <v>-0.58914649991879164</v>
      </c>
      <c r="E29" s="339">
        <f>零件!G30</f>
        <v>1461929</v>
      </c>
      <c r="F29" s="547">
        <v>3993152</v>
      </c>
      <c r="G29" s="472">
        <f>(E29-F29)/F29</f>
        <v>-0.63389097134293915</v>
      </c>
    </row>
    <row r="30" spans="1:7">
      <c r="A30" s="318" t="s">
        <v>75</v>
      </c>
      <c r="B30" s="339"/>
      <c r="C30" s="586"/>
      <c r="D30" s="339"/>
      <c r="E30" s="341"/>
      <c r="F30" s="547"/>
      <c r="G30" s="341"/>
    </row>
    <row r="31" spans="1:7">
      <c r="A31" s="321">
        <v>87149490009</v>
      </c>
      <c r="B31" s="342"/>
      <c r="C31" s="588"/>
      <c r="D31" s="345"/>
      <c r="E31" s="346"/>
      <c r="F31" s="554"/>
      <c r="G31" s="346"/>
    </row>
    <row r="32" spans="1:7">
      <c r="A32" s="318" t="s">
        <v>76</v>
      </c>
      <c r="B32" s="339">
        <f>零件!F33</f>
        <v>2719622</v>
      </c>
      <c r="C32" s="585">
        <f>VLOOKUP(A31,[18]進出口值表查詢結果!$A$3:$D$19,4,0)</f>
        <v>2894249</v>
      </c>
      <c r="D32" s="472">
        <f>(B32-C32)/C32</f>
        <v>-6.033585914688059E-2</v>
      </c>
      <c r="E32" s="339">
        <f>零件!G33</f>
        <v>118930020</v>
      </c>
      <c r="F32" s="547">
        <v>151600294</v>
      </c>
      <c r="G32" s="473">
        <f>(E32-F32)/F32</f>
        <v>-0.21550270872165986</v>
      </c>
    </row>
    <row r="33" spans="1:7">
      <c r="A33" s="318" t="s">
        <v>77</v>
      </c>
      <c r="B33" s="339"/>
      <c r="C33" s="586"/>
      <c r="D33" s="339"/>
      <c r="E33" s="341"/>
      <c r="F33" s="547"/>
      <c r="G33" s="341"/>
    </row>
    <row r="34" spans="1:7">
      <c r="A34" s="321">
        <v>87149500007</v>
      </c>
      <c r="B34" s="345"/>
      <c r="C34" s="588"/>
      <c r="D34" s="345"/>
      <c r="E34" s="346"/>
      <c r="F34" s="554"/>
      <c r="G34" s="346"/>
    </row>
    <row r="35" spans="1:7">
      <c r="A35" s="318" t="s">
        <v>78</v>
      </c>
      <c r="B35" s="511">
        <f>零件!F36</f>
        <v>879803</v>
      </c>
      <c r="C35" s="585">
        <f>VLOOKUP(A34,[18]進出口值表查詢結果!$A$3:$D$19,4,0)</f>
        <v>1065107</v>
      </c>
      <c r="D35" s="473">
        <f>(B35-C35)/C35</f>
        <v>-0.17397688682921059</v>
      </c>
      <c r="E35" s="511">
        <f>零件!G36</f>
        <v>19301831</v>
      </c>
      <c r="F35" s="547">
        <v>26942094</v>
      </c>
      <c r="G35" s="473">
        <f>(E35-F35)/F35</f>
        <v>-0.2835808901861897</v>
      </c>
    </row>
    <row r="36" spans="1:7">
      <c r="A36" s="321">
        <v>87149610004</v>
      </c>
      <c r="B36" s="345"/>
      <c r="C36" s="588"/>
      <c r="D36" s="345"/>
      <c r="E36" s="346"/>
      <c r="F36" s="554"/>
      <c r="G36" s="346"/>
    </row>
    <row r="37" spans="1:7">
      <c r="A37" s="318" t="s">
        <v>79</v>
      </c>
      <c r="B37" s="339">
        <f>零件!F38</f>
        <v>1127253</v>
      </c>
      <c r="C37" s="585">
        <f>VLOOKUP(A36,[18]進出口值表查詢結果!$A$3:$D$19,4,0)</f>
        <v>1508300</v>
      </c>
      <c r="D37" s="473">
        <f>(B37-C37)/C37</f>
        <v>-0.25263342836305774</v>
      </c>
      <c r="E37" s="339">
        <f>零件!G38</f>
        <v>28060497</v>
      </c>
      <c r="F37" s="547">
        <v>36779071</v>
      </c>
      <c r="G37" s="473">
        <f>(E37-F37)/F37</f>
        <v>-0.23705258895745354</v>
      </c>
    </row>
    <row r="38" spans="1:7">
      <c r="A38" s="321">
        <v>87149620002</v>
      </c>
      <c r="B38" s="342"/>
      <c r="C38" s="588"/>
      <c r="D38" s="345"/>
      <c r="E38" s="346"/>
      <c r="F38" s="554"/>
      <c r="G38" s="346"/>
    </row>
    <row r="39" spans="1:7">
      <c r="A39" s="318" t="s">
        <v>80</v>
      </c>
      <c r="B39" s="339">
        <f>零件!F40</f>
        <v>1170193</v>
      </c>
      <c r="C39" s="585">
        <f>VLOOKUP(A38,[18]進出口值表查詢結果!$A$3:$D$19,4,0)</f>
        <v>1415412</v>
      </c>
      <c r="D39" s="472">
        <f>(B39-C39)/C39</f>
        <v>-0.17324920235238928</v>
      </c>
      <c r="E39" s="339">
        <f>零件!G40</f>
        <v>61819721</v>
      </c>
      <c r="F39" s="547">
        <v>75529590</v>
      </c>
      <c r="G39" s="472">
        <f>(E39-F39)/F39</f>
        <v>-0.18151652882002933</v>
      </c>
    </row>
    <row r="40" spans="1:7">
      <c r="A40" s="318" t="s">
        <v>75</v>
      </c>
      <c r="B40" s="339"/>
      <c r="C40" s="585"/>
      <c r="D40" s="339"/>
      <c r="E40" s="341"/>
      <c r="F40" s="547"/>
      <c r="G40" s="341"/>
    </row>
    <row r="41" spans="1:7">
      <c r="A41" s="321">
        <v>73151100209</v>
      </c>
      <c r="B41" s="342"/>
      <c r="C41" s="342"/>
      <c r="D41" s="345"/>
      <c r="E41" s="346"/>
      <c r="F41" s="553"/>
      <c r="G41" s="346"/>
    </row>
    <row r="42" spans="1:7">
      <c r="A42" s="318" t="s">
        <v>81</v>
      </c>
      <c r="B42" s="339">
        <f>零件!F43</f>
        <v>680110</v>
      </c>
      <c r="C42" s="585">
        <v>995548</v>
      </c>
      <c r="D42" s="473">
        <f>(B42-C42)/C42</f>
        <v>-0.31684861001177239</v>
      </c>
      <c r="E42" s="339">
        <f>零件!G43</f>
        <v>16069438</v>
      </c>
      <c r="F42" s="547">
        <v>26362783</v>
      </c>
      <c r="G42" s="473">
        <f>(E42-F42)/F42</f>
        <v>-0.39044986259606962</v>
      </c>
    </row>
    <row r="43" spans="1:7">
      <c r="A43" s="318" t="s">
        <v>82</v>
      </c>
      <c r="B43" s="339"/>
      <c r="C43" s="586"/>
      <c r="D43" s="339"/>
      <c r="E43" s="341"/>
      <c r="F43" s="547"/>
      <c r="G43" s="341"/>
    </row>
    <row r="44" spans="1:7">
      <c r="A44" s="321">
        <v>87149990111</v>
      </c>
      <c r="B44" s="342"/>
      <c r="C44" s="588"/>
      <c r="D44" s="345"/>
      <c r="E44" s="346"/>
      <c r="F44" s="554"/>
      <c r="G44" s="346"/>
    </row>
    <row r="45" spans="1:7">
      <c r="A45" s="322" t="s">
        <v>83</v>
      </c>
      <c r="B45" s="339">
        <f>零件!F46</f>
        <v>470089</v>
      </c>
      <c r="C45" s="585">
        <f>VLOOKUP(A44,[18]進出口值表查詢結果!$A$3:$D$19,4,0)</f>
        <v>745864</v>
      </c>
      <c r="D45" s="472">
        <f>(B45-C45)/C45</f>
        <v>-0.36973898726845644</v>
      </c>
      <c r="E45" s="339">
        <f>零件!G46</f>
        <v>58325209</v>
      </c>
      <c r="F45" s="547">
        <v>84915924</v>
      </c>
      <c r="G45" s="472">
        <f>(E45-F45)/F45</f>
        <v>-0.31314167882104188</v>
      </c>
    </row>
    <row r="46" spans="1:7">
      <c r="A46" s="318" t="s">
        <v>84</v>
      </c>
      <c r="B46" s="339"/>
      <c r="C46" s="586"/>
      <c r="D46" s="339"/>
      <c r="E46" s="341"/>
      <c r="F46" s="547"/>
      <c r="G46" s="341"/>
    </row>
    <row r="47" spans="1:7">
      <c r="A47" s="321">
        <v>87149320906</v>
      </c>
      <c r="B47" s="342"/>
      <c r="C47" s="588"/>
      <c r="D47" s="345"/>
      <c r="E47" s="346"/>
      <c r="F47" s="554"/>
      <c r="G47" s="346"/>
    </row>
    <row r="48" spans="1:7">
      <c r="A48" s="318" t="s">
        <v>409</v>
      </c>
      <c r="B48" s="339">
        <f>零件!F49</f>
        <v>1069909</v>
      </c>
      <c r="C48" s="585">
        <f>VLOOKUP(A47,[18]進出口值表查詢結果!$A$3:$D$19,4,0)</f>
        <v>1634833</v>
      </c>
      <c r="D48" s="473">
        <f>(B48-C48)/C48</f>
        <v>-0.34555456123041312</v>
      </c>
      <c r="E48" s="339">
        <f>零件!G49</f>
        <v>45161286</v>
      </c>
      <c r="F48" s="547">
        <v>82817323</v>
      </c>
      <c r="G48" s="473">
        <f>(E48-F48)/F48</f>
        <v>-0.45468792803167518</v>
      </c>
    </row>
    <row r="49" spans="1:7">
      <c r="A49" s="321">
        <v>87149990139</v>
      </c>
      <c r="B49" s="342"/>
      <c r="C49" s="588"/>
      <c r="D49" s="345"/>
      <c r="E49" s="346"/>
      <c r="F49" s="554"/>
      <c r="G49" s="346"/>
    </row>
    <row r="50" spans="1:7">
      <c r="A50" s="318" t="s">
        <v>85</v>
      </c>
      <c r="B50" s="339">
        <f>零件!F51</f>
        <v>104347</v>
      </c>
      <c r="C50" s="585">
        <f>VLOOKUP(A49,[18]進出口值表查詢結果!$A$3:$D$19,4,0)</f>
        <v>163271</v>
      </c>
      <c r="D50" s="473">
        <f>(B50-C50)/C50</f>
        <v>-0.36089691372013399</v>
      </c>
      <c r="E50" s="339">
        <f>零件!G51</f>
        <v>1934715</v>
      </c>
      <c r="F50" s="547">
        <v>3035506</v>
      </c>
      <c r="G50" s="473">
        <f>(E50-F50)/F50</f>
        <v>-0.36263838714204483</v>
      </c>
    </row>
    <row r="51" spans="1:7">
      <c r="A51" s="321">
        <v>87149990148</v>
      </c>
      <c r="B51" s="342"/>
      <c r="C51" s="588"/>
      <c r="D51" s="345"/>
      <c r="E51" s="346"/>
      <c r="F51" s="554"/>
      <c r="G51" s="346"/>
    </row>
    <row r="52" spans="1:7">
      <c r="A52" s="323" t="s">
        <v>86</v>
      </c>
      <c r="B52" s="339">
        <f>零件!F53</f>
        <v>421748</v>
      </c>
      <c r="C52" s="585">
        <f>VLOOKUP(A51,[18]進出口值表查詢結果!$A$3:$D$19,4,0)</f>
        <v>602795</v>
      </c>
      <c r="D52" s="473">
        <f>(B52-C52)/C52</f>
        <v>-0.30034588873497625</v>
      </c>
      <c r="E52" s="339">
        <f>零件!G53</f>
        <v>14996378</v>
      </c>
      <c r="F52" s="547">
        <v>23145673</v>
      </c>
      <c r="G52" s="473">
        <f>(E52-F52)/F52</f>
        <v>-0.3520871914158642</v>
      </c>
    </row>
    <row r="53" spans="1:7">
      <c r="A53" s="318" t="s">
        <v>87</v>
      </c>
      <c r="B53" s="339"/>
      <c r="C53" s="586"/>
      <c r="D53" s="339"/>
      <c r="E53" s="341"/>
      <c r="F53" s="547"/>
      <c r="G53" s="341"/>
    </row>
    <row r="54" spans="1:7">
      <c r="A54" s="321">
        <v>87149990157</v>
      </c>
      <c r="B54" s="342"/>
      <c r="C54" s="588"/>
      <c r="D54" s="345"/>
      <c r="E54" s="346"/>
      <c r="F54" s="554"/>
      <c r="G54" s="346"/>
    </row>
    <row r="55" spans="1:7">
      <c r="A55" s="318" t="s">
        <v>88</v>
      </c>
      <c r="B55" s="339">
        <f>零件!F56</f>
        <v>832800</v>
      </c>
      <c r="C55" s="585">
        <f>VLOOKUP(A54,[18]進出口值表查詢結果!$A$3:$D$19,4,0)</f>
        <v>1087915</v>
      </c>
      <c r="D55" s="473">
        <f>(B55-C55)/C55</f>
        <v>-0.23449901876525281</v>
      </c>
      <c r="E55" s="339">
        <f>零件!G56</f>
        <v>36278497</v>
      </c>
      <c r="F55" s="547">
        <v>48406305</v>
      </c>
      <c r="G55" s="473">
        <f>(E55-F55)/F55</f>
        <v>-0.25054190771222878</v>
      </c>
    </row>
    <row r="56" spans="1:7">
      <c r="A56" s="318" t="s">
        <v>89</v>
      </c>
      <c r="B56" s="339"/>
      <c r="C56" s="586"/>
      <c r="D56" s="339"/>
      <c r="E56" s="341"/>
      <c r="F56" s="547"/>
      <c r="G56" s="341"/>
    </row>
    <row r="57" spans="1:7">
      <c r="A57" s="321">
        <v>87149990166</v>
      </c>
      <c r="B57" s="342"/>
      <c r="C57" s="588"/>
      <c r="D57" s="345"/>
      <c r="E57" s="346"/>
      <c r="F57" s="554"/>
      <c r="G57" s="346"/>
    </row>
    <row r="58" spans="1:7">
      <c r="A58" s="318" t="s">
        <v>86</v>
      </c>
      <c r="B58" s="339">
        <f>零件!F59</f>
        <v>891542</v>
      </c>
      <c r="C58" s="585">
        <f>VLOOKUP(A57,[18]進出口值表查詢結果!$A$3:$D$19,4,0)</f>
        <v>1177594</v>
      </c>
      <c r="D58" s="473">
        <f>(B58-C58)/C58</f>
        <v>-0.2429122430990647</v>
      </c>
      <c r="E58" s="339">
        <f>零件!G59</f>
        <v>32171721</v>
      </c>
      <c r="F58" s="547">
        <v>40458223</v>
      </c>
      <c r="G58" s="473">
        <f>(E58-F58)/F58</f>
        <v>-0.20481626195001199</v>
      </c>
    </row>
    <row r="59" spans="1:7">
      <c r="A59" s="321">
        <v>40115000008</v>
      </c>
      <c r="B59" s="345"/>
      <c r="C59" s="347"/>
      <c r="D59" s="345"/>
      <c r="E59" s="346"/>
      <c r="F59" s="551"/>
      <c r="G59" s="346"/>
    </row>
    <row r="60" spans="1:7">
      <c r="A60" s="318" t="s">
        <v>90</v>
      </c>
      <c r="B60" s="339">
        <f>零件!F61</f>
        <v>2982278</v>
      </c>
      <c r="C60" s="585">
        <v>3495754</v>
      </c>
      <c r="D60" s="473">
        <f>(B60-C60)/C60</f>
        <v>-0.14688562181434964</v>
      </c>
      <c r="E60" s="339">
        <f>零件!G61</f>
        <v>51376243</v>
      </c>
      <c r="F60" s="547">
        <v>62006085</v>
      </c>
      <c r="G60" s="473">
        <f>(E60-F60)/F60</f>
        <v>-0.1714322392713554</v>
      </c>
    </row>
    <row r="61" spans="1:7">
      <c r="A61" s="318" t="s">
        <v>91</v>
      </c>
      <c r="B61" s="339"/>
      <c r="C61" s="585"/>
      <c r="D61" s="340"/>
      <c r="E61" s="341"/>
      <c r="F61" s="547"/>
      <c r="G61" s="341"/>
    </row>
    <row r="62" spans="1:7">
      <c r="A62" s="321">
        <v>40132000003</v>
      </c>
      <c r="B62" s="345"/>
      <c r="C62" s="347"/>
      <c r="D62" s="345"/>
      <c r="E62" s="346"/>
      <c r="F62" s="551"/>
      <c r="G62" s="346"/>
    </row>
    <row r="63" spans="1:7">
      <c r="A63" s="318" t="s">
        <v>92</v>
      </c>
      <c r="B63" s="339">
        <f>零件!F64</f>
        <v>380690</v>
      </c>
      <c r="C63" s="585">
        <v>481349</v>
      </c>
      <c r="D63" s="473">
        <f>(B63-C63)/C63</f>
        <v>-0.20911853977051995</v>
      </c>
      <c r="E63" s="339">
        <f>零件!G64</f>
        <v>4100395</v>
      </c>
      <c r="F63" s="547">
        <v>4897843</v>
      </c>
      <c r="G63" s="473">
        <f>(E63-F63)/F63</f>
        <v>-0.16281616213504599</v>
      </c>
    </row>
    <row r="64" spans="1:7">
      <c r="A64" s="318" t="s">
        <v>93</v>
      </c>
      <c r="B64" s="339"/>
      <c r="C64" s="586"/>
      <c r="D64" s="340"/>
      <c r="E64" s="341"/>
      <c r="F64" s="547"/>
      <c r="G64" s="341"/>
    </row>
    <row r="65" spans="1:7">
      <c r="A65" s="348" t="s">
        <v>94</v>
      </c>
      <c r="B65" s="349">
        <f>SUM(B6:B64)-B64-B61-B20-B17-B11-B8</f>
        <v>22328459</v>
      </c>
      <c r="C65" s="589">
        <f>SUM(C6:C64)</f>
        <v>29475405</v>
      </c>
      <c r="D65" s="471">
        <f>(B65-C65)/C65</f>
        <v>-0.24247151141773965</v>
      </c>
      <c r="E65" s="424">
        <f>SUM(E7:E64)</f>
        <v>1014106957</v>
      </c>
      <c r="F65" s="555">
        <v>1400595844</v>
      </c>
      <c r="G65" s="474">
        <f>(E65-F65)/F65</f>
        <v>-0.27594604728814259</v>
      </c>
    </row>
    <row r="66" spans="1:7">
      <c r="E66" s="5"/>
    </row>
    <row r="67" spans="1:7">
      <c r="A67" s="54" t="s">
        <v>31</v>
      </c>
    </row>
  </sheetData>
  <phoneticPr fontId="3" type="noConversion"/>
  <conditionalFormatting sqref="C59">
    <cfRule type="cellIs" dxfId="31" priority="3" operator="greaterThanOrEqual">
      <formula>0</formula>
    </cfRule>
    <cfRule type="cellIs" dxfId="30" priority="4" operator="lessThan">
      <formula>0</formula>
    </cfRule>
  </conditionalFormatting>
  <conditionalFormatting sqref="C62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1:D3 D6:D7 D9:D1048576">
    <cfRule type="cellIs" dxfId="27" priority="23" operator="greaterThanOrEqual">
      <formula>0</formula>
    </cfRule>
    <cfRule type="cellIs" dxfId="26" priority="24" operator="lessThan">
      <formula>0</formula>
    </cfRule>
  </conditionalFormatting>
  <conditionalFormatting sqref="F41">
    <cfRule type="cellIs" dxfId="25" priority="13" operator="greaterThanOrEqual">
      <formula>0</formula>
    </cfRule>
    <cfRule type="cellIs" dxfId="24" priority="14" operator="lessThan">
      <formula>0</formula>
    </cfRule>
  </conditionalFormatting>
  <conditionalFormatting sqref="F59">
    <cfRule type="cellIs" dxfId="23" priority="11" operator="greaterThanOrEqual">
      <formula>0</formula>
    </cfRule>
    <cfRule type="cellIs" dxfId="22" priority="12" operator="lessThan">
      <formula>0</formula>
    </cfRule>
  </conditionalFormatting>
  <conditionalFormatting sqref="F62">
    <cfRule type="cellIs" dxfId="21" priority="9" operator="greaterThanOrEqual">
      <formula>0</formula>
    </cfRule>
    <cfRule type="cellIs" dxfId="20" priority="10" operator="lessThan">
      <formula>0</formula>
    </cfRule>
  </conditionalFormatting>
  <conditionalFormatting sqref="G1:G3">
    <cfRule type="cellIs" dxfId="19" priority="21" operator="greaterThanOrEqual">
      <formula>0</formula>
    </cfRule>
    <cfRule type="cellIs" dxfId="18" priority="22" operator="lessThan">
      <formula>0</formula>
    </cfRule>
  </conditionalFormatting>
  <conditionalFormatting sqref="G6:G1048576">
    <cfRule type="cellIs" dxfId="17" priority="5" operator="greaterThanOrEqual">
      <formula>0</formula>
    </cfRule>
    <cfRule type="cellIs" dxfId="16" priority="6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topLeftCell="A46" zoomScaleNormal="100" workbookViewId="0">
      <selection activeCell="B52" sqref="B52"/>
    </sheetView>
  </sheetViews>
  <sheetFormatPr defaultColWidth="10" defaultRowHeight="16.5"/>
  <cols>
    <col min="1" max="1" width="21.125" style="13" customWidth="1"/>
    <col min="2" max="2" width="16.625" style="311" customWidth="1"/>
    <col min="3" max="3" width="17.25" style="350" customWidth="1"/>
    <col min="4" max="4" width="15.75" style="351" customWidth="1"/>
    <col min="5" max="5" width="16.75" style="311" customWidth="1"/>
    <col min="6" max="6" width="16.875" style="350" customWidth="1"/>
    <col min="7" max="7" width="14.875" style="351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08" customFormat="1" ht="21">
      <c r="A1" s="327" t="s">
        <v>534</v>
      </c>
      <c r="B1" s="328"/>
      <c r="C1" s="329"/>
      <c r="D1" s="330"/>
      <c r="E1" s="328"/>
      <c r="F1" s="329"/>
      <c r="G1" s="330"/>
    </row>
    <row r="2" spans="1:7" s="308" customFormat="1">
      <c r="B2" s="309"/>
      <c r="C2" s="331"/>
      <c r="D2" s="332"/>
      <c r="E2" s="309"/>
      <c r="F2" s="331"/>
      <c r="G2" s="332"/>
    </row>
    <row r="3" spans="1:7" s="308" customFormat="1">
      <c r="A3" s="310"/>
      <c r="B3" s="309"/>
      <c r="C3" s="331"/>
      <c r="D3" s="332"/>
      <c r="E3" s="309"/>
      <c r="F3" s="331"/>
      <c r="G3" s="332"/>
    </row>
    <row r="4" spans="1:7">
      <c r="A4" s="482" t="s">
        <v>95</v>
      </c>
      <c r="B4" s="484" t="s">
        <v>450</v>
      </c>
      <c r="C4" s="70" t="s">
        <v>467</v>
      </c>
      <c r="D4" s="486" t="s">
        <v>36</v>
      </c>
      <c r="E4" s="485" t="s">
        <v>450</v>
      </c>
      <c r="F4" s="483" t="s">
        <v>467</v>
      </c>
      <c r="G4" s="200" t="s">
        <v>36</v>
      </c>
    </row>
    <row r="5" spans="1:7" s="308" customFormat="1" ht="18" customHeight="1">
      <c r="A5" s="46"/>
      <c r="B5" s="76" t="s">
        <v>96</v>
      </c>
      <c r="C5" s="75" t="s">
        <v>468</v>
      </c>
      <c r="D5" s="201" t="s">
        <v>1</v>
      </c>
      <c r="E5" s="76" t="s">
        <v>33</v>
      </c>
      <c r="F5" s="75" t="s">
        <v>33</v>
      </c>
      <c r="G5" s="201" t="s">
        <v>1</v>
      </c>
    </row>
    <row r="6" spans="1:7">
      <c r="A6" s="334">
        <v>85121010001</v>
      </c>
      <c r="B6" s="335"/>
      <c r="C6" s="336"/>
      <c r="D6" s="337"/>
      <c r="E6" s="335"/>
      <c r="F6" s="336"/>
      <c r="G6" s="338"/>
    </row>
    <row r="7" spans="1:7">
      <c r="A7" s="318" t="s">
        <v>62</v>
      </c>
      <c r="B7" s="339">
        <f>零件!L7</f>
        <v>32587</v>
      </c>
      <c r="C7" s="547">
        <v>31376</v>
      </c>
      <c r="D7" s="472">
        <f>(B7-C7)/C7</f>
        <v>3.8596379398266191E-2</v>
      </c>
      <c r="E7" s="339">
        <f>零件!M7</f>
        <v>1785547</v>
      </c>
      <c r="F7" s="547">
        <v>2307423</v>
      </c>
      <c r="G7" s="472">
        <f>(E7-F7)/F7</f>
        <v>-0.22617266101620725</v>
      </c>
    </row>
    <row r="8" spans="1:7">
      <c r="A8" s="318" t="s">
        <v>63</v>
      </c>
      <c r="B8" s="339"/>
      <c r="C8" s="547"/>
      <c r="D8" s="340"/>
      <c r="E8" s="341"/>
      <c r="F8" s="547"/>
      <c r="G8" s="341"/>
    </row>
    <row r="9" spans="1:7">
      <c r="A9" s="320">
        <v>85121020009</v>
      </c>
      <c r="B9" s="342"/>
      <c r="C9" s="549"/>
      <c r="D9" s="343"/>
      <c r="E9" s="342"/>
      <c r="F9" s="549"/>
      <c r="G9" s="342"/>
    </row>
    <row r="10" spans="1:7">
      <c r="A10" s="318" t="s">
        <v>65</v>
      </c>
      <c r="B10" s="339">
        <f>零件!L10</f>
        <v>21690</v>
      </c>
      <c r="C10" s="547">
        <v>17179</v>
      </c>
      <c r="D10" s="472">
        <f>(B10-C10)/C10</f>
        <v>0.26258804354153326</v>
      </c>
      <c r="E10" s="339">
        <f>零件!M10</f>
        <v>1324610</v>
      </c>
      <c r="F10" s="547">
        <v>1496912</v>
      </c>
      <c r="G10" s="473">
        <f>(E10-F10)/F10</f>
        <v>-0.11510496274998129</v>
      </c>
    </row>
    <row r="11" spans="1:7">
      <c r="A11" s="318" t="s">
        <v>66</v>
      </c>
      <c r="B11" s="339"/>
      <c r="C11" s="548"/>
      <c r="D11" s="344"/>
      <c r="E11" s="341"/>
      <c r="F11" s="547"/>
      <c r="G11" s="341"/>
    </row>
    <row r="12" spans="1:7">
      <c r="A12" s="321">
        <v>87149120007</v>
      </c>
      <c r="B12" s="342"/>
      <c r="C12" s="550"/>
      <c r="D12" s="345"/>
      <c r="E12" s="346"/>
      <c r="F12" s="554"/>
      <c r="G12" s="346"/>
    </row>
    <row r="13" spans="1:7">
      <c r="A13" s="318" t="s">
        <v>68</v>
      </c>
      <c r="B13" s="339">
        <f>零件!L13</f>
        <v>3045449</v>
      </c>
      <c r="C13" s="547">
        <v>4660320</v>
      </c>
      <c r="D13" s="472">
        <f>(B13-C13)/C13</f>
        <v>-0.34651504617708656</v>
      </c>
      <c r="E13" s="339">
        <f>零件!M13</f>
        <v>231297701</v>
      </c>
      <c r="F13" s="547">
        <v>306876719</v>
      </c>
      <c r="G13" s="472">
        <f>(E13-F13)/F13</f>
        <v>-0.24628462610746304</v>
      </c>
    </row>
    <row r="14" spans="1:7">
      <c r="A14" s="318" t="s">
        <v>69</v>
      </c>
      <c r="B14" s="344"/>
      <c r="C14" s="557"/>
      <c r="D14" s="339"/>
      <c r="E14" s="341"/>
      <c r="F14" s="547"/>
      <c r="G14" s="341"/>
    </row>
    <row r="15" spans="1:7">
      <c r="A15" s="321">
        <v>87149200108</v>
      </c>
      <c r="B15" s="342"/>
      <c r="C15" s="550"/>
      <c r="D15" s="345"/>
      <c r="E15" s="346"/>
      <c r="F15" s="554"/>
      <c r="G15" s="346"/>
    </row>
    <row r="16" spans="1:7">
      <c r="A16" s="318" t="s">
        <v>70</v>
      </c>
      <c r="B16" s="339">
        <f>零件!L16</f>
        <v>468200</v>
      </c>
      <c r="C16" s="547">
        <v>686353</v>
      </c>
      <c r="D16" s="472">
        <f>(B16-C16)/C16</f>
        <v>-0.317843733472426</v>
      </c>
      <c r="E16" s="339">
        <f>零件!M16</f>
        <v>49213090</v>
      </c>
      <c r="F16" s="547">
        <v>46914738</v>
      </c>
      <c r="G16" s="472">
        <f>(E16-F16)/F16</f>
        <v>4.8989978373107403E-2</v>
      </c>
    </row>
    <row r="17" spans="1:7">
      <c r="A17" s="318"/>
      <c r="B17" s="339"/>
      <c r="C17" s="548"/>
      <c r="D17" s="339"/>
      <c r="E17" s="341"/>
      <c r="F17" s="547"/>
      <c r="G17" s="341"/>
    </row>
    <row r="18" spans="1:7">
      <c r="A18" s="321">
        <v>87149200206</v>
      </c>
      <c r="B18" s="342"/>
      <c r="C18" s="550"/>
      <c r="D18" s="345"/>
      <c r="E18" s="346"/>
      <c r="F18" s="554"/>
      <c r="G18" s="346"/>
    </row>
    <row r="19" spans="1:7">
      <c r="A19" s="318" t="s">
        <v>55</v>
      </c>
      <c r="B19" s="339">
        <f>零件!L19</f>
        <v>98245</v>
      </c>
      <c r="C19" s="547">
        <v>76532</v>
      </c>
      <c r="D19" s="472">
        <f>(B19-C19)/C19</f>
        <v>0.28371138870015156</v>
      </c>
      <c r="E19" s="339">
        <f>零件!M19</f>
        <v>8793605</v>
      </c>
      <c r="F19" s="547">
        <v>5976106</v>
      </c>
      <c r="G19" s="473">
        <f>(E19-F19)/F19</f>
        <v>0.47146068024897819</v>
      </c>
    </row>
    <row r="20" spans="1:7">
      <c r="A20" s="318"/>
      <c r="B20" s="339"/>
      <c r="C20" s="548"/>
      <c r="D20" s="339"/>
      <c r="E20" s="341"/>
      <c r="F20" s="547"/>
      <c r="G20" s="341"/>
    </row>
    <row r="21" spans="1:7">
      <c r="A21" s="321">
        <v>87149200304</v>
      </c>
      <c r="B21" s="342"/>
      <c r="C21" s="550"/>
      <c r="D21" s="345"/>
      <c r="E21" s="346"/>
      <c r="F21" s="554"/>
      <c r="G21" s="346"/>
    </row>
    <row r="22" spans="1:7">
      <c r="A22" s="318" t="s">
        <v>56</v>
      </c>
      <c r="B22" s="339">
        <f>零件!L22</f>
        <v>120045</v>
      </c>
      <c r="C22" s="547">
        <v>155871</v>
      </c>
      <c r="D22" s="473">
        <f>(B22-C22)/C22</f>
        <v>-0.22984390938660815</v>
      </c>
      <c r="E22" s="339">
        <f>零件!M22</f>
        <v>3734282</v>
      </c>
      <c r="F22" s="547">
        <v>6794201</v>
      </c>
      <c r="G22" s="472">
        <f>(E22-F22)/F22</f>
        <v>-0.45037216296662402</v>
      </c>
    </row>
    <row r="23" spans="1:7">
      <c r="A23" s="321">
        <v>87149310007</v>
      </c>
      <c r="B23" s="342"/>
      <c r="C23" s="550"/>
      <c r="D23" s="345"/>
      <c r="E23" s="346"/>
      <c r="F23" s="554"/>
      <c r="G23" s="346"/>
    </row>
    <row r="24" spans="1:7">
      <c r="A24" s="318" t="s">
        <v>71</v>
      </c>
      <c r="B24" s="339">
        <f>零件!L24</f>
        <v>554266</v>
      </c>
      <c r="C24" s="547">
        <v>860866</v>
      </c>
      <c r="D24" s="473">
        <f>(B24-C24)/C24</f>
        <v>-0.35615299012854496</v>
      </c>
      <c r="E24" s="339">
        <f>零件!M24</f>
        <v>22235789</v>
      </c>
      <c r="F24" s="547">
        <v>33253843</v>
      </c>
      <c r="G24" s="473">
        <f>(E24-F24)/F24</f>
        <v>-0.33133175013787131</v>
      </c>
    </row>
    <row r="25" spans="1:7">
      <c r="A25" s="318" t="s">
        <v>97</v>
      </c>
      <c r="B25" s="339"/>
      <c r="C25" s="548"/>
      <c r="D25" s="339"/>
      <c r="E25" s="341"/>
      <c r="F25" s="547"/>
      <c r="G25" s="341"/>
    </row>
    <row r="26" spans="1:7">
      <c r="A26" s="321">
        <v>87149320103</v>
      </c>
      <c r="B26" s="342"/>
      <c r="C26" s="550"/>
      <c r="D26" s="345"/>
      <c r="E26" s="346"/>
      <c r="F26" s="554"/>
      <c r="G26" s="346"/>
    </row>
    <row r="27" spans="1:7" ht="33.75" customHeight="1">
      <c r="A27" s="513" t="s">
        <v>406</v>
      </c>
      <c r="B27" s="339">
        <f>零件!L28</f>
        <v>8271</v>
      </c>
      <c r="C27" s="547">
        <v>77833</v>
      </c>
      <c r="D27" s="473">
        <f>(B27-C27)/C27</f>
        <v>-0.89373402027417681</v>
      </c>
      <c r="E27" s="339">
        <f>零件!M28</f>
        <v>354822</v>
      </c>
      <c r="F27" s="547">
        <v>4119559</v>
      </c>
      <c r="G27" s="473">
        <f>(E27-F27)/F27</f>
        <v>-0.913868935971059</v>
      </c>
    </row>
    <row r="28" spans="1:7">
      <c r="A28" s="321">
        <v>87149410006</v>
      </c>
      <c r="B28" s="342"/>
      <c r="C28" s="550"/>
      <c r="D28" s="345"/>
      <c r="E28" s="346"/>
      <c r="F28" s="554"/>
      <c r="G28" s="346"/>
    </row>
    <row r="29" spans="1:7">
      <c r="A29" s="318" t="s">
        <v>74</v>
      </c>
      <c r="B29" s="339">
        <f>零件!L30</f>
        <v>17899</v>
      </c>
      <c r="C29" s="547">
        <v>51283</v>
      </c>
      <c r="D29" s="472">
        <f>(B29-C29)/C29</f>
        <v>-0.65097595694479649</v>
      </c>
      <c r="E29" s="339">
        <f>零件!M30</f>
        <v>338055</v>
      </c>
      <c r="F29" s="547">
        <v>2865982</v>
      </c>
      <c r="G29" s="472">
        <f>(E29-F29)/F29</f>
        <v>-0.88204566532518347</v>
      </c>
    </row>
    <row r="30" spans="1:7">
      <c r="A30" s="318" t="s">
        <v>75</v>
      </c>
      <c r="B30" s="339"/>
      <c r="C30" s="548"/>
      <c r="D30" s="339"/>
      <c r="E30" s="341"/>
      <c r="F30" s="547"/>
      <c r="G30" s="341"/>
    </row>
    <row r="31" spans="1:7">
      <c r="A31" s="321">
        <v>87149490009</v>
      </c>
      <c r="B31" s="342"/>
      <c r="C31" s="550"/>
      <c r="D31" s="345"/>
      <c r="E31" s="346"/>
      <c r="F31" s="554"/>
      <c r="G31" s="346"/>
    </row>
    <row r="32" spans="1:7">
      <c r="A32" s="318" t="s">
        <v>76</v>
      </c>
      <c r="B32" s="339">
        <f>零件!L33</f>
        <v>1052234</v>
      </c>
      <c r="C32" s="547">
        <v>1157571</v>
      </c>
      <c r="D32" s="472">
        <f>(B32-C32)/C32</f>
        <v>-9.0998305935445861E-2</v>
      </c>
      <c r="E32" s="339">
        <f>零件!M33</f>
        <v>67222887</v>
      </c>
      <c r="F32" s="547">
        <v>88558590</v>
      </c>
      <c r="G32" s="472">
        <f>(E32-F32)/F32</f>
        <v>-0.24092189137157671</v>
      </c>
    </row>
    <row r="33" spans="1:7">
      <c r="A33" s="318" t="s">
        <v>77</v>
      </c>
      <c r="B33" s="339"/>
      <c r="C33" s="548"/>
      <c r="D33" s="339"/>
      <c r="E33" s="341"/>
      <c r="F33" s="547"/>
      <c r="G33" s="341"/>
    </row>
    <row r="34" spans="1:7">
      <c r="A34" s="321">
        <v>87149500007</v>
      </c>
      <c r="B34" s="345"/>
      <c r="C34" s="550"/>
      <c r="D34" s="345"/>
      <c r="E34" s="346"/>
      <c r="F34" s="554"/>
      <c r="G34" s="346"/>
    </row>
    <row r="35" spans="1:7">
      <c r="A35" s="318" t="s">
        <v>78</v>
      </c>
      <c r="B35" s="339">
        <f>零件!L36</f>
        <v>423186</v>
      </c>
      <c r="C35" s="547">
        <v>500911</v>
      </c>
      <c r="D35" s="472">
        <f>(B35-C35)/C35</f>
        <v>-0.15516728520635403</v>
      </c>
      <c r="E35" s="339">
        <f>零件!M36</f>
        <v>7765700</v>
      </c>
      <c r="F35" s="547">
        <v>8605481</v>
      </c>
      <c r="G35" s="472">
        <f>(E35-F35)/F35</f>
        <v>-9.758675895048749E-2</v>
      </c>
    </row>
    <row r="36" spans="1:7">
      <c r="A36" s="321">
        <v>87149610004</v>
      </c>
      <c r="B36" s="345"/>
      <c r="C36" s="550"/>
      <c r="D36" s="345"/>
      <c r="E36" s="346"/>
      <c r="F36" s="554"/>
      <c r="G36" s="346"/>
    </row>
    <row r="37" spans="1:7">
      <c r="A37" s="318" t="s">
        <v>79</v>
      </c>
      <c r="B37" s="339">
        <f>零件!L38</f>
        <v>177818</v>
      </c>
      <c r="C37" s="547">
        <v>179677</v>
      </c>
      <c r="D37" s="473">
        <f>(B37-C37)/C37</f>
        <v>-1.0346343716780667E-2</v>
      </c>
      <c r="E37" s="339">
        <f>零件!M38</f>
        <v>2936103</v>
      </c>
      <c r="F37" s="547">
        <v>3577943</v>
      </c>
      <c r="G37" s="473">
        <f>(E37-F37)/F37</f>
        <v>-0.17938798913230311</v>
      </c>
    </row>
    <row r="38" spans="1:7">
      <c r="A38" s="321">
        <v>87149620002</v>
      </c>
      <c r="B38" s="342"/>
      <c r="C38" s="550"/>
      <c r="D38" s="345"/>
      <c r="E38" s="346"/>
      <c r="F38" s="554"/>
      <c r="G38" s="346"/>
    </row>
    <row r="39" spans="1:7">
      <c r="A39" s="318" t="s">
        <v>80</v>
      </c>
      <c r="B39" s="339">
        <f>零件!L40</f>
        <v>815411</v>
      </c>
      <c r="C39" s="547">
        <v>956878</v>
      </c>
      <c r="D39" s="473">
        <f>(B39-C39)/C39</f>
        <v>-0.14784225366243137</v>
      </c>
      <c r="E39" s="339">
        <f>零件!M40</f>
        <v>24431379</v>
      </c>
      <c r="F39" s="547">
        <v>30928676</v>
      </c>
      <c r="G39" s="473">
        <f>(E39-F39)/F39</f>
        <v>-0.21007355762658575</v>
      </c>
    </row>
    <row r="40" spans="1:7">
      <c r="A40" s="318" t="s">
        <v>75</v>
      </c>
      <c r="B40" s="339"/>
      <c r="C40" s="547"/>
      <c r="D40" s="339"/>
      <c r="E40" s="341"/>
      <c r="F40" s="547"/>
      <c r="G40" s="341"/>
    </row>
    <row r="41" spans="1:7">
      <c r="A41" s="321">
        <v>73151100209</v>
      </c>
      <c r="B41" s="342"/>
      <c r="C41" s="556"/>
      <c r="D41" s="345"/>
      <c r="E41" s="346"/>
      <c r="F41" s="556"/>
      <c r="G41" s="346"/>
    </row>
    <row r="42" spans="1:7">
      <c r="A42" s="318" t="s">
        <v>81</v>
      </c>
      <c r="B42" s="339">
        <f>零件!L43</f>
        <v>667761</v>
      </c>
      <c r="C42" s="547">
        <v>629663</v>
      </c>
      <c r="D42" s="473">
        <f>(B42-C42)/C42</f>
        <v>6.0505381450077264E-2</v>
      </c>
      <c r="E42" s="339">
        <f>零件!M43</f>
        <v>7148729</v>
      </c>
      <c r="F42" s="547">
        <v>8288241</v>
      </c>
      <c r="G42" s="473">
        <f>(E42-F42)/F42</f>
        <v>-0.13748538441389432</v>
      </c>
    </row>
    <row r="43" spans="1:7">
      <c r="A43" s="318" t="s">
        <v>82</v>
      </c>
      <c r="B43" s="339"/>
      <c r="C43" s="548"/>
      <c r="D43" s="339"/>
      <c r="E43" s="341"/>
      <c r="F43" s="547"/>
      <c r="G43" s="341"/>
    </row>
    <row r="44" spans="1:7">
      <c r="A44" s="321">
        <v>87149990111</v>
      </c>
      <c r="B44" s="342"/>
      <c r="C44" s="550"/>
      <c r="D44" s="345"/>
      <c r="E44" s="346"/>
      <c r="F44" s="554"/>
      <c r="G44" s="346"/>
    </row>
    <row r="45" spans="1:7">
      <c r="A45" s="322" t="s">
        <v>83</v>
      </c>
      <c r="B45" s="339">
        <f>零件!L46</f>
        <v>229152</v>
      </c>
      <c r="C45" s="547">
        <v>449468</v>
      </c>
      <c r="D45" s="472">
        <f>(B45-C45)/C45</f>
        <v>-0.49017060168910803</v>
      </c>
      <c r="E45" s="339">
        <f>零件!M46</f>
        <v>21259986</v>
      </c>
      <c r="F45" s="547">
        <v>45892076</v>
      </c>
      <c r="G45" s="472">
        <f>(E45-F45)/F45</f>
        <v>-0.53673950160807715</v>
      </c>
    </row>
    <row r="46" spans="1:7">
      <c r="A46" s="318" t="s">
        <v>84</v>
      </c>
      <c r="B46" s="339"/>
      <c r="C46" s="548"/>
      <c r="D46" s="339"/>
      <c r="E46" s="341"/>
      <c r="F46" s="547"/>
      <c r="G46" s="341"/>
    </row>
    <row r="47" spans="1:7">
      <c r="A47" s="321">
        <v>87149320906</v>
      </c>
      <c r="B47" s="342"/>
      <c r="C47" s="550"/>
      <c r="D47" s="345"/>
      <c r="E47" s="346"/>
      <c r="F47" s="554"/>
      <c r="G47" s="346"/>
    </row>
    <row r="48" spans="1:7">
      <c r="A48" s="318" t="s">
        <v>408</v>
      </c>
      <c r="B48" s="339">
        <f>零件!L49</f>
        <v>272691</v>
      </c>
      <c r="C48" s="547">
        <v>369595</v>
      </c>
      <c r="D48" s="472">
        <f>(B48-C48)/C48</f>
        <v>-0.26218969412464993</v>
      </c>
      <c r="E48" s="339">
        <f>零件!M49</f>
        <v>10330112</v>
      </c>
      <c r="F48" s="547">
        <v>13959429</v>
      </c>
      <c r="G48" s="472">
        <f>(E48-F48)/F48</f>
        <v>-0.25999036206996717</v>
      </c>
    </row>
    <row r="49" spans="1:7">
      <c r="A49" s="321">
        <v>87149990139</v>
      </c>
      <c r="B49" s="342"/>
      <c r="C49" s="550"/>
      <c r="D49" s="345"/>
      <c r="E49" s="346"/>
      <c r="F49" s="554"/>
      <c r="G49" s="346"/>
    </row>
    <row r="50" spans="1:7">
      <c r="A50" s="318" t="s">
        <v>85</v>
      </c>
      <c r="B50" s="339">
        <f>零件!L51</f>
        <v>61528</v>
      </c>
      <c r="C50" s="547">
        <v>83439</v>
      </c>
      <c r="D50" s="473">
        <f>(B50-C50)/C50</f>
        <v>-0.26259902443701388</v>
      </c>
      <c r="E50" s="339">
        <f>零件!M51</f>
        <v>702404</v>
      </c>
      <c r="F50" s="547">
        <v>1123816</v>
      </c>
      <c r="G50" s="473">
        <f>(E50-F50)/F50</f>
        <v>-0.3749830933177673</v>
      </c>
    </row>
    <row r="51" spans="1:7">
      <c r="A51" s="321">
        <v>87149990148</v>
      </c>
      <c r="B51" s="342"/>
      <c r="C51" s="550"/>
      <c r="D51" s="345"/>
      <c r="E51" s="346"/>
      <c r="F51" s="554"/>
      <c r="G51" s="346"/>
    </row>
    <row r="52" spans="1:7">
      <c r="A52" s="323" t="s">
        <v>86</v>
      </c>
      <c r="B52" s="339">
        <f>零件!L53</f>
        <v>116205</v>
      </c>
      <c r="C52" s="547">
        <v>122137</v>
      </c>
      <c r="D52" s="472">
        <f>(B52-C52)/C52</f>
        <v>-4.8568410882861048E-2</v>
      </c>
      <c r="E52" s="339">
        <f>零件!M53</f>
        <v>3617108</v>
      </c>
      <c r="F52" s="547">
        <v>3599219</v>
      </c>
      <c r="G52" s="472">
        <f>(E52-F52)/F52</f>
        <v>4.9702449336925594E-3</v>
      </c>
    </row>
    <row r="53" spans="1:7">
      <c r="A53" s="318" t="s">
        <v>87</v>
      </c>
      <c r="B53" s="339"/>
      <c r="C53" s="548"/>
      <c r="D53" s="339"/>
      <c r="E53" s="341"/>
      <c r="F53" s="547"/>
      <c r="G53" s="341"/>
    </row>
    <row r="54" spans="1:7">
      <c r="A54" s="321">
        <v>87149990157</v>
      </c>
      <c r="B54" s="342"/>
      <c r="C54" s="550"/>
      <c r="D54" s="345"/>
      <c r="E54" s="346"/>
      <c r="F54" s="554"/>
      <c r="G54" s="346"/>
    </row>
    <row r="55" spans="1:7">
      <c r="A55" s="318" t="s">
        <v>88</v>
      </c>
      <c r="B55" s="339">
        <f>零件!L56</f>
        <v>241577</v>
      </c>
      <c r="C55" s="547">
        <v>283164</v>
      </c>
      <c r="D55" s="473">
        <f>(B55-C55)/C55</f>
        <v>-0.14686542074557501</v>
      </c>
      <c r="E55" s="339">
        <f>零件!M56</f>
        <v>10739565</v>
      </c>
      <c r="F55" s="547">
        <v>10736296</v>
      </c>
      <c r="G55" s="473">
        <f>(E55-F55)/F55</f>
        <v>3.0448117302280041E-4</v>
      </c>
    </row>
    <row r="56" spans="1:7">
      <c r="A56" s="318" t="s">
        <v>89</v>
      </c>
      <c r="B56" s="339"/>
      <c r="C56" s="548"/>
      <c r="D56" s="339"/>
      <c r="E56" s="341"/>
      <c r="F56" s="547"/>
      <c r="G56" s="341"/>
    </row>
    <row r="57" spans="1:7">
      <c r="A57" s="321">
        <v>87149990166</v>
      </c>
      <c r="B57" s="342"/>
      <c r="C57" s="550"/>
      <c r="D57" s="345"/>
      <c r="E57" s="346"/>
      <c r="F57" s="554"/>
      <c r="G57" s="346"/>
    </row>
    <row r="58" spans="1:7">
      <c r="A58" s="318" t="s">
        <v>86</v>
      </c>
      <c r="B58" s="339">
        <f>零件!L59</f>
        <v>279139</v>
      </c>
      <c r="C58" s="547">
        <v>312040</v>
      </c>
      <c r="D58" s="472">
        <f>(B58-C58)/C58</f>
        <v>-0.10543840533264966</v>
      </c>
      <c r="E58" s="339">
        <f>零件!M59</f>
        <v>20907370</v>
      </c>
      <c r="F58" s="547">
        <v>17306239</v>
      </c>
      <c r="G58" s="472">
        <f>(E58-F58)/F58</f>
        <v>0.20808281914978755</v>
      </c>
    </row>
    <row r="59" spans="1:7">
      <c r="A59" s="321">
        <v>40115000008</v>
      </c>
      <c r="B59" s="345"/>
      <c r="C59" s="556"/>
      <c r="D59" s="347"/>
      <c r="E59" s="346"/>
      <c r="F59" s="556"/>
      <c r="G59" s="346"/>
    </row>
    <row r="60" spans="1:7">
      <c r="A60" s="318" t="s">
        <v>90</v>
      </c>
      <c r="B60" s="339">
        <f>零件!L61</f>
        <v>1172295</v>
      </c>
      <c r="C60" s="547">
        <v>1576622</v>
      </c>
      <c r="D60" s="472">
        <f>(B60-C60)/C60</f>
        <v>-0.25645145126732977</v>
      </c>
      <c r="E60" s="339">
        <f>零件!M61</f>
        <v>13705854</v>
      </c>
      <c r="F60" s="547">
        <v>17683514</v>
      </c>
      <c r="G60" s="472">
        <f>(E60-F60)/F60</f>
        <v>-0.22493606191620058</v>
      </c>
    </row>
    <row r="61" spans="1:7">
      <c r="A61" s="318" t="s">
        <v>91</v>
      </c>
      <c r="B61" s="339"/>
      <c r="C61" s="547"/>
      <c r="D61" s="340"/>
      <c r="E61" s="341"/>
      <c r="F61" s="547"/>
      <c r="G61" s="475"/>
    </row>
    <row r="62" spans="1:7">
      <c r="A62" s="321">
        <v>40132000003</v>
      </c>
      <c r="B62" s="345"/>
      <c r="C62" s="556"/>
      <c r="D62" s="345"/>
      <c r="E62" s="346"/>
      <c r="F62" s="556"/>
      <c r="G62" s="346"/>
    </row>
    <row r="63" spans="1:7">
      <c r="A63" s="318" t="s">
        <v>92</v>
      </c>
      <c r="B63" s="339">
        <f>零件!L64</f>
        <v>238032</v>
      </c>
      <c r="C63" s="547">
        <v>291932</v>
      </c>
      <c r="D63" s="473">
        <f>(B63-C63)/C63</f>
        <v>-0.18463203759779676</v>
      </c>
      <c r="E63" s="339">
        <f>零件!M64</f>
        <v>1534867</v>
      </c>
      <c r="F63" s="547">
        <v>1941488</v>
      </c>
      <c r="G63" s="472">
        <f>(E63-F63)/F63</f>
        <v>-0.20943781264679462</v>
      </c>
    </row>
    <row r="64" spans="1:7">
      <c r="A64" s="318" t="s">
        <v>93</v>
      </c>
      <c r="B64" s="339"/>
      <c r="C64" s="548"/>
      <c r="D64" s="340"/>
      <c r="E64" s="341"/>
      <c r="F64" s="547"/>
      <c r="G64" s="341"/>
    </row>
    <row r="65" spans="1:7">
      <c r="A65" s="348" t="s">
        <v>94</v>
      </c>
      <c r="B65" s="349">
        <f>SUM(B6:B64)-B64-B61-B20-B17-B11-B8</f>
        <v>10113681</v>
      </c>
      <c r="C65" s="589">
        <f>SUM(C6:C64)</f>
        <v>13530710</v>
      </c>
      <c r="D65" s="471">
        <f>(B65-C65)/C65</f>
        <v>-0.25253878030051641</v>
      </c>
      <c r="E65" s="424">
        <f>SUM(E7:E64)</f>
        <v>511379565</v>
      </c>
      <c r="F65" s="589">
        <f>SUM(F6:F64)</f>
        <v>662806491</v>
      </c>
      <c r="G65" s="471">
        <f>(E65-F65)/F65</f>
        <v>-0.22846325142582227</v>
      </c>
    </row>
    <row r="66" spans="1:7">
      <c r="E66" s="5"/>
      <c r="G66" s="311"/>
    </row>
    <row r="67" spans="1:7">
      <c r="A67" s="54" t="s">
        <v>31</v>
      </c>
    </row>
  </sheetData>
  <phoneticPr fontId="3" type="noConversion"/>
  <conditionalFormatting sqref="C9">
    <cfRule type="cellIs" dxfId="15" priority="11" operator="greaterThanOrEqual">
      <formula>0</formula>
    </cfRule>
    <cfRule type="cellIs" dxfId="14" priority="12" operator="lessThan">
      <formula>0</formula>
    </cfRule>
  </conditionalFormatting>
  <conditionalFormatting sqref="C12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D1:D3 D6:D1048576">
    <cfRule type="cellIs" dxfId="11" priority="15" operator="greaterThanOrEqual">
      <formula>0</formula>
    </cfRule>
    <cfRule type="cellIs" dxfId="10" priority="16" operator="lessThan">
      <formula>0</formula>
    </cfRule>
  </conditionalFormatting>
  <conditionalFormatting sqref="F41">
    <cfRule type="cellIs" dxfId="9" priority="7" operator="greaterThanOrEqual">
      <formula>0</formula>
    </cfRule>
    <cfRule type="cellIs" dxfId="8" priority="8" operator="lessThan">
      <formula>0</formula>
    </cfRule>
  </conditionalFormatting>
  <conditionalFormatting sqref="F59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62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topLeftCell="A145" zoomScale="80" zoomScaleNormal="80" workbookViewId="0">
      <selection activeCell="G153" sqref="G153"/>
    </sheetView>
  </sheetViews>
  <sheetFormatPr defaultColWidth="10" defaultRowHeight="16.5"/>
  <cols>
    <col min="1" max="1" width="3.75" style="559" customWidth="1"/>
    <col min="2" max="2" width="15.5" style="559" customWidth="1"/>
    <col min="3" max="3" width="17.75" style="564" customWidth="1"/>
    <col min="4" max="4" width="17.625" style="559" customWidth="1"/>
    <col min="5" max="5" width="17.875" style="564" customWidth="1"/>
    <col min="6" max="6" width="2.125" style="559" customWidth="1"/>
    <col min="7" max="7" width="17.375" style="559" customWidth="1"/>
    <col min="8" max="8" width="15.75" style="564" customWidth="1"/>
    <col min="9" max="9" width="14.875" style="559" customWidth="1"/>
    <col min="10" max="10" width="17.875" style="564" customWidth="1"/>
    <col min="11" max="258" width="10" style="559"/>
    <col min="259" max="259" width="23.25" style="559" customWidth="1"/>
    <col min="260" max="260" width="10" style="559"/>
    <col min="261" max="261" width="17.875" style="559" customWidth="1"/>
    <col min="262" max="262" width="2.125" style="559" customWidth="1"/>
    <col min="263" max="263" width="10" style="559"/>
    <col min="264" max="264" width="15.75" style="559" customWidth="1"/>
    <col min="265" max="265" width="10" style="559"/>
    <col min="266" max="266" width="17.875" style="559" customWidth="1"/>
    <col min="267" max="514" width="10" style="559"/>
    <col min="515" max="515" width="23.25" style="559" customWidth="1"/>
    <col min="516" max="516" width="10" style="559"/>
    <col min="517" max="517" width="17.875" style="559" customWidth="1"/>
    <col min="518" max="518" width="2.125" style="559" customWidth="1"/>
    <col min="519" max="519" width="10" style="559"/>
    <col min="520" max="520" width="15.75" style="559" customWidth="1"/>
    <col min="521" max="521" width="10" style="559"/>
    <col min="522" max="522" width="17.875" style="559" customWidth="1"/>
    <col min="523" max="770" width="10" style="559"/>
    <col min="771" max="771" width="23.25" style="559" customWidth="1"/>
    <col min="772" max="772" width="10" style="559"/>
    <col min="773" max="773" width="17.875" style="559" customWidth="1"/>
    <col min="774" max="774" width="2.125" style="559" customWidth="1"/>
    <col min="775" max="775" width="10" style="559"/>
    <col min="776" max="776" width="15.75" style="559" customWidth="1"/>
    <col min="777" max="777" width="10" style="559"/>
    <col min="778" max="778" width="17.875" style="559" customWidth="1"/>
    <col min="779" max="1026" width="10" style="559"/>
    <col min="1027" max="1027" width="23.25" style="559" customWidth="1"/>
    <col min="1028" max="1028" width="10" style="559"/>
    <col min="1029" max="1029" width="17.875" style="559" customWidth="1"/>
    <col min="1030" max="1030" width="2.125" style="559" customWidth="1"/>
    <col min="1031" max="1031" width="10" style="559"/>
    <col min="1032" max="1032" width="15.75" style="559" customWidth="1"/>
    <col min="1033" max="1033" width="10" style="559"/>
    <col min="1034" max="1034" width="17.875" style="559" customWidth="1"/>
    <col min="1035" max="1282" width="10" style="559"/>
    <col min="1283" max="1283" width="23.25" style="559" customWidth="1"/>
    <col min="1284" max="1284" width="10" style="559"/>
    <col min="1285" max="1285" width="17.875" style="559" customWidth="1"/>
    <col min="1286" max="1286" width="2.125" style="559" customWidth="1"/>
    <col min="1287" max="1287" width="10" style="559"/>
    <col min="1288" max="1288" width="15.75" style="559" customWidth="1"/>
    <col min="1289" max="1289" width="10" style="559"/>
    <col min="1290" max="1290" width="17.875" style="559" customWidth="1"/>
    <col min="1291" max="1538" width="10" style="559"/>
    <col min="1539" max="1539" width="23.25" style="559" customWidth="1"/>
    <col min="1540" max="1540" width="10" style="559"/>
    <col min="1541" max="1541" width="17.875" style="559" customWidth="1"/>
    <col min="1542" max="1542" width="2.125" style="559" customWidth="1"/>
    <col min="1543" max="1543" width="10" style="559"/>
    <col min="1544" max="1544" width="15.75" style="559" customWidth="1"/>
    <col min="1545" max="1545" width="10" style="559"/>
    <col min="1546" max="1546" width="17.875" style="559" customWidth="1"/>
    <col min="1547" max="1794" width="10" style="559"/>
    <col min="1795" max="1795" width="23.25" style="559" customWidth="1"/>
    <col min="1796" max="1796" width="10" style="559"/>
    <col min="1797" max="1797" width="17.875" style="559" customWidth="1"/>
    <col min="1798" max="1798" width="2.125" style="559" customWidth="1"/>
    <col min="1799" max="1799" width="10" style="559"/>
    <col min="1800" max="1800" width="15.75" style="559" customWidth="1"/>
    <col min="1801" max="1801" width="10" style="559"/>
    <col min="1802" max="1802" width="17.875" style="559" customWidth="1"/>
    <col min="1803" max="2050" width="10" style="559"/>
    <col min="2051" max="2051" width="23.25" style="559" customWidth="1"/>
    <col min="2052" max="2052" width="10" style="559"/>
    <col min="2053" max="2053" width="17.875" style="559" customWidth="1"/>
    <col min="2054" max="2054" width="2.125" style="559" customWidth="1"/>
    <col min="2055" max="2055" width="10" style="559"/>
    <col min="2056" max="2056" width="15.75" style="559" customWidth="1"/>
    <col min="2057" max="2057" width="10" style="559"/>
    <col min="2058" max="2058" width="17.875" style="559" customWidth="1"/>
    <col min="2059" max="2306" width="10" style="559"/>
    <col min="2307" max="2307" width="23.25" style="559" customWidth="1"/>
    <col min="2308" max="2308" width="10" style="559"/>
    <col min="2309" max="2309" width="17.875" style="559" customWidth="1"/>
    <col min="2310" max="2310" width="2.125" style="559" customWidth="1"/>
    <col min="2311" max="2311" width="10" style="559"/>
    <col min="2312" max="2312" width="15.75" style="559" customWidth="1"/>
    <col min="2313" max="2313" width="10" style="559"/>
    <col min="2314" max="2314" width="17.875" style="559" customWidth="1"/>
    <col min="2315" max="2562" width="10" style="559"/>
    <col min="2563" max="2563" width="23.25" style="559" customWidth="1"/>
    <col min="2564" max="2564" width="10" style="559"/>
    <col min="2565" max="2565" width="17.875" style="559" customWidth="1"/>
    <col min="2566" max="2566" width="2.125" style="559" customWidth="1"/>
    <col min="2567" max="2567" width="10" style="559"/>
    <col min="2568" max="2568" width="15.75" style="559" customWidth="1"/>
    <col min="2569" max="2569" width="10" style="559"/>
    <col min="2570" max="2570" width="17.875" style="559" customWidth="1"/>
    <col min="2571" max="2818" width="10" style="559"/>
    <col min="2819" max="2819" width="23.25" style="559" customWidth="1"/>
    <col min="2820" max="2820" width="10" style="559"/>
    <col min="2821" max="2821" width="17.875" style="559" customWidth="1"/>
    <col min="2822" max="2822" width="2.125" style="559" customWidth="1"/>
    <col min="2823" max="2823" width="10" style="559"/>
    <col min="2824" max="2824" width="15.75" style="559" customWidth="1"/>
    <col min="2825" max="2825" width="10" style="559"/>
    <col min="2826" max="2826" width="17.875" style="559" customWidth="1"/>
    <col min="2827" max="3074" width="10" style="559"/>
    <col min="3075" max="3075" width="23.25" style="559" customWidth="1"/>
    <col min="3076" max="3076" width="10" style="559"/>
    <col min="3077" max="3077" width="17.875" style="559" customWidth="1"/>
    <col min="3078" max="3078" width="2.125" style="559" customWidth="1"/>
    <col min="3079" max="3079" width="10" style="559"/>
    <col min="3080" max="3080" width="15.75" style="559" customWidth="1"/>
    <col min="3081" max="3081" width="10" style="559"/>
    <col min="3082" max="3082" width="17.875" style="559" customWidth="1"/>
    <col min="3083" max="3330" width="10" style="559"/>
    <col min="3331" max="3331" width="23.25" style="559" customWidth="1"/>
    <col min="3332" max="3332" width="10" style="559"/>
    <col min="3333" max="3333" width="17.875" style="559" customWidth="1"/>
    <col min="3334" max="3334" width="2.125" style="559" customWidth="1"/>
    <col min="3335" max="3335" width="10" style="559"/>
    <col min="3336" max="3336" width="15.75" style="559" customWidth="1"/>
    <col min="3337" max="3337" width="10" style="559"/>
    <col min="3338" max="3338" width="17.875" style="559" customWidth="1"/>
    <col min="3339" max="3586" width="10" style="559"/>
    <col min="3587" max="3587" width="23.25" style="559" customWidth="1"/>
    <col min="3588" max="3588" width="10" style="559"/>
    <col min="3589" max="3589" width="17.875" style="559" customWidth="1"/>
    <col min="3590" max="3590" width="2.125" style="559" customWidth="1"/>
    <col min="3591" max="3591" width="10" style="559"/>
    <col min="3592" max="3592" width="15.75" style="559" customWidth="1"/>
    <col min="3593" max="3593" width="10" style="559"/>
    <col min="3594" max="3594" width="17.875" style="559" customWidth="1"/>
    <col min="3595" max="3842" width="10" style="559"/>
    <col min="3843" max="3843" width="23.25" style="559" customWidth="1"/>
    <col min="3844" max="3844" width="10" style="559"/>
    <col min="3845" max="3845" width="17.875" style="559" customWidth="1"/>
    <col min="3846" max="3846" width="2.125" style="559" customWidth="1"/>
    <col min="3847" max="3847" width="10" style="559"/>
    <col min="3848" max="3848" width="15.75" style="559" customWidth="1"/>
    <col min="3849" max="3849" width="10" style="559"/>
    <col min="3850" max="3850" width="17.875" style="559" customWidth="1"/>
    <col min="3851" max="4098" width="10" style="559"/>
    <col min="4099" max="4099" width="23.25" style="559" customWidth="1"/>
    <col min="4100" max="4100" width="10" style="559"/>
    <col min="4101" max="4101" width="17.875" style="559" customWidth="1"/>
    <col min="4102" max="4102" width="2.125" style="559" customWidth="1"/>
    <col min="4103" max="4103" width="10" style="559"/>
    <col min="4104" max="4104" width="15.75" style="559" customWidth="1"/>
    <col min="4105" max="4105" width="10" style="559"/>
    <col min="4106" max="4106" width="17.875" style="559" customWidth="1"/>
    <col min="4107" max="4354" width="10" style="559"/>
    <col min="4355" max="4355" width="23.25" style="559" customWidth="1"/>
    <col min="4356" max="4356" width="10" style="559"/>
    <col min="4357" max="4357" width="17.875" style="559" customWidth="1"/>
    <col min="4358" max="4358" width="2.125" style="559" customWidth="1"/>
    <col min="4359" max="4359" width="10" style="559"/>
    <col min="4360" max="4360" width="15.75" style="559" customWidth="1"/>
    <col min="4361" max="4361" width="10" style="559"/>
    <col min="4362" max="4362" width="17.875" style="559" customWidth="1"/>
    <col min="4363" max="4610" width="10" style="559"/>
    <col min="4611" max="4611" width="23.25" style="559" customWidth="1"/>
    <col min="4612" max="4612" width="10" style="559"/>
    <col min="4613" max="4613" width="17.875" style="559" customWidth="1"/>
    <col min="4614" max="4614" width="2.125" style="559" customWidth="1"/>
    <col min="4615" max="4615" width="10" style="559"/>
    <col min="4616" max="4616" width="15.75" style="559" customWidth="1"/>
    <col min="4617" max="4617" width="10" style="559"/>
    <col min="4618" max="4618" width="17.875" style="559" customWidth="1"/>
    <col min="4619" max="4866" width="10" style="559"/>
    <col min="4867" max="4867" width="23.25" style="559" customWidth="1"/>
    <col min="4868" max="4868" width="10" style="559"/>
    <col min="4869" max="4869" width="17.875" style="559" customWidth="1"/>
    <col min="4870" max="4870" width="2.125" style="559" customWidth="1"/>
    <col min="4871" max="4871" width="10" style="559"/>
    <col min="4872" max="4872" width="15.75" style="559" customWidth="1"/>
    <col min="4873" max="4873" width="10" style="559"/>
    <col min="4874" max="4874" width="17.875" style="559" customWidth="1"/>
    <col min="4875" max="5122" width="10" style="559"/>
    <col min="5123" max="5123" width="23.25" style="559" customWidth="1"/>
    <col min="5124" max="5124" width="10" style="559"/>
    <col min="5125" max="5125" width="17.875" style="559" customWidth="1"/>
    <col min="5126" max="5126" width="2.125" style="559" customWidth="1"/>
    <col min="5127" max="5127" width="10" style="559"/>
    <col min="5128" max="5128" width="15.75" style="559" customWidth="1"/>
    <col min="5129" max="5129" width="10" style="559"/>
    <col min="5130" max="5130" width="17.875" style="559" customWidth="1"/>
    <col min="5131" max="5378" width="10" style="559"/>
    <col min="5379" max="5379" width="23.25" style="559" customWidth="1"/>
    <col min="5380" max="5380" width="10" style="559"/>
    <col min="5381" max="5381" width="17.875" style="559" customWidth="1"/>
    <col min="5382" max="5382" width="2.125" style="559" customWidth="1"/>
    <col min="5383" max="5383" width="10" style="559"/>
    <col min="5384" max="5384" width="15.75" style="559" customWidth="1"/>
    <col min="5385" max="5385" width="10" style="559"/>
    <col min="5386" max="5386" width="17.875" style="559" customWidth="1"/>
    <col min="5387" max="5634" width="10" style="559"/>
    <col min="5635" max="5635" width="23.25" style="559" customWidth="1"/>
    <col min="5636" max="5636" width="10" style="559"/>
    <col min="5637" max="5637" width="17.875" style="559" customWidth="1"/>
    <col min="5638" max="5638" width="2.125" style="559" customWidth="1"/>
    <col min="5639" max="5639" width="10" style="559"/>
    <col min="5640" max="5640" width="15.75" style="559" customWidth="1"/>
    <col min="5641" max="5641" width="10" style="559"/>
    <col min="5642" max="5642" width="17.875" style="559" customWidth="1"/>
    <col min="5643" max="5890" width="10" style="559"/>
    <col min="5891" max="5891" width="23.25" style="559" customWidth="1"/>
    <col min="5892" max="5892" width="10" style="559"/>
    <col min="5893" max="5893" width="17.875" style="559" customWidth="1"/>
    <col min="5894" max="5894" width="2.125" style="559" customWidth="1"/>
    <col min="5895" max="5895" width="10" style="559"/>
    <col min="5896" max="5896" width="15.75" style="559" customWidth="1"/>
    <col min="5897" max="5897" width="10" style="559"/>
    <col min="5898" max="5898" width="17.875" style="559" customWidth="1"/>
    <col min="5899" max="6146" width="10" style="559"/>
    <col min="6147" max="6147" width="23.25" style="559" customWidth="1"/>
    <col min="6148" max="6148" width="10" style="559"/>
    <col min="6149" max="6149" width="17.875" style="559" customWidth="1"/>
    <col min="6150" max="6150" width="2.125" style="559" customWidth="1"/>
    <col min="6151" max="6151" width="10" style="559"/>
    <col min="6152" max="6152" width="15.75" style="559" customWidth="1"/>
    <col min="6153" max="6153" width="10" style="559"/>
    <col min="6154" max="6154" width="17.875" style="559" customWidth="1"/>
    <col min="6155" max="6402" width="10" style="559"/>
    <col min="6403" max="6403" width="23.25" style="559" customWidth="1"/>
    <col min="6404" max="6404" width="10" style="559"/>
    <col min="6405" max="6405" width="17.875" style="559" customWidth="1"/>
    <col min="6406" max="6406" width="2.125" style="559" customWidth="1"/>
    <col min="6407" max="6407" width="10" style="559"/>
    <col min="6408" max="6408" width="15.75" style="559" customWidth="1"/>
    <col min="6409" max="6409" width="10" style="559"/>
    <col min="6410" max="6410" width="17.875" style="559" customWidth="1"/>
    <col min="6411" max="6658" width="10" style="559"/>
    <col min="6659" max="6659" width="23.25" style="559" customWidth="1"/>
    <col min="6660" max="6660" width="10" style="559"/>
    <col min="6661" max="6661" width="17.875" style="559" customWidth="1"/>
    <col min="6662" max="6662" width="2.125" style="559" customWidth="1"/>
    <col min="6663" max="6663" width="10" style="559"/>
    <col min="6664" max="6664" width="15.75" style="559" customWidth="1"/>
    <col min="6665" max="6665" width="10" style="559"/>
    <col min="6666" max="6666" width="17.875" style="559" customWidth="1"/>
    <col min="6667" max="6914" width="10" style="559"/>
    <col min="6915" max="6915" width="23.25" style="559" customWidth="1"/>
    <col min="6916" max="6916" width="10" style="559"/>
    <col min="6917" max="6917" width="17.875" style="559" customWidth="1"/>
    <col min="6918" max="6918" width="2.125" style="559" customWidth="1"/>
    <col min="6919" max="6919" width="10" style="559"/>
    <col min="6920" max="6920" width="15.75" style="559" customWidth="1"/>
    <col min="6921" max="6921" width="10" style="559"/>
    <col min="6922" max="6922" width="17.875" style="559" customWidth="1"/>
    <col min="6923" max="7170" width="10" style="559"/>
    <col min="7171" max="7171" width="23.25" style="559" customWidth="1"/>
    <col min="7172" max="7172" width="10" style="559"/>
    <col min="7173" max="7173" width="17.875" style="559" customWidth="1"/>
    <col min="7174" max="7174" width="2.125" style="559" customWidth="1"/>
    <col min="7175" max="7175" width="10" style="559"/>
    <col min="7176" max="7176" width="15.75" style="559" customWidth="1"/>
    <col min="7177" max="7177" width="10" style="559"/>
    <col min="7178" max="7178" width="17.875" style="559" customWidth="1"/>
    <col min="7179" max="7426" width="10" style="559"/>
    <col min="7427" max="7427" width="23.25" style="559" customWidth="1"/>
    <col min="7428" max="7428" width="10" style="559"/>
    <col min="7429" max="7429" width="17.875" style="559" customWidth="1"/>
    <col min="7430" max="7430" width="2.125" style="559" customWidth="1"/>
    <col min="7431" max="7431" width="10" style="559"/>
    <col min="7432" max="7432" width="15.75" style="559" customWidth="1"/>
    <col min="7433" max="7433" width="10" style="559"/>
    <col min="7434" max="7434" width="17.875" style="559" customWidth="1"/>
    <col min="7435" max="7682" width="10" style="559"/>
    <col min="7683" max="7683" width="23.25" style="559" customWidth="1"/>
    <col min="7684" max="7684" width="10" style="559"/>
    <col min="7685" max="7685" width="17.875" style="559" customWidth="1"/>
    <col min="7686" max="7686" width="2.125" style="559" customWidth="1"/>
    <col min="7687" max="7687" width="10" style="559"/>
    <col min="7688" max="7688" width="15.75" style="559" customWidth="1"/>
    <col min="7689" max="7689" width="10" style="559"/>
    <col min="7690" max="7690" width="17.875" style="559" customWidth="1"/>
    <col min="7691" max="7938" width="10" style="559"/>
    <col min="7939" max="7939" width="23.25" style="559" customWidth="1"/>
    <col min="7940" max="7940" width="10" style="559"/>
    <col min="7941" max="7941" width="17.875" style="559" customWidth="1"/>
    <col min="7942" max="7942" width="2.125" style="559" customWidth="1"/>
    <col min="7943" max="7943" width="10" style="559"/>
    <col min="7944" max="7944" width="15.75" style="559" customWidth="1"/>
    <col min="7945" max="7945" width="10" style="559"/>
    <col min="7946" max="7946" width="17.875" style="559" customWidth="1"/>
    <col min="7947" max="8194" width="10" style="559"/>
    <col min="8195" max="8195" width="23.25" style="559" customWidth="1"/>
    <col min="8196" max="8196" width="10" style="559"/>
    <col min="8197" max="8197" width="17.875" style="559" customWidth="1"/>
    <col min="8198" max="8198" width="2.125" style="559" customWidth="1"/>
    <col min="8199" max="8199" width="10" style="559"/>
    <col min="8200" max="8200" width="15.75" style="559" customWidth="1"/>
    <col min="8201" max="8201" width="10" style="559"/>
    <col min="8202" max="8202" width="17.875" style="559" customWidth="1"/>
    <col min="8203" max="8450" width="10" style="559"/>
    <col min="8451" max="8451" width="23.25" style="559" customWidth="1"/>
    <col min="8452" max="8452" width="10" style="559"/>
    <col min="8453" max="8453" width="17.875" style="559" customWidth="1"/>
    <col min="8454" max="8454" width="2.125" style="559" customWidth="1"/>
    <col min="8455" max="8455" width="10" style="559"/>
    <col min="8456" max="8456" width="15.75" style="559" customWidth="1"/>
    <col min="8457" max="8457" width="10" style="559"/>
    <col min="8458" max="8458" width="17.875" style="559" customWidth="1"/>
    <col min="8459" max="8706" width="10" style="559"/>
    <col min="8707" max="8707" width="23.25" style="559" customWidth="1"/>
    <col min="8708" max="8708" width="10" style="559"/>
    <col min="8709" max="8709" width="17.875" style="559" customWidth="1"/>
    <col min="8710" max="8710" width="2.125" style="559" customWidth="1"/>
    <col min="8711" max="8711" width="10" style="559"/>
    <col min="8712" max="8712" width="15.75" style="559" customWidth="1"/>
    <col min="8713" max="8713" width="10" style="559"/>
    <col min="8714" max="8714" width="17.875" style="559" customWidth="1"/>
    <col min="8715" max="8962" width="10" style="559"/>
    <col min="8963" max="8963" width="23.25" style="559" customWidth="1"/>
    <col min="8964" max="8964" width="10" style="559"/>
    <col min="8965" max="8965" width="17.875" style="559" customWidth="1"/>
    <col min="8966" max="8966" width="2.125" style="559" customWidth="1"/>
    <col min="8967" max="8967" width="10" style="559"/>
    <col min="8968" max="8968" width="15.75" style="559" customWidth="1"/>
    <col min="8969" max="8969" width="10" style="559"/>
    <col min="8970" max="8970" width="17.875" style="559" customWidth="1"/>
    <col min="8971" max="9218" width="10" style="559"/>
    <col min="9219" max="9219" width="23.25" style="559" customWidth="1"/>
    <col min="9220" max="9220" width="10" style="559"/>
    <col min="9221" max="9221" width="17.875" style="559" customWidth="1"/>
    <col min="9222" max="9222" width="2.125" style="559" customWidth="1"/>
    <col min="9223" max="9223" width="10" style="559"/>
    <col min="9224" max="9224" width="15.75" style="559" customWidth="1"/>
    <col min="9225" max="9225" width="10" style="559"/>
    <col min="9226" max="9226" width="17.875" style="559" customWidth="1"/>
    <col min="9227" max="9474" width="10" style="559"/>
    <col min="9475" max="9475" width="23.25" style="559" customWidth="1"/>
    <col min="9476" max="9476" width="10" style="559"/>
    <col min="9477" max="9477" width="17.875" style="559" customWidth="1"/>
    <col min="9478" max="9478" width="2.125" style="559" customWidth="1"/>
    <col min="9479" max="9479" width="10" style="559"/>
    <col min="9480" max="9480" width="15.75" style="559" customWidth="1"/>
    <col min="9481" max="9481" width="10" style="559"/>
    <col min="9482" max="9482" width="17.875" style="559" customWidth="1"/>
    <col min="9483" max="9730" width="10" style="559"/>
    <col min="9731" max="9731" width="23.25" style="559" customWidth="1"/>
    <col min="9732" max="9732" width="10" style="559"/>
    <col min="9733" max="9733" width="17.875" style="559" customWidth="1"/>
    <col min="9734" max="9734" width="2.125" style="559" customWidth="1"/>
    <col min="9735" max="9735" width="10" style="559"/>
    <col min="9736" max="9736" width="15.75" style="559" customWidth="1"/>
    <col min="9737" max="9737" width="10" style="559"/>
    <col min="9738" max="9738" width="17.875" style="559" customWidth="1"/>
    <col min="9739" max="9986" width="10" style="559"/>
    <col min="9987" max="9987" width="23.25" style="559" customWidth="1"/>
    <col min="9988" max="9988" width="10" style="559"/>
    <col min="9989" max="9989" width="17.875" style="559" customWidth="1"/>
    <col min="9990" max="9990" width="2.125" style="559" customWidth="1"/>
    <col min="9991" max="9991" width="10" style="559"/>
    <col min="9992" max="9992" width="15.75" style="559" customWidth="1"/>
    <col min="9993" max="9993" width="10" style="559"/>
    <col min="9994" max="9994" width="17.875" style="559" customWidth="1"/>
    <col min="9995" max="10242" width="10" style="559"/>
    <col min="10243" max="10243" width="23.25" style="559" customWidth="1"/>
    <col min="10244" max="10244" width="10" style="559"/>
    <col min="10245" max="10245" width="17.875" style="559" customWidth="1"/>
    <col min="10246" max="10246" width="2.125" style="559" customWidth="1"/>
    <col min="10247" max="10247" width="10" style="559"/>
    <col min="10248" max="10248" width="15.75" style="559" customWidth="1"/>
    <col min="10249" max="10249" width="10" style="559"/>
    <col min="10250" max="10250" width="17.875" style="559" customWidth="1"/>
    <col min="10251" max="10498" width="10" style="559"/>
    <col min="10499" max="10499" width="23.25" style="559" customWidth="1"/>
    <col min="10500" max="10500" width="10" style="559"/>
    <col min="10501" max="10501" width="17.875" style="559" customWidth="1"/>
    <col min="10502" max="10502" width="2.125" style="559" customWidth="1"/>
    <col min="10503" max="10503" width="10" style="559"/>
    <col min="10504" max="10504" width="15.75" style="559" customWidth="1"/>
    <col min="10505" max="10505" width="10" style="559"/>
    <col min="10506" max="10506" width="17.875" style="559" customWidth="1"/>
    <col min="10507" max="10754" width="10" style="559"/>
    <col min="10755" max="10755" width="23.25" style="559" customWidth="1"/>
    <col min="10756" max="10756" width="10" style="559"/>
    <col min="10757" max="10757" width="17.875" style="559" customWidth="1"/>
    <col min="10758" max="10758" width="2.125" style="559" customWidth="1"/>
    <col min="10759" max="10759" width="10" style="559"/>
    <col min="10760" max="10760" width="15.75" style="559" customWidth="1"/>
    <col min="10761" max="10761" width="10" style="559"/>
    <col min="10762" max="10762" width="17.875" style="559" customWidth="1"/>
    <col min="10763" max="11010" width="10" style="559"/>
    <col min="11011" max="11011" width="23.25" style="559" customWidth="1"/>
    <col min="11012" max="11012" width="10" style="559"/>
    <col min="11013" max="11013" width="17.875" style="559" customWidth="1"/>
    <col min="11014" max="11014" width="2.125" style="559" customWidth="1"/>
    <col min="11015" max="11015" width="10" style="559"/>
    <col min="11016" max="11016" width="15.75" style="559" customWidth="1"/>
    <col min="11017" max="11017" width="10" style="559"/>
    <col min="11018" max="11018" width="17.875" style="559" customWidth="1"/>
    <col min="11019" max="11266" width="10" style="559"/>
    <col min="11267" max="11267" width="23.25" style="559" customWidth="1"/>
    <col min="11268" max="11268" width="10" style="559"/>
    <col min="11269" max="11269" width="17.875" style="559" customWidth="1"/>
    <col min="11270" max="11270" width="2.125" style="559" customWidth="1"/>
    <col min="11271" max="11271" width="10" style="559"/>
    <col min="11272" max="11272" width="15.75" style="559" customWidth="1"/>
    <col min="11273" max="11273" width="10" style="559"/>
    <col min="11274" max="11274" width="17.875" style="559" customWidth="1"/>
    <col min="11275" max="11522" width="10" style="559"/>
    <col min="11523" max="11523" width="23.25" style="559" customWidth="1"/>
    <col min="11524" max="11524" width="10" style="559"/>
    <col min="11525" max="11525" width="17.875" style="559" customWidth="1"/>
    <col min="11526" max="11526" width="2.125" style="559" customWidth="1"/>
    <col min="11527" max="11527" width="10" style="559"/>
    <col min="11528" max="11528" width="15.75" style="559" customWidth="1"/>
    <col min="11529" max="11529" width="10" style="559"/>
    <col min="11530" max="11530" width="17.875" style="559" customWidth="1"/>
    <col min="11531" max="11778" width="10" style="559"/>
    <col min="11779" max="11779" width="23.25" style="559" customWidth="1"/>
    <col min="11780" max="11780" width="10" style="559"/>
    <col min="11781" max="11781" width="17.875" style="559" customWidth="1"/>
    <col min="11782" max="11782" width="2.125" style="559" customWidth="1"/>
    <col min="11783" max="11783" width="10" style="559"/>
    <col min="11784" max="11784" width="15.75" style="559" customWidth="1"/>
    <col min="11785" max="11785" width="10" style="559"/>
    <col min="11786" max="11786" width="17.875" style="559" customWidth="1"/>
    <col min="11787" max="12034" width="10" style="559"/>
    <col min="12035" max="12035" width="23.25" style="559" customWidth="1"/>
    <col min="12036" max="12036" width="10" style="559"/>
    <col min="12037" max="12037" width="17.875" style="559" customWidth="1"/>
    <col min="12038" max="12038" width="2.125" style="559" customWidth="1"/>
    <col min="12039" max="12039" width="10" style="559"/>
    <col min="12040" max="12040" width="15.75" style="559" customWidth="1"/>
    <col min="12041" max="12041" width="10" style="559"/>
    <col min="12042" max="12042" width="17.875" style="559" customWidth="1"/>
    <col min="12043" max="12290" width="10" style="559"/>
    <col min="12291" max="12291" width="23.25" style="559" customWidth="1"/>
    <col min="12292" max="12292" width="10" style="559"/>
    <col min="12293" max="12293" width="17.875" style="559" customWidth="1"/>
    <col min="12294" max="12294" width="2.125" style="559" customWidth="1"/>
    <col min="12295" max="12295" width="10" style="559"/>
    <col min="12296" max="12296" width="15.75" style="559" customWidth="1"/>
    <col min="12297" max="12297" width="10" style="559"/>
    <col min="12298" max="12298" width="17.875" style="559" customWidth="1"/>
    <col min="12299" max="12546" width="10" style="559"/>
    <col min="12547" max="12547" width="23.25" style="559" customWidth="1"/>
    <col min="12548" max="12548" width="10" style="559"/>
    <col min="12549" max="12549" width="17.875" style="559" customWidth="1"/>
    <col min="12550" max="12550" width="2.125" style="559" customWidth="1"/>
    <col min="12551" max="12551" width="10" style="559"/>
    <col min="12552" max="12552" width="15.75" style="559" customWidth="1"/>
    <col min="12553" max="12553" width="10" style="559"/>
    <col min="12554" max="12554" width="17.875" style="559" customWidth="1"/>
    <col min="12555" max="12802" width="10" style="559"/>
    <col min="12803" max="12803" width="23.25" style="559" customWidth="1"/>
    <col min="12804" max="12804" width="10" style="559"/>
    <col min="12805" max="12805" width="17.875" style="559" customWidth="1"/>
    <col min="12806" max="12806" width="2.125" style="559" customWidth="1"/>
    <col min="12807" max="12807" width="10" style="559"/>
    <col min="12808" max="12808" width="15.75" style="559" customWidth="1"/>
    <col min="12809" max="12809" width="10" style="559"/>
    <col min="12810" max="12810" width="17.875" style="559" customWidth="1"/>
    <col min="12811" max="13058" width="10" style="559"/>
    <col min="13059" max="13059" width="23.25" style="559" customWidth="1"/>
    <col min="13060" max="13060" width="10" style="559"/>
    <col min="13061" max="13061" width="17.875" style="559" customWidth="1"/>
    <col min="13062" max="13062" width="2.125" style="559" customWidth="1"/>
    <col min="13063" max="13063" width="10" style="559"/>
    <col min="13064" max="13064" width="15.75" style="559" customWidth="1"/>
    <col min="13065" max="13065" width="10" style="559"/>
    <col min="13066" max="13066" width="17.875" style="559" customWidth="1"/>
    <col min="13067" max="13314" width="10" style="559"/>
    <col min="13315" max="13315" width="23.25" style="559" customWidth="1"/>
    <col min="13316" max="13316" width="10" style="559"/>
    <col min="13317" max="13317" width="17.875" style="559" customWidth="1"/>
    <col min="13318" max="13318" width="2.125" style="559" customWidth="1"/>
    <col min="13319" max="13319" width="10" style="559"/>
    <col min="13320" max="13320" width="15.75" style="559" customWidth="1"/>
    <col min="13321" max="13321" width="10" style="559"/>
    <col min="13322" max="13322" width="17.875" style="559" customWidth="1"/>
    <col min="13323" max="13570" width="10" style="559"/>
    <col min="13571" max="13571" width="23.25" style="559" customWidth="1"/>
    <col min="13572" max="13572" width="10" style="559"/>
    <col min="13573" max="13573" width="17.875" style="559" customWidth="1"/>
    <col min="13574" max="13574" width="2.125" style="559" customWidth="1"/>
    <col min="13575" max="13575" width="10" style="559"/>
    <col min="13576" max="13576" width="15.75" style="559" customWidth="1"/>
    <col min="13577" max="13577" width="10" style="559"/>
    <col min="13578" max="13578" width="17.875" style="559" customWidth="1"/>
    <col min="13579" max="13826" width="10" style="559"/>
    <col min="13827" max="13827" width="23.25" style="559" customWidth="1"/>
    <col min="13828" max="13828" width="10" style="559"/>
    <col min="13829" max="13829" width="17.875" style="559" customWidth="1"/>
    <col min="13830" max="13830" width="2.125" style="559" customWidth="1"/>
    <col min="13831" max="13831" width="10" style="559"/>
    <col min="13832" max="13832" width="15.75" style="559" customWidth="1"/>
    <col min="13833" max="13833" width="10" style="559"/>
    <col min="13834" max="13834" width="17.875" style="559" customWidth="1"/>
    <col min="13835" max="14082" width="10" style="559"/>
    <col min="14083" max="14083" width="23.25" style="559" customWidth="1"/>
    <col min="14084" max="14084" width="10" style="559"/>
    <col min="14085" max="14085" width="17.875" style="559" customWidth="1"/>
    <col min="14086" max="14086" width="2.125" style="559" customWidth="1"/>
    <col min="14087" max="14087" width="10" style="559"/>
    <col min="14088" max="14088" width="15.75" style="559" customWidth="1"/>
    <col min="14089" max="14089" width="10" style="559"/>
    <col min="14090" max="14090" width="17.875" style="559" customWidth="1"/>
    <col min="14091" max="14338" width="10" style="559"/>
    <col min="14339" max="14339" width="23.25" style="559" customWidth="1"/>
    <col min="14340" max="14340" width="10" style="559"/>
    <col min="14341" max="14341" width="17.875" style="559" customWidth="1"/>
    <col min="14342" max="14342" width="2.125" style="559" customWidth="1"/>
    <col min="14343" max="14343" width="10" style="559"/>
    <col min="14344" max="14344" width="15.75" style="559" customWidth="1"/>
    <col min="14345" max="14345" width="10" style="559"/>
    <col min="14346" max="14346" width="17.875" style="559" customWidth="1"/>
    <col min="14347" max="14594" width="10" style="559"/>
    <col min="14595" max="14595" width="23.25" style="559" customWidth="1"/>
    <col min="14596" max="14596" width="10" style="559"/>
    <col min="14597" max="14597" width="17.875" style="559" customWidth="1"/>
    <col min="14598" max="14598" width="2.125" style="559" customWidth="1"/>
    <col min="14599" max="14599" width="10" style="559"/>
    <col min="14600" max="14600" width="15.75" style="559" customWidth="1"/>
    <col min="14601" max="14601" width="10" style="559"/>
    <col min="14602" max="14602" width="17.875" style="559" customWidth="1"/>
    <col min="14603" max="14850" width="10" style="559"/>
    <col min="14851" max="14851" width="23.25" style="559" customWidth="1"/>
    <col min="14852" max="14852" width="10" style="559"/>
    <col min="14853" max="14853" width="17.875" style="559" customWidth="1"/>
    <col min="14854" max="14854" width="2.125" style="559" customWidth="1"/>
    <col min="14855" max="14855" width="10" style="559"/>
    <col min="14856" max="14856" width="15.75" style="559" customWidth="1"/>
    <col min="14857" max="14857" width="10" style="559"/>
    <col min="14858" max="14858" width="17.875" style="559" customWidth="1"/>
    <col min="14859" max="15106" width="10" style="559"/>
    <col min="15107" max="15107" width="23.25" style="559" customWidth="1"/>
    <col min="15108" max="15108" width="10" style="559"/>
    <col min="15109" max="15109" width="17.875" style="559" customWidth="1"/>
    <col min="15110" max="15110" width="2.125" style="559" customWidth="1"/>
    <col min="15111" max="15111" width="10" style="559"/>
    <col min="15112" max="15112" width="15.75" style="559" customWidth="1"/>
    <col min="15113" max="15113" width="10" style="559"/>
    <col min="15114" max="15114" width="17.875" style="559" customWidth="1"/>
    <col min="15115" max="15362" width="10" style="559"/>
    <col min="15363" max="15363" width="23.25" style="559" customWidth="1"/>
    <col min="15364" max="15364" width="10" style="559"/>
    <col min="15365" max="15365" width="17.875" style="559" customWidth="1"/>
    <col min="15366" max="15366" width="2.125" style="559" customWidth="1"/>
    <col min="15367" max="15367" width="10" style="559"/>
    <col min="15368" max="15368" width="15.75" style="559" customWidth="1"/>
    <col min="15369" max="15369" width="10" style="559"/>
    <col min="15370" max="15370" width="17.875" style="559" customWidth="1"/>
    <col min="15371" max="15618" width="10" style="559"/>
    <col min="15619" max="15619" width="23.25" style="559" customWidth="1"/>
    <col min="15620" max="15620" width="10" style="559"/>
    <col min="15621" max="15621" width="17.875" style="559" customWidth="1"/>
    <col min="15622" max="15622" width="2.125" style="559" customWidth="1"/>
    <col min="15623" max="15623" width="10" style="559"/>
    <col min="15624" max="15624" width="15.75" style="559" customWidth="1"/>
    <col min="15625" max="15625" width="10" style="559"/>
    <col min="15626" max="15626" width="17.875" style="559" customWidth="1"/>
    <col min="15627" max="15874" width="10" style="559"/>
    <col min="15875" max="15875" width="23.25" style="559" customWidth="1"/>
    <col min="15876" max="15876" width="10" style="559"/>
    <col min="15877" max="15877" width="17.875" style="559" customWidth="1"/>
    <col min="15878" max="15878" width="2.125" style="559" customWidth="1"/>
    <col min="15879" max="15879" width="10" style="559"/>
    <col min="15880" max="15880" width="15.75" style="559" customWidth="1"/>
    <col min="15881" max="15881" width="10" style="559"/>
    <col min="15882" max="15882" width="17.875" style="559" customWidth="1"/>
    <col min="15883" max="16130" width="10" style="559"/>
    <col min="16131" max="16131" width="23.25" style="559" customWidth="1"/>
    <col min="16132" max="16132" width="10" style="559"/>
    <col min="16133" max="16133" width="17.875" style="559" customWidth="1"/>
    <col min="16134" max="16134" width="2.125" style="559" customWidth="1"/>
    <col min="16135" max="16135" width="10" style="559"/>
    <col min="16136" max="16136" width="15.75" style="559" customWidth="1"/>
    <col min="16137" max="16137" width="10" style="559"/>
    <col min="16138" max="16138" width="17.875" style="559" customWidth="1"/>
    <col min="16139" max="16384" width="10" style="559"/>
  </cols>
  <sheetData>
    <row r="1" spans="1:10" ht="21">
      <c r="B1" s="560" t="s">
        <v>508</v>
      </c>
      <c r="C1" s="561"/>
      <c r="D1" s="562"/>
      <c r="E1" s="561"/>
      <c r="F1" s="562"/>
      <c r="G1" s="562"/>
      <c r="H1" s="561"/>
      <c r="I1" s="562"/>
      <c r="J1" s="561"/>
    </row>
    <row r="2" spans="1:10">
      <c r="B2" s="562"/>
      <c r="C2" s="561"/>
      <c r="D2" s="562"/>
      <c r="E2" s="561"/>
      <c r="F2" s="562"/>
      <c r="G2" s="562"/>
      <c r="H2" s="561"/>
      <c r="I2" s="562"/>
      <c r="J2" s="561"/>
    </row>
    <row r="3" spans="1:10">
      <c r="A3" s="563"/>
      <c r="B3" s="563" t="s">
        <v>472</v>
      </c>
      <c r="G3" s="563" t="s">
        <v>417</v>
      </c>
    </row>
    <row r="4" spans="1:10">
      <c r="B4" s="565" t="s">
        <v>98</v>
      </c>
      <c r="C4" s="566" t="s">
        <v>99</v>
      </c>
      <c r="D4" s="565" t="s">
        <v>100</v>
      </c>
      <c r="E4" s="566" t="s">
        <v>101</v>
      </c>
      <c r="F4" s="567"/>
      <c r="G4" s="565" t="s">
        <v>98</v>
      </c>
      <c r="H4" s="566" t="s">
        <v>99</v>
      </c>
      <c r="I4" s="565" t="s">
        <v>100</v>
      </c>
      <c r="J4" s="566" t="s">
        <v>101</v>
      </c>
    </row>
    <row r="5" spans="1:10">
      <c r="A5" s="559">
        <v>1</v>
      </c>
      <c r="B5" s="568" t="s">
        <v>457</v>
      </c>
      <c r="C5" s="569">
        <v>403406</v>
      </c>
      <c r="D5" s="568" t="s">
        <v>239</v>
      </c>
      <c r="E5" s="570">
        <v>142607</v>
      </c>
      <c r="G5" s="568" t="s">
        <v>458</v>
      </c>
      <c r="H5" s="570">
        <v>300312</v>
      </c>
      <c r="I5" s="571" t="s">
        <v>239</v>
      </c>
      <c r="J5" s="570">
        <v>200989</v>
      </c>
    </row>
    <row r="6" spans="1:10">
      <c r="A6" s="559">
        <v>2</v>
      </c>
      <c r="B6" s="568" t="s">
        <v>245</v>
      </c>
      <c r="C6" s="569">
        <v>143018</v>
      </c>
      <c r="D6" s="571" t="s">
        <v>511</v>
      </c>
      <c r="E6" s="570">
        <v>31865</v>
      </c>
      <c r="G6" s="568" t="s">
        <v>11</v>
      </c>
      <c r="H6" s="570">
        <v>103436</v>
      </c>
      <c r="I6" s="571" t="s">
        <v>246</v>
      </c>
      <c r="J6" s="570">
        <v>9529</v>
      </c>
    </row>
    <row r="7" spans="1:10">
      <c r="A7" s="559">
        <v>3</v>
      </c>
      <c r="B7" s="568" t="s">
        <v>239</v>
      </c>
      <c r="C7" s="569">
        <v>70852</v>
      </c>
      <c r="D7" s="571" t="s">
        <v>512</v>
      </c>
      <c r="E7" s="570">
        <v>8872</v>
      </c>
      <c r="G7" s="568" t="s">
        <v>457</v>
      </c>
      <c r="H7" s="570">
        <v>65885</v>
      </c>
      <c r="I7" s="571" t="s">
        <v>515</v>
      </c>
      <c r="J7" s="570">
        <v>31</v>
      </c>
    </row>
    <row r="8" spans="1:10">
      <c r="A8" s="559">
        <v>4</v>
      </c>
      <c r="B8" s="568" t="s">
        <v>257</v>
      </c>
      <c r="C8" s="569">
        <v>69604</v>
      </c>
      <c r="D8" s="571" t="s">
        <v>513</v>
      </c>
      <c r="E8" s="570">
        <v>4624</v>
      </c>
      <c r="G8" s="568" t="s">
        <v>246</v>
      </c>
      <c r="H8" s="570">
        <v>60636</v>
      </c>
      <c r="I8" s="571"/>
      <c r="J8" s="570"/>
    </row>
    <row r="9" spans="1:10">
      <c r="A9" s="559">
        <v>5</v>
      </c>
      <c r="B9" s="568" t="s">
        <v>386</v>
      </c>
      <c r="C9" s="569">
        <v>54608</v>
      </c>
      <c r="D9" s="571" t="s">
        <v>514</v>
      </c>
      <c r="E9" s="570">
        <v>1155</v>
      </c>
      <c r="G9" s="568" t="s">
        <v>253</v>
      </c>
      <c r="H9" s="570">
        <v>59419</v>
      </c>
      <c r="I9" s="568"/>
      <c r="J9" s="570"/>
    </row>
    <row r="10" spans="1:10">
      <c r="A10" s="559">
        <v>6</v>
      </c>
      <c r="B10" s="568" t="s">
        <v>458</v>
      </c>
      <c r="C10" s="569">
        <v>41487</v>
      </c>
      <c r="D10" s="571"/>
      <c r="E10" s="570"/>
      <c r="G10" s="568" t="s">
        <v>516</v>
      </c>
      <c r="H10" s="570">
        <v>54858</v>
      </c>
      <c r="I10" s="568"/>
      <c r="J10" s="570"/>
    </row>
    <row r="11" spans="1:10">
      <c r="A11" s="559">
        <v>7</v>
      </c>
      <c r="B11" s="568" t="s">
        <v>384</v>
      </c>
      <c r="C11" s="569">
        <v>36989</v>
      </c>
      <c r="D11" s="571"/>
      <c r="E11" s="570"/>
      <c r="G11" s="568" t="s">
        <v>247</v>
      </c>
      <c r="H11" s="570">
        <v>42549</v>
      </c>
      <c r="I11" s="568"/>
      <c r="J11" s="570"/>
    </row>
    <row r="12" spans="1:10">
      <c r="A12" s="559">
        <v>8</v>
      </c>
      <c r="B12" s="568" t="s">
        <v>232</v>
      </c>
      <c r="C12" s="569">
        <v>24898</v>
      </c>
      <c r="D12" s="568"/>
      <c r="E12" s="570"/>
      <c r="G12" s="568" t="s">
        <v>384</v>
      </c>
      <c r="H12" s="570">
        <v>38270</v>
      </c>
      <c r="I12" s="568"/>
      <c r="J12" s="570"/>
    </row>
    <row r="13" spans="1:10">
      <c r="A13" s="559">
        <v>9</v>
      </c>
      <c r="B13" s="568" t="s">
        <v>6</v>
      </c>
      <c r="C13" s="569">
        <v>14495</v>
      </c>
      <c r="D13" s="568"/>
      <c r="E13" s="570"/>
      <c r="G13" s="568" t="s">
        <v>245</v>
      </c>
      <c r="H13" s="570">
        <v>37113</v>
      </c>
      <c r="I13" s="568"/>
      <c r="J13" s="570"/>
    </row>
    <row r="14" spans="1:10">
      <c r="A14" s="559">
        <v>10</v>
      </c>
      <c r="B14" s="568" t="s">
        <v>460</v>
      </c>
      <c r="C14" s="569">
        <v>11716</v>
      </c>
      <c r="D14" s="568"/>
      <c r="E14" s="570"/>
      <c r="G14" s="572" t="s">
        <v>517</v>
      </c>
      <c r="H14" s="570">
        <v>23586</v>
      </c>
      <c r="I14" s="568"/>
      <c r="J14" s="570"/>
    </row>
    <row r="15" spans="1:10">
      <c r="B15" s="568" t="s">
        <v>102</v>
      </c>
      <c r="C15" s="570">
        <f>C16-SUM(C5:C14)</f>
        <v>13246</v>
      </c>
      <c r="D15" s="568" t="s">
        <v>102</v>
      </c>
      <c r="E15" s="570">
        <f>E16-SUM(E5:E14)</f>
        <v>0</v>
      </c>
      <c r="G15" s="568" t="s">
        <v>102</v>
      </c>
      <c r="H15" s="570">
        <f>H16-SUM(H5:H14)</f>
        <v>47796</v>
      </c>
      <c r="I15" s="568" t="s">
        <v>102</v>
      </c>
      <c r="J15" s="570">
        <f>J16-SUM(J5:J14)</f>
        <v>0</v>
      </c>
    </row>
    <row r="16" spans="1:10">
      <c r="B16" s="568" t="s">
        <v>103</v>
      </c>
      <c r="C16" s="570">
        <v>884319</v>
      </c>
      <c r="D16" s="568" t="s">
        <v>103</v>
      </c>
      <c r="E16" s="570">
        <v>189123</v>
      </c>
      <c r="G16" s="568" t="s">
        <v>103</v>
      </c>
      <c r="H16" s="570">
        <v>833860</v>
      </c>
      <c r="I16" s="568" t="s">
        <v>103</v>
      </c>
      <c r="J16" s="570">
        <v>210549</v>
      </c>
    </row>
    <row r="18" spans="1:10">
      <c r="B18" s="563" t="s">
        <v>419</v>
      </c>
      <c r="G18" s="573" t="s">
        <v>420</v>
      </c>
    </row>
    <row r="19" spans="1:10">
      <c r="B19" s="565" t="s">
        <v>98</v>
      </c>
      <c r="C19" s="566" t="s">
        <v>99</v>
      </c>
      <c r="D19" s="565" t="s">
        <v>100</v>
      </c>
      <c r="E19" s="566" t="s">
        <v>101</v>
      </c>
      <c r="G19" s="565" t="s">
        <v>98</v>
      </c>
      <c r="H19" s="566" t="s">
        <v>99</v>
      </c>
      <c r="I19" s="565" t="s">
        <v>100</v>
      </c>
      <c r="J19" s="566" t="s">
        <v>101</v>
      </c>
    </row>
    <row r="20" spans="1:10">
      <c r="A20" s="559">
        <v>1</v>
      </c>
      <c r="B20" s="574" t="s">
        <v>246</v>
      </c>
      <c r="C20" s="570">
        <v>11469878</v>
      </c>
      <c r="D20" s="568" t="s">
        <v>239</v>
      </c>
      <c r="E20" s="570">
        <v>19737777</v>
      </c>
      <c r="G20" s="568" t="s">
        <v>256</v>
      </c>
      <c r="H20" s="570">
        <v>1235208</v>
      </c>
      <c r="I20" s="568" t="s">
        <v>239</v>
      </c>
      <c r="J20" s="570">
        <v>5032108</v>
      </c>
    </row>
    <row r="21" spans="1:10">
      <c r="A21" s="559">
        <v>2</v>
      </c>
      <c r="B21" s="574" t="s">
        <v>245</v>
      </c>
      <c r="C21" s="570">
        <v>4666200</v>
      </c>
      <c r="D21" s="568" t="s">
        <v>461</v>
      </c>
      <c r="E21" s="570">
        <v>3579788</v>
      </c>
      <c r="G21" s="568" t="s">
        <v>245</v>
      </c>
      <c r="H21" s="570">
        <v>545956</v>
      </c>
      <c r="I21" s="568" t="s">
        <v>461</v>
      </c>
      <c r="J21" s="570">
        <v>232022</v>
      </c>
    </row>
    <row r="22" spans="1:10">
      <c r="A22" s="559">
        <v>3</v>
      </c>
      <c r="B22" s="574" t="s">
        <v>239</v>
      </c>
      <c r="C22" s="570">
        <v>4396498</v>
      </c>
      <c r="D22" s="568" t="s">
        <v>456</v>
      </c>
      <c r="E22" s="570">
        <v>1396274</v>
      </c>
      <c r="G22" s="568" t="s">
        <v>12</v>
      </c>
      <c r="H22" s="570">
        <v>401000</v>
      </c>
      <c r="I22" s="568" t="s">
        <v>256</v>
      </c>
      <c r="J22" s="570">
        <v>229616</v>
      </c>
    </row>
    <row r="23" spans="1:10">
      <c r="A23" s="559">
        <v>4</v>
      </c>
      <c r="B23" s="574" t="s">
        <v>457</v>
      </c>
      <c r="C23" s="570">
        <v>3706307</v>
      </c>
      <c r="D23" s="568" t="s">
        <v>460</v>
      </c>
      <c r="E23" s="570">
        <v>720649</v>
      </c>
      <c r="G23" s="568" t="s">
        <v>10</v>
      </c>
      <c r="H23" s="570">
        <v>254545</v>
      </c>
      <c r="I23" s="568" t="s">
        <v>246</v>
      </c>
      <c r="J23" s="570">
        <v>27054</v>
      </c>
    </row>
    <row r="24" spans="1:10">
      <c r="A24" s="559">
        <v>5</v>
      </c>
      <c r="B24" s="574" t="s">
        <v>10</v>
      </c>
      <c r="C24" s="570">
        <v>1962575</v>
      </c>
      <c r="D24" s="568" t="s">
        <v>462</v>
      </c>
      <c r="E24" s="570">
        <v>196938</v>
      </c>
      <c r="G24" s="568" t="s">
        <v>9</v>
      </c>
      <c r="H24" s="570">
        <v>223836</v>
      </c>
      <c r="I24" s="568" t="s">
        <v>456</v>
      </c>
      <c r="J24" s="570">
        <v>12809</v>
      </c>
    </row>
    <row r="25" spans="1:10">
      <c r="A25" s="559">
        <v>6</v>
      </c>
      <c r="B25" s="574" t="s">
        <v>9</v>
      </c>
      <c r="C25" s="570">
        <v>1867418</v>
      </c>
      <c r="D25" s="568" t="s">
        <v>10</v>
      </c>
      <c r="E25" s="570">
        <v>93815</v>
      </c>
      <c r="G25" s="568" t="s">
        <v>246</v>
      </c>
      <c r="H25" s="570">
        <v>218368</v>
      </c>
      <c r="I25" s="568" t="s">
        <v>462</v>
      </c>
      <c r="J25" s="570">
        <v>8435</v>
      </c>
    </row>
    <row r="26" spans="1:10">
      <c r="A26" s="559">
        <v>7</v>
      </c>
      <c r="B26" s="574" t="s">
        <v>258</v>
      </c>
      <c r="C26" s="570">
        <v>1862230</v>
      </c>
      <c r="D26" s="568" t="s">
        <v>457</v>
      </c>
      <c r="E26" s="570">
        <v>9404</v>
      </c>
      <c r="G26" s="568" t="s">
        <v>239</v>
      </c>
      <c r="H26" s="570">
        <v>179226</v>
      </c>
      <c r="I26" s="568" t="s">
        <v>247</v>
      </c>
      <c r="J26" s="570">
        <v>5060</v>
      </c>
    </row>
    <row r="27" spans="1:10">
      <c r="A27" s="559">
        <v>8</v>
      </c>
      <c r="B27" s="574" t="s">
        <v>15</v>
      </c>
      <c r="C27" s="570">
        <v>1462668</v>
      </c>
      <c r="D27" s="568" t="s">
        <v>463</v>
      </c>
      <c r="E27" s="570">
        <v>6123</v>
      </c>
      <c r="G27" s="568" t="s">
        <v>457</v>
      </c>
      <c r="H27" s="570">
        <v>162105</v>
      </c>
      <c r="I27" s="568" t="s">
        <v>457</v>
      </c>
      <c r="J27" s="570">
        <v>4811</v>
      </c>
    </row>
    <row r="28" spans="1:10">
      <c r="A28" s="559">
        <v>9</v>
      </c>
      <c r="B28" s="574" t="s">
        <v>297</v>
      </c>
      <c r="C28" s="570">
        <v>1270259</v>
      </c>
      <c r="D28" s="568" t="s">
        <v>386</v>
      </c>
      <c r="E28" s="570">
        <v>4811</v>
      </c>
      <c r="G28" s="568" t="s">
        <v>465</v>
      </c>
      <c r="H28" s="570">
        <v>92441</v>
      </c>
      <c r="I28" s="568" t="s">
        <v>10</v>
      </c>
      <c r="J28" s="570">
        <v>2905</v>
      </c>
    </row>
    <row r="29" spans="1:10">
      <c r="A29" s="559">
        <v>10</v>
      </c>
      <c r="B29" s="574" t="s">
        <v>261</v>
      </c>
      <c r="C29" s="570">
        <v>1150734</v>
      </c>
      <c r="D29" s="568" t="s">
        <v>384</v>
      </c>
      <c r="E29" s="570">
        <v>3226</v>
      </c>
      <c r="G29" s="568" t="s">
        <v>461</v>
      </c>
      <c r="H29" s="570">
        <v>68290</v>
      </c>
      <c r="I29" s="568" t="s">
        <v>336</v>
      </c>
      <c r="J29" s="570">
        <v>2405</v>
      </c>
    </row>
    <row r="30" spans="1:10">
      <c r="B30" s="568" t="s">
        <v>102</v>
      </c>
      <c r="C30" s="570">
        <f>C31-SUM(C20:C29)</f>
        <v>9832426</v>
      </c>
      <c r="D30" s="568" t="s">
        <v>421</v>
      </c>
      <c r="E30" s="570">
        <f>E31-SUM(E20:E29)</f>
        <v>2430</v>
      </c>
      <c r="G30" s="568" t="s">
        <v>418</v>
      </c>
      <c r="H30" s="570">
        <f>H31-SUM(H20:H29)</f>
        <v>371381</v>
      </c>
      <c r="I30" s="568" t="s">
        <v>102</v>
      </c>
      <c r="J30" s="570">
        <f>J31-SUM(J20:J29)</f>
        <v>2218</v>
      </c>
    </row>
    <row r="31" spans="1:10">
      <c r="B31" s="568" t="s">
        <v>103</v>
      </c>
      <c r="C31" s="570">
        <v>43647193</v>
      </c>
      <c r="D31" s="568" t="s">
        <v>103</v>
      </c>
      <c r="E31" s="570">
        <v>25751235</v>
      </c>
      <c r="G31" s="568" t="s">
        <v>103</v>
      </c>
      <c r="H31" s="570">
        <v>3752356</v>
      </c>
      <c r="I31" s="568" t="s">
        <v>103</v>
      </c>
      <c r="J31" s="570">
        <v>5559443</v>
      </c>
    </row>
    <row r="32" spans="1:10">
      <c r="B32" s="575"/>
      <c r="D32" s="575"/>
      <c r="G32" s="575"/>
      <c r="I32" s="575"/>
    </row>
    <row r="33" spans="1:10">
      <c r="B33" s="573" t="s">
        <v>422</v>
      </c>
      <c r="D33" s="575"/>
      <c r="G33" s="573" t="s">
        <v>423</v>
      </c>
      <c r="I33" s="575"/>
    </row>
    <row r="34" spans="1:10">
      <c r="B34" s="568" t="s">
        <v>98</v>
      </c>
      <c r="C34" s="570" t="s">
        <v>99</v>
      </c>
      <c r="D34" s="568" t="s">
        <v>100</v>
      </c>
      <c r="E34" s="566" t="s">
        <v>101</v>
      </c>
      <c r="G34" s="568" t="s">
        <v>98</v>
      </c>
      <c r="H34" s="570" t="s">
        <v>99</v>
      </c>
      <c r="I34" s="568" t="s">
        <v>100</v>
      </c>
      <c r="J34" s="566" t="s">
        <v>101</v>
      </c>
    </row>
    <row r="35" spans="1:10">
      <c r="A35" s="559">
        <v>1</v>
      </c>
      <c r="B35" s="568" t="s">
        <v>239</v>
      </c>
      <c r="C35" s="570">
        <v>1118899</v>
      </c>
      <c r="D35" s="568" t="s">
        <v>459</v>
      </c>
      <c r="E35" s="570">
        <v>586844</v>
      </c>
      <c r="G35" s="568" t="s">
        <v>239</v>
      </c>
      <c r="H35" s="570">
        <v>2324368</v>
      </c>
      <c r="I35" s="568" t="s">
        <v>239</v>
      </c>
      <c r="J35" s="570">
        <v>211432</v>
      </c>
    </row>
    <row r="36" spans="1:10">
      <c r="A36" s="559">
        <v>2</v>
      </c>
      <c r="B36" s="568" t="s">
        <v>246</v>
      </c>
      <c r="C36" s="570">
        <v>111339</v>
      </c>
      <c r="D36" s="568" t="s">
        <v>239</v>
      </c>
      <c r="E36" s="570">
        <v>344391</v>
      </c>
      <c r="G36" s="568" t="s">
        <v>245</v>
      </c>
      <c r="H36" s="570">
        <v>1277913</v>
      </c>
      <c r="I36" s="568" t="s">
        <v>456</v>
      </c>
      <c r="J36" s="570">
        <v>164449</v>
      </c>
    </row>
    <row r="37" spans="1:10">
      <c r="A37" s="559">
        <v>3</v>
      </c>
      <c r="B37" s="568" t="s">
        <v>457</v>
      </c>
      <c r="C37" s="570">
        <v>74227</v>
      </c>
      <c r="D37" s="568" t="s">
        <v>11</v>
      </c>
      <c r="E37" s="570">
        <v>96157</v>
      </c>
      <c r="G37" s="568" t="s">
        <v>457</v>
      </c>
      <c r="H37" s="570">
        <v>1006715</v>
      </c>
      <c r="I37" s="568" t="s">
        <v>384</v>
      </c>
      <c r="J37" s="570">
        <v>60418</v>
      </c>
    </row>
    <row r="38" spans="1:10">
      <c r="A38" s="559">
        <v>4</v>
      </c>
      <c r="B38" s="568" t="s">
        <v>297</v>
      </c>
      <c r="C38" s="570">
        <v>69447</v>
      </c>
      <c r="D38" s="568" t="s">
        <v>256</v>
      </c>
      <c r="E38" s="570">
        <v>23774</v>
      </c>
      <c r="G38" s="568" t="s">
        <v>246</v>
      </c>
      <c r="H38" s="570">
        <v>671071</v>
      </c>
      <c r="I38" s="568" t="s">
        <v>15</v>
      </c>
      <c r="J38" s="570">
        <v>29741</v>
      </c>
    </row>
    <row r="39" spans="1:10">
      <c r="A39" s="559">
        <v>5</v>
      </c>
      <c r="B39" s="568" t="s">
        <v>256</v>
      </c>
      <c r="C39" s="570">
        <v>40269</v>
      </c>
      <c r="D39" s="568" t="s">
        <v>457</v>
      </c>
      <c r="E39" s="570">
        <v>5498</v>
      </c>
      <c r="G39" s="568" t="s">
        <v>460</v>
      </c>
      <c r="H39" s="570">
        <v>359606</v>
      </c>
      <c r="I39" s="568" t="s">
        <v>459</v>
      </c>
      <c r="J39" s="570">
        <v>18557</v>
      </c>
    </row>
    <row r="40" spans="1:10">
      <c r="A40" s="559">
        <v>6</v>
      </c>
      <c r="B40" s="568" t="s">
        <v>478</v>
      </c>
      <c r="C40" s="570">
        <v>30491</v>
      </c>
      <c r="D40" s="568" t="s">
        <v>384</v>
      </c>
      <c r="E40" s="570">
        <v>2374</v>
      </c>
      <c r="G40" s="568" t="s">
        <v>458</v>
      </c>
      <c r="H40" s="570">
        <v>332427</v>
      </c>
      <c r="I40" s="568" t="s">
        <v>11</v>
      </c>
      <c r="J40" s="570">
        <v>18182</v>
      </c>
    </row>
    <row r="41" spans="1:10">
      <c r="A41" s="559">
        <v>7</v>
      </c>
      <c r="B41" s="568" t="s">
        <v>460</v>
      </c>
      <c r="C41" s="570">
        <v>20307</v>
      </c>
      <c r="D41" s="568" t="s">
        <v>456</v>
      </c>
      <c r="E41" s="570">
        <v>969</v>
      </c>
      <c r="G41" s="568" t="s">
        <v>386</v>
      </c>
      <c r="H41" s="570">
        <v>259825</v>
      </c>
      <c r="I41" s="568" t="s">
        <v>457</v>
      </c>
      <c r="J41" s="570">
        <v>15058</v>
      </c>
    </row>
    <row r="42" spans="1:10">
      <c r="A42" s="559">
        <v>8</v>
      </c>
      <c r="B42" s="568" t="s">
        <v>466</v>
      </c>
      <c r="C42" s="570">
        <v>17401</v>
      </c>
      <c r="D42" s="568" t="s">
        <v>246</v>
      </c>
      <c r="E42" s="570">
        <v>62</v>
      </c>
      <c r="G42" s="568" t="s">
        <v>384</v>
      </c>
      <c r="H42" s="570">
        <v>87722</v>
      </c>
      <c r="I42" s="568" t="s">
        <v>462</v>
      </c>
      <c r="J42" s="570">
        <v>13965</v>
      </c>
    </row>
    <row r="43" spans="1:10">
      <c r="A43" s="559">
        <v>9</v>
      </c>
      <c r="B43" s="568" t="s">
        <v>518</v>
      </c>
      <c r="C43" s="570">
        <v>14589</v>
      </c>
      <c r="D43" s="568" t="s">
        <v>10</v>
      </c>
      <c r="E43" s="570">
        <v>62</v>
      </c>
      <c r="G43" s="568" t="s">
        <v>14</v>
      </c>
      <c r="H43" s="570">
        <v>78288</v>
      </c>
      <c r="I43" s="568" t="s">
        <v>10</v>
      </c>
      <c r="J43" s="570">
        <v>9059</v>
      </c>
    </row>
    <row r="44" spans="1:10">
      <c r="A44" s="559">
        <v>10</v>
      </c>
      <c r="B44" s="568" t="s">
        <v>269</v>
      </c>
      <c r="C44" s="570">
        <v>9122</v>
      </c>
      <c r="D44" s="568"/>
      <c r="E44" s="570"/>
      <c r="G44" s="568" t="s">
        <v>258</v>
      </c>
      <c r="H44" s="570">
        <v>73383</v>
      </c>
      <c r="I44" s="568" t="s">
        <v>246</v>
      </c>
      <c r="J44" s="570">
        <v>6654</v>
      </c>
    </row>
    <row r="45" spans="1:10">
      <c r="B45" s="568" t="s">
        <v>102</v>
      </c>
      <c r="C45" s="570">
        <f>C46-SUM(C34:C44)</f>
        <v>20119</v>
      </c>
      <c r="D45" s="568" t="s">
        <v>424</v>
      </c>
      <c r="E45" s="570">
        <f>E46-SUM(E34:E44)</f>
        <v>0</v>
      </c>
      <c r="G45" s="568" t="s">
        <v>425</v>
      </c>
      <c r="H45" s="570">
        <f>H46-SUM(H34:H44)</f>
        <v>537177</v>
      </c>
      <c r="I45" s="568" t="s">
        <v>426</v>
      </c>
      <c r="J45" s="570">
        <f>J46-SUM(J34:J44)</f>
        <v>2030</v>
      </c>
    </row>
    <row r="46" spans="1:10">
      <c r="B46" s="568" t="s">
        <v>103</v>
      </c>
      <c r="C46" s="570">
        <v>1526210</v>
      </c>
      <c r="D46" s="568" t="s">
        <v>103</v>
      </c>
      <c r="E46" s="570">
        <v>1060131</v>
      </c>
      <c r="G46" s="568" t="s">
        <v>103</v>
      </c>
      <c r="H46" s="570">
        <v>7008495</v>
      </c>
      <c r="I46" s="568" t="s">
        <v>103</v>
      </c>
      <c r="J46" s="570">
        <v>549545</v>
      </c>
    </row>
    <row r="47" spans="1:10">
      <c r="B47" s="575"/>
      <c r="D47" s="575"/>
      <c r="G47" s="575"/>
      <c r="I47" s="575"/>
    </row>
    <row r="48" spans="1:10">
      <c r="B48" s="573" t="s">
        <v>427</v>
      </c>
      <c r="G48" s="576" t="s">
        <v>428</v>
      </c>
    </row>
    <row r="49" spans="1:10">
      <c r="B49" s="565" t="s">
        <v>98</v>
      </c>
      <c r="C49" s="566" t="s">
        <v>99</v>
      </c>
      <c r="D49" s="565" t="s">
        <v>100</v>
      </c>
      <c r="E49" s="566" t="s">
        <v>101</v>
      </c>
      <c r="G49" s="565" t="s">
        <v>98</v>
      </c>
      <c r="H49" s="566" t="s">
        <v>99</v>
      </c>
      <c r="I49" s="565" t="s">
        <v>100</v>
      </c>
      <c r="J49" s="566" t="s">
        <v>101</v>
      </c>
    </row>
    <row r="50" spans="1:10">
      <c r="A50" s="559">
        <v>1</v>
      </c>
      <c r="B50" s="568" t="s">
        <v>256</v>
      </c>
      <c r="C50" s="570">
        <v>870697</v>
      </c>
      <c r="D50" s="568" t="s">
        <v>239</v>
      </c>
      <c r="E50" s="570">
        <v>1248693</v>
      </c>
      <c r="G50" s="571" t="s">
        <v>515</v>
      </c>
      <c r="H50" s="570">
        <v>18088</v>
      </c>
      <c r="I50" s="571" t="s">
        <v>384</v>
      </c>
      <c r="J50" s="570">
        <v>12027</v>
      </c>
    </row>
    <row r="51" spans="1:10">
      <c r="A51" s="559">
        <v>2</v>
      </c>
      <c r="B51" s="568" t="s">
        <v>239</v>
      </c>
      <c r="C51" s="570">
        <v>843331</v>
      </c>
      <c r="D51" s="568" t="s">
        <v>459</v>
      </c>
      <c r="E51" s="570">
        <v>500063</v>
      </c>
      <c r="G51" s="571" t="s">
        <v>519</v>
      </c>
      <c r="H51" s="570">
        <v>4873</v>
      </c>
      <c r="I51" s="571" t="s">
        <v>111</v>
      </c>
      <c r="J51" s="570">
        <v>9060</v>
      </c>
    </row>
    <row r="52" spans="1:10">
      <c r="A52" s="559">
        <v>3</v>
      </c>
      <c r="B52" s="568" t="s">
        <v>457</v>
      </c>
      <c r="C52" s="570">
        <v>308712</v>
      </c>
      <c r="D52" s="568" t="s">
        <v>462</v>
      </c>
      <c r="E52" s="570">
        <v>193127</v>
      </c>
      <c r="G52" s="571" t="s">
        <v>520</v>
      </c>
      <c r="H52" s="570">
        <v>2530</v>
      </c>
      <c r="I52" s="571" t="s">
        <v>523</v>
      </c>
      <c r="J52" s="570">
        <v>312</v>
      </c>
    </row>
    <row r="53" spans="1:10">
      <c r="A53" s="559">
        <v>4</v>
      </c>
      <c r="B53" s="568" t="s">
        <v>461</v>
      </c>
      <c r="C53" s="570">
        <v>204874</v>
      </c>
      <c r="D53" s="568" t="s">
        <v>257</v>
      </c>
      <c r="E53" s="570">
        <v>152077</v>
      </c>
      <c r="G53" s="571" t="s">
        <v>521</v>
      </c>
      <c r="H53" s="570">
        <v>937</v>
      </c>
      <c r="I53" s="571" t="s">
        <v>28</v>
      </c>
      <c r="J53" s="570">
        <v>94</v>
      </c>
    </row>
    <row r="54" spans="1:10">
      <c r="A54" s="559">
        <v>5</v>
      </c>
      <c r="B54" s="568" t="s">
        <v>246</v>
      </c>
      <c r="C54" s="570">
        <v>192471</v>
      </c>
      <c r="D54" s="568" t="s">
        <v>384</v>
      </c>
      <c r="E54" s="570">
        <v>133584</v>
      </c>
      <c r="G54" s="571" t="s">
        <v>522</v>
      </c>
      <c r="H54" s="570">
        <v>469</v>
      </c>
      <c r="I54" s="571"/>
      <c r="J54" s="570"/>
    </row>
    <row r="55" spans="1:10">
      <c r="A55" s="559">
        <v>6</v>
      </c>
      <c r="B55" s="568" t="s">
        <v>245</v>
      </c>
      <c r="C55" s="570">
        <v>145640</v>
      </c>
      <c r="D55" s="568" t="s">
        <v>456</v>
      </c>
      <c r="E55" s="570">
        <v>120272</v>
      </c>
      <c r="G55" s="571"/>
      <c r="H55" s="570"/>
      <c r="I55" s="571"/>
      <c r="J55" s="570"/>
    </row>
    <row r="56" spans="1:10">
      <c r="A56" s="559">
        <v>7</v>
      </c>
      <c r="B56" s="568" t="s">
        <v>247</v>
      </c>
      <c r="C56" s="570">
        <v>83131</v>
      </c>
      <c r="D56" s="568" t="s">
        <v>457</v>
      </c>
      <c r="E56" s="570">
        <v>67854</v>
      </c>
      <c r="G56" s="571"/>
      <c r="H56" s="570"/>
      <c r="I56" s="571"/>
      <c r="J56" s="570"/>
    </row>
    <row r="57" spans="1:10">
      <c r="A57" s="559">
        <v>8</v>
      </c>
      <c r="B57" s="568" t="s">
        <v>460</v>
      </c>
      <c r="C57" s="570">
        <v>73914</v>
      </c>
      <c r="D57" s="568" t="s">
        <v>232</v>
      </c>
      <c r="E57" s="570">
        <v>56170</v>
      </c>
      <c r="G57" s="571"/>
      <c r="H57" s="570"/>
      <c r="I57" s="571"/>
      <c r="J57" s="570"/>
    </row>
    <row r="58" spans="1:10">
      <c r="A58" s="559">
        <v>9</v>
      </c>
      <c r="B58" s="568" t="s">
        <v>465</v>
      </c>
      <c r="C58" s="570">
        <v>51359</v>
      </c>
      <c r="D58" s="568" t="s">
        <v>465</v>
      </c>
      <c r="E58" s="570">
        <v>42767</v>
      </c>
      <c r="G58" s="571"/>
      <c r="H58" s="570"/>
      <c r="I58" s="571"/>
      <c r="J58" s="570"/>
    </row>
    <row r="59" spans="1:10">
      <c r="A59" s="559">
        <v>10</v>
      </c>
      <c r="B59" s="568" t="s">
        <v>12</v>
      </c>
      <c r="C59" s="570">
        <v>40112</v>
      </c>
      <c r="D59" s="568" t="s">
        <v>246</v>
      </c>
      <c r="E59" s="570">
        <v>7279</v>
      </c>
      <c r="G59" s="571"/>
      <c r="H59" s="570"/>
      <c r="I59" s="571"/>
      <c r="J59" s="570"/>
    </row>
    <row r="60" spans="1:10">
      <c r="B60" s="568" t="s">
        <v>429</v>
      </c>
      <c r="C60" s="570">
        <f>C61-SUM(C49:C59)</f>
        <v>283531</v>
      </c>
      <c r="D60" s="568" t="s">
        <v>102</v>
      </c>
      <c r="E60" s="570">
        <f>E61-SUM(E49:E59)</f>
        <v>3280</v>
      </c>
      <c r="G60" s="571" t="s">
        <v>430</v>
      </c>
      <c r="H60" s="570">
        <f>H61-SUM(H49:H59)</f>
        <v>0</v>
      </c>
      <c r="I60" s="568" t="s">
        <v>102</v>
      </c>
      <c r="J60" s="570">
        <f>J61-SUM(J49:J59)</f>
        <v>0</v>
      </c>
    </row>
    <row r="61" spans="1:10">
      <c r="B61" s="568" t="s">
        <v>103</v>
      </c>
      <c r="C61" s="570">
        <v>3097772</v>
      </c>
      <c r="D61" s="568" t="s">
        <v>103</v>
      </c>
      <c r="E61" s="570">
        <v>2525166</v>
      </c>
      <c r="G61" s="568" t="s">
        <v>103</v>
      </c>
      <c r="H61" s="570">
        <v>26897</v>
      </c>
      <c r="I61" s="568" t="s">
        <v>103</v>
      </c>
      <c r="J61" s="570">
        <v>21493</v>
      </c>
    </row>
    <row r="63" spans="1:10">
      <c r="B63" s="563" t="s">
        <v>402</v>
      </c>
      <c r="G63" s="563" t="s">
        <v>431</v>
      </c>
    </row>
    <row r="64" spans="1:10">
      <c r="B64" s="565" t="s">
        <v>98</v>
      </c>
      <c r="C64" s="566" t="s">
        <v>99</v>
      </c>
      <c r="D64" s="565" t="s">
        <v>100</v>
      </c>
      <c r="E64" s="566" t="s">
        <v>101</v>
      </c>
      <c r="G64" s="565" t="s">
        <v>98</v>
      </c>
      <c r="H64" s="566" t="s">
        <v>99</v>
      </c>
      <c r="I64" s="565" t="s">
        <v>100</v>
      </c>
      <c r="J64" s="566" t="s">
        <v>101</v>
      </c>
    </row>
    <row r="65" spans="1:10">
      <c r="A65" s="559">
        <v>1</v>
      </c>
      <c r="B65" s="571" t="s">
        <v>384</v>
      </c>
      <c r="C65" s="570">
        <v>151390</v>
      </c>
      <c r="D65" s="571" t="s">
        <v>511</v>
      </c>
      <c r="E65" s="570">
        <v>50703</v>
      </c>
      <c r="G65" s="568" t="s">
        <v>246</v>
      </c>
      <c r="H65" s="570">
        <v>3440111</v>
      </c>
      <c r="I65" s="568" t="s">
        <v>384</v>
      </c>
      <c r="J65" s="570">
        <v>6346587</v>
      </c>
    </row>
    <row r="66" spans="1:10">
      <c r="A66" s="559">
        <v>2</v>
      </c>
      <c r="B66" s="571" t="s">
        <v>246</v>
      </c>
      <c r="C66" s="570">
        <v>26898</v>
      </c>
      <c r="D66" s="571" t="s">
        <v>524</v>
      </c>
      <c r="E66" s="570">
        <v>30272</v>
      </c>
      <c r="G66" s="568" t="s">
        <v>239</v>
      </c>
      <c r="H66" s="570">
        <v>2973701</v>
      </c>
      <c r="I66" s="568" t="s">
        <v>239</v>
      </c>
      <c r="J66" s="570">
        <v>921283</v>
      </c>
    </row>
    <row r="67" spans="1:10">
      <c r="A67" s="559">
        <v>3</v>
      </c>
      <c r="B67" s="571" t="s">
        <v>466</v>
      </c>
      <c r="C67" s="570">
        <v>23273</v>
      </c>
      <c r="D67" s="571" t="s">
        <v>525</v>
      </c>
      <c r="E67" s="570">
        <v>2968</v>
      </c>
      <c r="G67" s="568" t="s">
        <v>245</v>
      </c>
      <c r="H67" s="570">
        <v>735582</v>
      </c>
      <c r="I67" s="568" t="s">
        <v>462</v>
      </c>
      <c r="J67" s="570">
        <v>318588</v>
      </c>
    </row>
    <row r="68" spans="1:10">
      <c r="A68" s="559">
        <v>4</v>
      </c>
      <c r="B68" s="568" t="s">
        <v>457</v>
      </c>
      <c r="C68" s="570">
        <v>20150</v>
      </c>
      <c r="D68" s="571" t="s">
        <v>526</v>
      </c>
      <c r="E68" s="570">
        <v>2281</v>
      </c>
      <c r="G68" s="568" t="s">
        <v>457</v>
      </c>
      <c r="H68" s="570">
        <v>642015</v>
      </c>
      <c r="I68" s="568" t="s">
        <v>246</v>
      </c>
      <c r="J68" s="570">
        <v>228678</v>
      </c>
    </row>
    <row r="69" spans="1:10">
      <c r="A69" s="559">
        <v>5</v>
      </c>
      <c r="B69" s="568" t="s">
        <v>256</v>
      </c>
      <c r="C69" s="570">
        <v>5998</v>
      </c>
      <c r="D69" s="571" t="s">
        <v>527</v>
      </c>
      <c r="E69" s="570">
        <v>28</v>
      </c>
      <c r="G69" s="568" t="s">
        <v>12</v>
      </c>
      <c r="H69" s="570">
        <v>586537</v>
      </c>
      <c r="I69" s="568" t="s">
        <v>456</v>
      </c>
      <c r="J69" s="570">
        <v>221274</v>
      </c>
    </row>
    <row r="70" spans="1:10">
      <c r="A70" s="559">
        <v>6</v>
      </c>
      <c r="B70" s="568" t="s">
        <v>239</v>
      </c>
      <c r="C70" s="570">
        <v>4624</v>
      </c>
      <c r="D70" s="571"/>
      <c r="E70" s="570"/>
      <c r="G70" s="568" t="s">
        <v>458</v>
      </c>
      <c r="H70" s="570">
        <v>540580</v>
      </c>
      <c r="I70" s="568" t="s">
        <v>461</v>
      </c>
      <c r="J70" s="570">
        <v>141112</v>
      </c>
    </row>
    <row r="71" spans="1:10">
      <c r="A71" s="559">
        <v>7</v>
      </c>
      <c r="B71" s="568" t="s">
        <v>257</v>
      </c>
      <c r="C71" s="570">
        <v>4092</v>
      </c>
      <c r="D71" s="568"/>
      <c r="E71" s="570"/>
      <c r="G71" s="568" t="s">
        <v>461</v>
      </c>
      <c r="H71" s="570">
        <v>496190</v>
      </c>
      <c r="I71" s="568" t="s">
        <v>458</v>
      </c>
      <c r="J71" s="570">
        <v>27679</v>
      </c>
    </row>
    <row r="72" spans="1:10">
      <c r="A72" s="559">
        <v>8</v>
      </c>
      <c r="B72" s="568" t="s">
        <v>461</v>
      </c>
      <c r="C72" s="570">
        <v>3030</v>
      </c>
      <c r="D72" s="568"/>
      <c r="E72" s="570"/>
      <c r="G72" s="568" t="s">
        <v>10</v>
      </c>
      <c r="H72" s="570">
        <v>345327</v>
      </c>
      <c r="I72" s="568" t="s">
        <v>457</v>
      </c>
      <c r="J72" s="570">
        <v>20244</v>
      </c>
    </row>
    <row r="73" spans="1:10">
      <c r="A73" s="559">
        <v>9</v>
      </c>
      <c r="B73" s="568" t="s">
        <v>245</v>
      </c>
      <c r="C73" s="570">
        <v>2562</v>
      </c>
      <c r="D73" s="568"/>
      <c r="E73" s="570"/>
      <c r="G73" s="568" t="s">
        <v>258</v>
      </c>
      <c r="H73" s="570">
        <v>319775</v>
      </c>
      <c r="I73" s="568" t="s">
        <v>465</v>
      </c>
      <c r="J73" s="570">
        <v>6529</v>
      </c>
    </row>
    <row r="74" spans="1:10">
      <c r="A74" s="559">
        <v>10</v>
      </c>
      <c r="B74" s="568" t="s">
        <v>479</v>
      </c>
      <c r="C74" s="570">
        <v>1187</v>
      </c>
      <c r="D74" s="568"/>
      <c r="E74" s="570"/>
      <c r="G74" s="568" t="s">
        <v>466</v>
      </c>
      <c r="H74" s="570">
        <v>269571</v>
      </c>
      <c r="I74" s="568" t="s">
        <v>10</v>
      </c>
      <c r="J74" s="570">
        <v>4592</v>
      </c>
    </row>
    <row r="75" spans="1:10">
      <c r="B75" s="568" t="s">
        <v>102</v>
      </c>
      <c r="C75" s="570">
        <f>C76-SUM(C64:C74)</f>
        <v>437</v>
      </c>
      <c r="D75" s="568" t="s">
        <v>102</v>
      </c>
      <c r="E75" s="570">
        <f>E76-SUM(E64:E74)</f>
        <v>0</v>
      </c>
      <c r="G75" s="568" t="s">
        <v>102</v>
      </c>
      <c r="H75" s="570">
        <f>H76-SUM(H64:H74)</f>
        <v>2127204</v>
      </c>
      <c r="I75" s="568" t="s">
        <v>432</v>
      </c>
      <c r="J75" s="570">
        <f>J76-SUM(J64:J74)</f>
        <v>2174</v>
      </c>
    </row>
    <row r="76" spans="1:10">
      <c r="B76" s="568" t="s">
        <v>103</v>
      </c>
      <c r="C76" s="570">
        <v>243641</v>
      </c>
      <c r="D76" s="568" t="s">
        <v>103</v>
      </c>
      <c r="E76" s="570">
        <v>86252</v>
      </c>
      <c r="G76" s="568" t="s">
        <v>103</v>
      </c>
      <c r="H76" s="570">
        <v>12476593</v>
      </c>
      <c r="I76" s="568" t="s">
        <v>103</v>
      </c>
      <c r="J76" s="570">
        <v>8238740</v>
      </c>
    </row>
    <row r="78" spans="1:10">
      <c r="B78" s="573" t="s">
        <v>433</v>
      </c>
      <c r="G78" s="563" t="s">
        <v>434</v>
      </c>
    </row>
    <row r="79" spans="1:10">
      <c r="B79" s="565" t="s">
        <v>98</v>
      </c>
      <c r="C79" s="566" t="s">
        <v>99</v>
      </c>
      <c r="D79" s="565" t="s">
        <v>100</v>
      </c>
      <c r="E79" s="566" t="s">
        <v>101</v>
      </c>
      <c r="G79" s="565" t="s">
        <v>98</v>
      </c>
      <c r="H79" s="566" t="s">
        <v>99</v>
      </c>
      <c r="I79" s="565" t="s">
        <v>100</v>
      </c>
      <c r="J79" s="566" t="s">
        <v>101</v>
      </c>
    </row>
    <row r="80" spans="1:10">
      <c r="A80" s="559">
        <v>1</v>
      </c>
      <c r="B80" s="568" t="s">
        <v>246</v>
      </c>
      <c r="C80" s="570">
        <v>526988</v>
      </c>
      <c r="D80" s="568" t="s">
        <v>239</v>
      </c>
      <c r="E80" s="570">
        <v>549064</v>
      </c>
      <c r="G80" s="568" t="s">
        <v>457</v>
      </c>
      <c r="H80" s="570">
        <v>724115</v>
      </c>
      <c r="I80" s="568" t="s">
        <v>239</v>
      </c>
      <c r="J80" s="570">
        <v>426021</v>
      </c>
    </row>
    <row r="81" spans="1:10">
      <c r="A81" s="559">
        <v>2</v>
      </c>
      <c r="B81" s="568" t="s">
        <v>457</v>
      </c>
      <c r="C81" s="570">
        <v>328084</v>
      </c>
      <c r="D81" s="568" t="s">
        <v>10</v>
      </c>
      <c r="E81" s="570">
        <v>182225</v>
      </c>
      <c r="G81" s="568" t="s">
        <v>246</v>
      </c>
      <c r="H81" s="570">
        <v>432145</v>
      </c>
      <c r="I81" s="568" t="s">
        <v>461</v>
      </c>
      <c r="J81" s="570">
        <v>49953</v>
      </c>
    </row>
    <row r="82" spans="1:10">
      <c r="A82" s="559">
        <v>3</v>
      </c>
      <c r="B82" s="568" t="s">
        <v>239</v>
      </c>
      <c r="C82" s="570">
        <v>189129</v>
      </c>
      <c r="D82" s="568" t="s">
        <v>271</v>
      </c>
      <c r="E82" s="570">
        <v>106403</v>
      </c>
      <c r="G82" s="568" t="s">
        <v>239</v>
      </c>
      <c r="H82" s="570">
        <v>347077</v>
      </c>
      <c r="I82" s="568" t="s">
        <v>384</v>
      </c>
      <c r="J82" s="570">
        <v>47735</v>
      </c>
    </row>
    <row r="83" spans="1:10">
      <c r="A83" s="559">
        <v>4</v>
      </c>
      <c r="B83" s="568" t="s">
        <v>458</v>
      </c>
      <c r="C83" s="570">
        <v>169322</v>
      </c>
      <c r="D83" s="568" t="s">
        <v>461</v>
      </c>
      <c r="E83" s="570">
        <v>19494</v>
      </c>
      <c r="G83" s="568" t="s">
        <v>458</v>
      </c>
      <c r="H83" s="570">
        <v>339239</v>
      </c>
      <c r="I83" s="568" t="s">
        <v>456</v>
      </c>
      <c r="J83" s="570">
        <v>45143</v>
      </c>
    </row>
    <row r="84" spans="1:10">
      <c r="A84" s="559">
        <v>5</v>
      </c>
      <c r="B84" s="568" t="s">
        <v>10</v>
      </c>
      <c r="C84" s="570">
        <v>150640</v>
      </c>
      <c r="D84" s="568" t="s">
        <v>456</v>
      </c>
      <c r="E84" s="570">
        <v>7186</v>
      </c>
      <c r="G84" s="568" t="s">
        <v>10</v>
      </c>
      <c r="H84" s="570">
        <v>227523</v>
      </c>
      <c r="I84" s="568" t="s">
        <v>462</v>
      </c>
      <c r="J84" s="570">
        <v>39172</v>
      </c>
    </row>
    <row r="85" spans="1:10">
      <c r="A85" s="559">
        <v>6</v>
      </c>
      <c r="B85" s="568" t="s">
        <v>245</v>
      </c>
      <c r="C85" s="570">
        <v>150421</v>
      </c>
      <c r="D85" s="568" t="s">
        <v>246</v>
      </c>
      <c r="E85" s="570">
        <v>16</v>
      </c>
      <c r="G85" s="568" t="s">
        <v>6</v>
      </c>
      <c r="H85" s="570">
        <v>205187</v>
      </c>
      <c r="I85" s="568" t="s">
        <v>464</v>
      </c>
      <c r="J85" s="570">
        <v>2187</v>
      </c>
    </row>
    <row r="86" spans="1:10">
      <c r="A86" s="559">
        <v>7</v>
      </c>
      <c r="B86" s="568" t="s">
        <v>384</v>
      </c>
      <c r="C86" s="570">
        <v>67041</v>
      </c>
      <c r="D86" s="568"/>
      <c r="E86" s="570"/>
      <c r="G86" s="568" t="s">
        <v>245</v>
      </c>
      <c r="H86" s="570">
        <v>179632</v>
      </c>
      <c r="I86" s="568" t="s">
        <v>246</v>
      </c>
      <c r="J86" s="570">
        <v>156</v>
      </c>
    </row>
    <row r="87" spans="1:10">
      <c r="A87" s="559">
        <v>8</v>
      </c>
      <c r="B87" s="568" t="s">
        <v>475</v>
      </c>
      <c r="C87" s="570">
        <v>39894</v>
      </c>
      <c r="D87" s="568"/>
      <c r="E87" s="570"/>
      <c r="G87" s="568" t="s">
        <v>247</v>
      </c>
      <c r="H87" s="570">
        <v>149736</v>
      </c>
      <c r="I87" s="568" t="s">
        <v>232</v>
      </c>
      <c r="J87" s="570">
        <v>94</v>
      </c>
    </row>
    <row r="88" spans="1:10">
      <c r="A88" s="559">
        <v>9</v>
      </c>
      <c r="B88" s="568" t="s">
        <v>465</v>
      </c>
      <c r="C88" s="570">
        <v>27523</v>
      </c>
      <c r="D88" s="568"/>
      <c r="E88" s="570"/>
      <c r="G88" s="568" t="s">
        <v>384</v>
      </c>
      <c r="H88" s="570">
        <v>105561</v>
      </c>
      <c r="I88" s="568"/>
      <c r="J88" s="570"/>
    </row>
    <row r="89" spans="1:10">
      <c r="A89" s="559">
        <v>10</v>
      </c>
      <c r="B89" s="568" t="s">
        <v>270</v>
      </c>
      <c r="C89" s="570">
        <v>26679</v>
      </c>
      <c r="D89" s="568"/>
      <c r="E89" s="570"/>
      <c r="G89" s="568" t="s">
        <v>459</v>
      </c>
      <c r="H89" s="570">
        <v>69198</v>
      </c>
      <c r="I89" s="568"/>
      <c r="J89" s="570"/>
    </row>
    <row r="90" spans="1:10">
      <c r="B90" s="568" t="s">
        <v>102</v>
      </c>
      <c r="C90" s="570">
        <f>C91-SUM(C80:C89)</f>
        <v>311808</v>
      </c>
      <c r="D90" s="568" t="s">
        <v>102</v>
      </c>
      <c r="E90" s="570">
        <f>E91-SUM(E79:E89)</f>
        <v>0</v>
      </c>
      <c r="G90" s="568" t="s">
        <v>435</v>
      </c>
      <c r="H90" s="570">
        <f>H91-SUM(H79:H89)</f>
        <v>373825</v>
      </c>
      <c r="I90" s="568" t="s">
        <v>102</v>
      </c>
      <c r="J90" s="570">
        <f>J91-SUM(J79:J89)</f>
        <v>0</v>
      </c>
    </row>
    <row r="91" spans="1:10">
      <c r="B91" s="568" t="s">
        <v>103</v>
      </c>
      <c r="C91" s="570">
        <v>1987529</v>
      </c>
      <c r="D91" s="568" t="s">
        <v>103</v>
      </c>
      <c r="E91" s="570">
        <v>864388</v>
      </c>
      <c r="G91" s="568" t="s">
        <v>103</v>
      </c>
      <c r="H91" s="570">
        <v>3153238</v>
      </c>
      <c r="I91" s="568" t="s">
        <v>103</v>
      </c>
      <c r="J91" s="570">
        <v>610461</v>
      </c>
    </row>
    <row r="93" spans="1:10">
      <c r="B93" s="563" t="s">
        <v>436</v>
      </c>
      <c r="G93" s="573" t="s">
        <v>403</v>
      </c>
    </row>
    <row r="94" spans="1:10">
      <c r="B94" s="565" t="s">
        <v>98</v>
      </c>
      <c r="C94" s="566" t="s">
        <v>99</v>
      </c>
      <c r="D94" s="565" t="s">
        <v>100</v>
      </c>
      <c r="E94" s="566" t="s">
        <v>101</v>
      </c>
      <c r="G94" s="565" t="s">
        <v>98</v>
      </c>
      <c r="H94" s="566" t="s">
        <v>99</v>
      </c>
      <c r="I94" s="565" t="s">
        <v>100</v>
      </c>
      <c r="J94" s="566" t="s">
        <v>101</v>
      </c>
    </row>
    <row r="95" spans="1:10">
      <c r="A95" s="559">
        <v>1</v>
      </c>
      <c r="B95" s="568" t="s">
        <v>246</v>
      </c>
      <c r="C95" s="570">
        <v>2896435</v>
      </c>
      <c r="D95" s="571" t="s">
        <v>384</v>
      </c>
      <c r="E95" s="570">
        <v>1922205</v>
      </c>
      <c r="G95" s="568" t="s">
        <v>245</v>
      </c>
      <c r="H95" s="570">
        <v>1283537</v>
      </c>
      <c r="I95" s="568" t="s">
        <v>12</v>
      </c>
      <c r="J95" s="570">
        <v>309841</v>
      </c>
    </row>
    <row r="96" spans="1:10">
      <c r="A96" s="559">
        <v>2</v>
      </c>
      <c r="B96" s="568" t="s">
        <v>239</v>
      </c>
      <c r="C96" s="570">
        <v>1241547</v>
      </c>
      <c r="D96" s="571" t="s">
        <v>462</v>
      </c>
      <c r="E96" s="570">
        <v>683535</v>
      </c>
      <c r="G96" s="568" t="s">
        <v>457</v>
      </c>
      <c r="H96" s="570">
        <v>361637</v>
      </c>
      <c r="I96" s="571" t="s">
        <v>384</v>
      </c>
      <c r="J96" s="570">
        <v>249847</v>
      </c>
    </row>
    <row r="97" spans="1:15">
      <c r="A97" s="559">
        <v>3</v>
      </c>
      <c r="B97" s="568" t="s">
        <v>457</v>
      </c>
      <c r="C97" s="570">
        <v>588777</v>
      </c>
      <c r="D97" s="571" t="s">
        <v>239</v>
      </c>
      <c r="E97" s="570">
        <v>582663</v>
      </c>
      <c r="G97" s="568" t="s">
        <v>239</v>
      </c>
      <c r="H97" s="570">
        <v>163417</v>
      </c>
      <c r="I97" s="571" t="s">
        <v>239</v>
      </c>
      <c r="J97" s="570">
        <v>149922</v>
      </c>
    </row>
    <row r="98" spans="1:15">
      <c r="A98" s="559">
        <v>4</v>
      </c>
      <c r="B98" s="568" t="s">
        <v>461</v>
      </c>
      <c r="C98" s="570">
        <v>225617</v>
      </c>
      <c r="D98" s="571" t="s">
        <v>249</v>
      </c>
      <c r="E98" s="570">
        <v>69166</v>
      </c>
      <c r="G98" s="568" t="s">
        <v>256</v>
      </c>
      <c r="H98" s="570">
        <v>64980</v>
      </c>
      <c r="I98" s="568" t="s">
        <v>461</v>
      </c>
      <c r="J98" s="570">
        <v>23586</v>
      </c>
    </row>
    <row r="99" spans="1:15">
      <c r="A99" s="559">
        <v>5</v>
      </c>
      <c r="B99" s="568" t="s">
        <v>245</v>
      </c>
      <c r="C99" s="570">
        <v>214213</v>
      </c>
      <c r="D99" s="571" t="s">
        <v>456</v>
      </c>
      <c r="E99" s="570">
        <v>68947</v>
      </c>
      <c r="G99" s="568" t="s">
        <v>460</v>
      </c>
      <c r="H99" s="570">
        <v>61324</v>
      </c>
      <c r="I99" s="571" t="s">
        <v>456</v>
      </c>
      <c r="J99" s="570">
        <v>750</v>
      </c>
    </row>
    <row r="100" spans="1:15">
      <c r="A100" s="559">
        <v>6</v>
      </c>
      <c r="B100" s="568" t="s">
        <v>10</v>
      </c>
      <c r="C100" s="570">
        <v>162261</v>
      </c>
      <c r="D100" s="571" t="s">
        <v>10</v>
      </c>
      <c r="E100" s="570">
        <v>35864</v>
      </c>
      <c r="G100" s="568" t="s">
        <v>458</v>
      </c>
      <c r="H100" s="570">
        <v>55484</v>
      </c>
      <c r="I100" s="568" t="s">
        <v>10</v>
      </c>
      <c r="J100" s="570">
        <v>344</v>
      </c>
    </row>
    <row r="101" spans="1:15">
      <c r="A101" s="559">
        <v>7</v>
      </c>
      <c r="B101" s="568" t="s">
        <v>12</v>
      </c>
      <c r="C101" s="570">
        <v>161357</v>
      </c>
      <c r="D101" s="571" t="s">
        <v>479</v>
      </c>
      <c r="E101" s="570">
        <v>4561</v>
      </c>
      <c r="G101" s="568" t="s">
        <v>246</v>
      </c>
      <c r="H101" s="570">
        <v>54451</v>
      </c>
      <c r="I101" s="568" t="s">
        <v>464</v>
      </c>
      <c r="J101" s="570">
        <v>19</v>
      </c>
    </row>
    <row r="102" spans="1:15">
      <c r="A102" s="559">
        <v>8</v>
      </c>
      <c r="B102" s="568" t="s">
        <v>460</v>
      </c>
      <c r="C102" s="570">
        <v>146205</v>
      </c>
      <c r="D102" s="571" t="s">
        <v>258</v>
      </c>
      <c r="E102" s="570">
        <v>1781</v>
      </c>
      <c r="G102" s="568" t="s">
        <v>461</v>
      </c>
      <c r="H102" s="570">
        <v>48141</v>
      </c>
      <c r="I102" s="568"/>
      <c r="J102" s="570"/>
    </row>
    <row r="103" spans="1:15">
      <c r="A103" s="559">
        <v>9</v>
      </c>
      <c r="B103" s="568" t="s">
        <v>247</v>
      </c>
      <c r="C103" s="570">
        <v>95125</v>
      </c>
      <c r="D103" s="571" t="s">
        <v>457</v>
      </c>
      <c r="E103" s="570">
        <v>1000</v>
      </c>
      <c r="G103" s="568" t="s">
        <v>386</v>
      </c>
      <c r="H103" s="570">
        <v>37801</v>
      </c>
      <c r="I103" s="568"/>
      <c r="J103" s="570"/>
    </row>
    <row r="104" spans="1:15">
      <c r="A104" s="559">
        <v>10</v>
      </c>
      <c r="B104" s="568" t="s">
        <v>9</v>
      </c>
      <c r="C104" s="570">
        <v>88472</v>
      </c>
      <c r="D104" s="571" t="s">
        <v>246</v>
      </c>
      <c r="E104" s="570">
        <v>187</v>
      </c>
      <c r="G104" s="568" t="s">
        <v>249</v>
      </c>
      <c r="H104" s="570">
        <v>36676</v>
      </c>
      <c r="I104" s="568"/>
      <c r="J104" s="570"/>
    </row>
    <row r="105" spans="1:15">
      <c r="B105" s="568" t="s">
        <v>102</v>
      </c>
      <c r="C105" s="570">
        <f>C106-SUM(C94:C104)</f>
        <v>801097</v>
      </c>
      <c r="D105" s="568" t="s">
        <v>102</v>
      </c>
      <c r="E105" s="570">
        <f>E106-SUM(E94:E104)</f>
        <v>0</v>
      </c>
      <c r="G105" s="571" t="s">
        <v>430</v>
      </c>
      <c r="H105" s="570">
        <f>H106-SUM(H94:H104)</f>
        <v>229865</v>
      </c>
      <c r="I105" s="568" t="s">
        <v>102</v>
      </c>
      <c r="J105" s="570">
        <f>J106-SUM(J94:J104)</f>
        <v>0</v>
      </c>
    </row>
    <row r="106" spans="1:15">
      <c r="B106" s="568" t="s">
        <v>103</v>
      </c>
      <c r="C106" s="570">
        <v>6621106</v>
      </c>
      <c r="D106" s="568" t="s">
        <v>103</v>
      </c>
      <c r="E106" s="570">
        <v>3369909</v>
      </c>
      <c r="G106" s="568" t="s">
        <v>103</v>
      </c>
      <c r="H106" s="570">
        <v>2397313</v>
      </c>
      <c r="I106" s="568" t="s">
        <v>103</v>
      </c>
      <c r="J106" s="570">
        <v>734309</v>
      </c>
    </row>
    <row r="108" spans="1:15">
      <c r="B108" s="563" t="s">
        <v>437</v>
      </c>
      <c r="G108" s="576" t="s">
        <v>438</v>
      </c>
      <c r="L108" s="577"/>
      <c r="M108" s="577"/>
      <c r="N108" s="577"/>
      <c r="O108" s="577"/>
    </row>
    <row r="109" spans="1:15">
      <c r="B109" s="565" t="s">
        <v>98</v>
      </c>
      <c r="C109" s="566" t="s">
        <v>99</v>
      </c>
      <c r="D109" s="565" t="s">
        <v>100</v>
      </c>
      <c r="E109" s="566" t="s">
        <v>101</v>
      </c>
      <c r="G109" s="565" t="s">
        <v>98</v>
      </c>
      <c r="H109" s="566" t="s">
        <v>99</v>
      </c>
      <c r="I109" s="565" t="s">
        <v>100</v>
      </c>
      <c r="J109" s="566" t="s">
        <v>101</v>
      </c>
      <c r="L109" s="577"/>
      <c r="M109" s="577"/>
      <c r="N109" s="577"/>
      <c r="O109" s="577"/>
    </row>
    <row r="110" spans="1:15">
      <c r="A110" s="559">
        <v>1</v>
      </c>
      <c r="B110" s="578" t="s">
        <v>246</v>
      </c>
      <c r="C110" s="570">
        <v>1520150</v>
      </c>
      <c r="D110" s="568" t="s">
        <v>384</v>
      </c>
      <c r="E110" s="570">
        <v>2094907</v>
      </c>
      <c r="G110" s="568" t="s">
        <v>246</v>
      </c>
      <c r="H110" s="570">
        <v>1302436</v>
      </c>
      <c r="I110" s="571" t="s">
        <v>384</v>
      </c>
      <c r="J110" s="570">
        <v>598452</v>
      </c>
      <c r="L110" s="577"/>
      <c r="M110" s="577"/>
      <c r="N110" s="577"/>
      <c r="O110" s="577"/>
    </row>
    <row r="111" spans="1:15">
      <c r="A111" s="559">
        <v>2</v>
      </c>
      <c r="B111" s="578" t="s">
        <v>239</v>
      </c>
      <c r="C111" s="570">
        <v>1471917</v>
      </c>
      <c r="D111" s="571" t="s">
        <v>239</v>
      </c>
      <c r="E111" s="570">
        <v>210028</v>
      </c>
      <c r="G111" s="568" t="s">
        <v>239</v>
      </c>
      <c r="H111" s="570">
        <v>791254</v>
      </c>
      <c r="I111" s="571" t="s">
        <v>456</v>
      </c>
      <c r="J111" s="570">
        <v>488222</v>
      </c>
      <c r="L111" s="577"/>
      <c r="M111" s="577"/>
      <c r="N111" s="577"/>
      <c r="O111" s="577"/>
    </row>
    <row r="112" spans="1:15">
      <c r="A112" s="559">
        <v>3</v>
      </c>
      <c r="B112" s="578" t="s">
        <v>457</v>
      </c>
      <c r="C112" s="570">
        <v>576415</v>
      </c>
      <c r="D112" s="571" t="s">
        <v>465</v>
      </c>
      <c r="E112" s="570">
        <v>176163</v>
      </c>
      <c r="G112" s="568" t="s">
        <v>457</v>
      </c>
      <c r="H112" s="570">
        <v>374760</v>
      </c>
      <c r="I112" s="571" t="s">
        <v>239</v>
      </c>
      <c r="J112" s="570">
        <v>173727</v>
      </c>
      <c r="L112" s="577"/>
      <c r="M112" s="577"/>
      <c r="N112" s="577"/>
      <c r="O112" s="577"/>
    </row>
    <row r="113" spans="1:15">
      <c r="A113" s="559">
        <v>4</v>
      </c>
      <c r="B113" s="578" t="s">
        <v>258</v>
      </c>
      <c r="C113" s="570">
        <v>239426</v>
      </c>
      <c r="D113" s="568" t="s">
        <v>456</v>
      </c>
      <c r="E113" s="570">
        <v>98719</v>
      </c>
      <c r="G113" s="568" t="s">
        <v>461</v>
      </c>
      <c r="H113" s="570">
        <v>265948</v>
      </c>
      <c r="I113" s="571" t="s">
        <v>246</v>
      </c>
      <c r="J113" s="570">
        <v>120744</v>
      </c>
      <c r="L113" s="577"/>
      <c r="M113" s="577"/>
      <c r="N113" s="577"/>
      <c r="O113" s="577"/>
    </row>
    <row r="114" spans="1:15">
      <c r="A114" s="559">
        <v>5</v>
      </c>
      <c r="B114" s="578" t="s">
        <v>460</v>
      </c>
      <c r="C114" s="570">
        <v>213434</v>
      </c>
      <c r="D114" s="571" t="s">
        <v>10</v>
      </c>
      <c r="E114" s="570">
        <v>2593</v>
      </c>
      <c r="G114" s="568" t="s">
        <v>245</v>
      </c>
      <c r="H114" s="570">
        <v>238393</v>
      </c>
      <c r="I114" s="571" t="s">
        <v>465</v>
      </c>
      <c r="J114" s="570">
        <v>63918</v>
      </c>
      <c r="L114" s="577"/>
      <c r="M114" s="577"/>
      <c r="N114" s="577"/>
      <c r="O114" s="577"/>
    </row>
    <row r="115" spans="1:15">
      <c r="A115" s="559">
        <v>6</v>
      </c>
      <c r="B115" s="578" t="s">
        <v>9</v>
      </c>
      <c r="C115" s="570">
        <v>184849</v>
      </c>
      <c r="D115" s="571" t="s">
        <v>269</v>
      </c>
      <c r="E115" s="570">
        <v>1093</v>
      </c>
      <c r="G115" s="568" t="s">
        <v>460</v>
      </c>
      <c r="H115" s="570">
        <v>235425</v>
      </c>
      <c r="I115" s="571" t="s">
        <v>480</v>
      </c>
      <c r="J115" s="570">
        <v>24930</v>
      </c>
      <c r="L115" s="577"/>
      <c r="M115" s="577"/>
      <c r="N115" s="577"/>
      <c r="O115" s="577"/>
    </row>
    <row r="116" spans="1:15">
      <c r="A116" s="559">
        <v>7</v>
      </c>
      <c r="B116" s="578" t="s">
        <v>245</v>
      </c>
      <c r="C116" s="570">
        <v>182287</v>
      </c>
      <c r="D116" s="568" t="s">
        <v>462</v>
      </c>
      <c r="E116" s="570">
        <v>812</v>
      </c>
      <c r="G116" s="568" t="s">
        <v>12</v>
      </c>
      <c r="H116" s="570">
        <v>150328</v>
      </c>
      <c r="I116" s="571" t="s">
        <v>459</v>
      </c>
      <c r="J116" s="570">
        <v>23618</v>
      </c>
      <c r="L116" s="577"/>
      <c r="M116" s="577"/>
      <c r="N116" s="577"/>
      <c r="O116" s="577"/>
    </row>
    <row r="117" spans="1:15">
      <c r="A117" s="559">
        <v>8</v>
      </c>
      <c r="B117" s="578" t="s">
        <v>12</v>
      </c>
      <c r="C117" s="570">
        <v>166728</v>
      </c>
      <c r="D117" s="568"/>
      <c r="E117" s="570"/>
      <c r="G117" s="568" t="s">
        <v>9</v>
      </c>
      <c r="H117" s="570">
        <v>127647</v>
      </c>
      <c r="I117" s="571" t="s">
        <v>256</v>
      </c>
      <c r="J117" s="570">
        <v>8090</v>
      </c>
      <c r="L117" s="577"/>
      <c r="M117" s="577"/>
      <c r="N117" s="577"/>
      <c r="O117" s="577"/>
    </row>
    <row r="118" spans="1:15">
      <c r="A118" s="559">
        <v>9</v>
      </c>
      <c r="B118" s="578" t="s">
        <v>11</v>
      </c>
      <c r="C118" s="570">
        <v>160856</v>
      </c>
      <c r="D118" s="568"/>
      <c r="E118" s="570"/>
      <c r="G118" s="568" t="s">
        <v>247</v>
      </c>
      <c r="H118" s="570">
        <v>101406</v>
      </c>
      <c r="I118" s="571" t="s">
        <v>12</v>
      </c>
      <c r="J118" s="570">
        <v>7873</v>
      </c>
      <c r="L118" s="577"/>
      <c r="M118" s="577"/>
      <c r="N118" s="577"/>
      <c r="O118" s="577"/>
    </row>
    <row r="119" spans="1:15">
      <c r="A119" s="559">
        <v>10</v>
      </c>
      <c r="B119" s="578" t="s">
        <v>461</v>
      </c>
      <c r="C119" s="570">
        <v>160480</v>
      </c>
      <c r="D119" s="568"/>
      <c r="E119" s="570"/>
      <c r="G119" s="568" t="s">
        <v>458</v>
      </c>
      <c r="H119" s="570">
        <v>99375</v>
      </c>
      <c r="I119" s="571" t="s">
        <v>10</v>
      </c>
      <c r="J119" s="570">
        <v>2764</v>
      </c>
      <c r="L119" s="577"/>
      <c r="M119" s="577"/>
      <c r="N119" s="577"/>
      <c r="O119" s="577"/>
    </row>
    <row r="120" spans="1:15">
      <c r="B120" s="568" t="s">
        <v>102</v>
      </c>
      <c r="C120" s="570">
        <f>C121-SUM(C109:C119)</f>
        <v>723021</v>
      </c>
      <c r="D120" s="568" t="s">
        <v>102</v>
      </c>
      <c r="E120" s="570">
        <f>E121-SUM(E109:E119)</f>
        <v>0</v>
      </c>
      <c r="G120" s="568" t="s">
        <v>430</v>
      </c>
      <c r="H120" s="570">
        <f>H121-SUM(H109:H119)</f>
        <v>719118</v>
      </c>
      <c r="I120" s="579" t="s">
        <v>102</v>
      </c>
      <c r="J120" s="570">
        <f>J121-SUM(J109:J119)</f>
        <v>2749</v>
      </c>
      <c r="L120" s="577"/>
      <c r="M120" s="577"/>
      <c r="N120" s="577"/>
      <c r="O120" s="577"/>
    </row>
    <row r="121" spans="1:15">
      <c r="B121" s="568" t="s">
        <v>103</v>
      </c>
      <c r="C121" s="570">
        <v>5599563</v>
      </c>
      <c r="D121" s="568" t="s">
        <v>103</v>
      </c>
      <c r="E121" s="570">
        <v>2584315</v>
      </c>
      <c r="G121" s="568" t="s">
        <v>103</v>
      </c>
      <c r="H121" s="570">
        <v>4406090</v>
      </c>
      <c r="I121" s="568" t="s">
        <v>103</v>
      </c>
      <c r="J121" s="570">
        <v>1515087</v>
      </c>
    </row>
    <row r="122" spans="1:15">
      <c r="G122" s="577"/>
      <c r="H122" s="580"/>
      <c r="I122" s="577"/>
      <c r="J122" s="580"/>
    </row>
    <row r="123" spans="1:15">
      <c r="B123" s="563" t="s">
        <v>439</v>
      </c>
      <c r="G123" s="573" t="s">
        <v>440</v>
      </c>
    </row>
    <row r="124" spans="1:15">
      <c r="B124" s="565" t="s">
        <v>98</v>
      </c>
      <c r="C124" s="566" t="s">
        <v>99</v>
      </c>
      <c r="D124" s="565" t="s">
        <v>100</v>
      </c>
      <c r="E124" s="566" t="s">
        <v>101</v>
      </c>
      <c r="G124" s="565" t="s">
        <v>98</v>
      </c>
      <c r="H124" s="566" t="s">
        <v>99</v>
      </c>
      <c r="I124" s="565" t="s">
        <v>100</v>
      </c>
      <c r="J124" s="566" t="s">
        <v>101</v>
      </c>
    </row>
    <row r="125" spans="1:15">
      <c r="A125" s="559">
        <v>1</v>
      </c>
      <c r="B125" s="568" t="s">
        <v>239</v>
      </c>
      <c r="C125" s="570">
        <v>74477</v>
      </c>
      <c r="D125" s="568" t="s">
        <v>528</v>
      </c>
      <c r="E125" s="570">
        <v>88254</v>
      </c>
      <c r="G125" s="568" t="s">
        <v>246</v>
      </c>
      <c r="H125" s="570">
        <v>474917</v>
      </c>
      <c r="I125" s="571" t="s">
        <v>529</v>
      </c>
      <c r="J125" s="570">
        <v>357920</v>
      </c>
    </row>
    <row r="126" spans="1:15">
      <c r="A126" s="559">
        <v>2</v>
      </c>
      <c r="B126" s="568" t="s">
        <v>258</v>
      </c>
      <c r="C126" s="570">
        <v>32646</v>
      </c>
      <c r="D126" s="568" t="s">
        <v>513</v>
      </c>
      <c r="E126" s="570">
        <v>21118</v>
      </c>
      <c r="G126" s="568" t="s">
        <v>460</v>
      </c>
      <c r="H126" s="570">
        <v>131303</v>
      </c>
      <c r="I126" s="571" t="s">
        <v>524</v>
      </c>
      <c r="J126" s="570">
        <v>175465</v>
      </c>
    </row>
    <row r="127" spans="1:15">
      <c r="A127" s="559">
        <v>3</v>
      </c>
      <c r="B127" s="568" t="s">
        <v>247</v>
      </c>
      <c r="C127" s="570">
        <v>28773</v>
      </c>
      <c r="D127" s="568" t="s">
        <v>524</v>
      </c>
      <c r="E127" s="570">
        <v>9810</v>
      </c>
      <c r="G127" s="568" t="s">
        <v>258</v>
      </c>
      <c r="H127" s="570">
        <v>119930</v>
      </c>
      <c r="I127" s="571" t="s">
        <v>525</v>
      </c>
      <c r="J127" s="570">
        <v>46142</v>
      </c>
    </row>
    <row r="128" spans="1:15">
      <c r="A128" s="559">
        <v>4</v>
      </c>
      <c r="B128" s="568" t="s">
        <v>457</v>
      </c>
      <c r="C128" s="570">
        <v>21680</v>
      </c>
      <c r="D128" s="568"/>
      <c r="E128" s="570"/>
      <c r="G128" s="568" t="s">
        <v>457</v>
      </c>
      <c r="H128" s="570">
        <v>118246</v>
      </c>
      <c r="I128" s="571"/>
      <c r="J128" s="570"/>
    </row>
    <row r="129" spans="1:15">
      <c r="A129" s="559">
        <v>5</v>
      </c>
      <c r="B129" s="568" t="s">
        <v>10</v>
      </c>
      <c r="C129" s="570">
        <v>14714</v>
      </c>
      <c r="D129" s="568"/>
      <c r="E129" s="570"/>
      <c r="G129" s="568" t="s">
        <v>459</v>
      </c>
      <c r="H129" s="570">
        <v>106841</v>
      </c>
      <c r="I129" s="571"/>
      <c r="J129" s="570"/>
    </row>
    <row r="130" spans="1:15">
      <c r="A130" s="559">
        <v>6</v>
      </c>
      <c r="B130" s="568" t="s">
        <v>246</v>
      </c>
      <c r="C130" s="570">
        <v>11403</v>
      </c>
      <c r="D130" s="568"/>
      <c r="E130" s="570"/>
      <c r="G130" s="568" t="s">
        <v>239</v>
      </c>
      <c r="H130" s="570">
        <v>94253</v>
      </c>
      <c r="I130" s="571"/>
      <c r="J130" s="570"/>
    </row>
    <row r="131" spans="1:15">
      <c r="A131" s="559">
        <v>7</v>
      </c>
      <c r="B131" s="568" t="s">
        <v>245</v>
      </c>
      <c r="C131" s="570">
        <v>5935</v>
      </c>
      <c r="D131" s="568"/>
      <c r="E131" s="570"/>
      <c r="G131" s="568" t="s">
        <v>270</v>
      </c>
      <c r="H131" s="570">
        <v>82349</v>
      </c>
      <c r="I131" s="568"/>
      <c r="J131" s="570"/>
    </row>
    <row r="132" spans="1:15">
      <c r="A132" s="559">
        <v>8</v>
      </c>
      <c r="B132" s="568" t="s">
        <v>232</v>
      </c>
      <c r="C132" s="570">
        <v>5279</v>
      </c>
      <c r="D132" s="568"/>
      <c r="E132" s="570"/>
      <c r="G132" s="568" t="s">
        <v>245</v>
      </c>
      <c r="H132" s="570">
        <v>52985</v>
      </c>
      <c r="I132" s="568"/>
      <c r="J132" s="570"/>
    </row>
    <row r="133" spans="1:15">
      <c r="A133" s="559">
        <v>9</v>
      </c>
      <c r="B133" s="568" t="s">
        <v>9</v>
      </c>
      <c r="C133" s="570">
        <v>3343</v>
      </c>
      <c r="D133" s="568"/>
      <c r="E133" s="570"/>
      <c r="G133" s="568" t="s">
        <v>10</v>
      </c>
      <c r="H133" s="570">
        <v>52671</v>
      </c>
      <c r="I133" s="568"/>
      <c r="J133" s="570"/>
    </row>
    <row r="134" spans="1:15">
      <c r="A134" s="559">
        <v>10</v>
      </c>
      <c r="B134" s="568" t="s">
        <v>12</v>
      </c>
      <c r="C134" s="570">
        <v>2468</v>
      </c>
      <c r="D134" s="581"/>
      <c r="E134" s="582"/>
      <c r="G134" s="568" t="s">
        <v>9</v>
      </c>
      <c r="H134" s="570">
        <v>41956</v>
      </c>
      <c r="I134" s="568"/>
      <c r="J134" s="570"/>
    </row>
    <row r="135" spans="1:15">
      <c r="B135" s="571" t="s">
        <v>430</v>
      </c>
      <c r="C135" s="570">
        <f>C136-SUM(C125:C134)</f>
        <v>3623</v>
      </c>
      <c r="D135" s="568" t="s">
        <v>102</v>
      </c>
      <c r="E135" s="570">
        <f>E136-SUM(E125:E134)</f>
        <v>0</v>
      </c>
      <c r="G135" s="568" t="s">
        <v>102</v>
      </c>
      <c r="H135" s="570">
        <f>H136-SUM(H125:H134)</f>
        <v>227772</v>
      </c>
      <c r="I135" s="568" t="s">
        <v>102</v>
      </c>
      <c r="J135" s="570">
        <f>J136-SUM(J125:J134)</f>
        <v>0</v>
      </c>
    </row>
    <row r="136" spans="1:15">
      <c r="B136" s="568" t="s">
        <v>103</v>
      </c>
      <c r="C136" s="570">
        <v>204341</v>
      </c>
      <c r="D136" s="568" t="s">
        <v>103</v>
      </c>
      <c r="E136" s="570">
        <v>119182</v>
      </c>
      <c r="G136" s="568" t="s">
        <v>103</v>
      </c>
      <c r="H136" s="570">
        <v>1503223</v>
      </c>
      <c r="I136" s="568" t="s">
        <v>103</v>
      </c>
      <c r="J136" s="570">
        <v>579527</v>
      </c>
    </row>
    <row r="138" spans="1:15">
      <c r="B138" s="54" t="s">
        <v>441</v>
      </c>
      <c r="C138" s="311"/>
      <c r="D138" s="13"/>
      <c r="G138" s="584" t="s">
        <v>442</v>
      </c>
      <c r="H138" s="311"/>
      <c r="L138" s="577"/>
      <c r="M138" s="577"/>
      <c r="N138" s="577"/>
      <c r="O138" s="577"/>
    </row>
    <row r="139" spans="1:15">
      <c r="B139" s="565" t="s">
        <v>98</v>
      </c>
      <c r="C139" s="566" t="s">
        <v>99</v>
      </c>
      <c r="D139" s="565" t="s">
        <v>100</v>
      </c>
      <c r="E139" s="566" t="s">
        <v>101</v>
      </c>
      <c r="G139" s="565" t="s">
        <v>98</v>
      </c>
      <c r="H139" s="566" t="s">
        <v>99</v>
      </c>
      <c r="I139" s="565" t="s">
        <v>100</v>
      </c>
      <c r="J139" s="566" t="s">
        <v>101</v>
      </c>
      <c r="L139" s="577"/>
      <c r="M139" s="577"/>
      <c r="N139" s="577"/>
      <c r="O139" s="577"/>
    </row>
    <row r="140" spans="1:15">
      <c r="A140" s="559">
        <v>1</v>
      </c>
      <c r="B140" s="571" t="s">
        <v>246</v>
      </c>
      <c r="C140" s="570">
        <v>2106373</v>
      </c>
      <c r="D140" s="571" t="s">
        <v>239</v>
      </c>
      <c r="E140" s="570">
        <v>1145217</v>
      </c>
      <c r="G140" s="568" t="s">
        <v>246</v>
      </c>
      <c r="H140" s="570">
        <v>644706</v>
      </c>
      <c r="I140" s="568" t="s">
        <v>239</v>
      </c>
      <c r="J140" s="570">
        <v>1586696</v>
      </c>
      <c r="L140" s="577"/>
      <c r="M140" s="577"/>
      <c r="N140" s="577"/>
      <c r="O140" s="577"/>
    </row>
    <row r="141" spans="1:15">
      <c r="A141" s="559">
        <v>2</v>
      </c>
      <c r="B141" s="571" t="s">
        <v>457</v>
      </c>
      <c r="C141" s="570">
        <v>643641</v>
      </c>
      <c r="D141" s="571" t="s">
        <v>529</v>
      </c>
      <c r="E141" s="570">
        <v>41706</v>
      </c>
      <c r="G141" s="568" t="s">
        <v>239</v>
      </c>
      <c r="H141" s="570">
        <v>554544</v>
      </c>
      <c r="I141" s="568" t="s">
        <v>461</v>
      </c>
      <c r="J141" s="570">
        <v>338489</v>
      </c>
      <c r="L141" s="577"/>
      <c r="M141" s="577"/>
      <c r="N141" s="577"/>
      <c r="O141" s="577"/>
    </row>
    <row r="142" spans="1:15">
      <c r="A142" s="559">
        <v>3</v>
      </c>
      <c r="B142" s="571" t="s">
        <v>245</v>
      </c>
      <c r="C142" s="570">
        <v>496470</v>
      </c>
      <c r="D142" s="568" t="s">
        <v>461</v>
      </c>
      <c r="E142" s="570">
        <v>18057</v>
      </c>
      <c r="G142" s="568" t="s">
        <v>457</v>
      </c>
      <c r="H142" s="570">
        <v>374196</v>
      </c>
      <c r="I142" s="568" t="s">
        <v>463</v>
      </c>
      <c r="J142" s="570">
        <v>223867</v>
      </c>
      <c r="L142" s="577"/>
      <c r="M142" s="577"/>
      <c r="N142" s="577"/>
      <c r="O142" s="577"/>
    </row>
    <row r="143" spans="1:15">
      <c r="A143" s="559">
        <v>4</v>
      </c>
      <c r="B143" s="571" t="s">
        <v>258</v>
      </c>
      <c r="C143" s="570">
        <v>343643</v>
      </c>
      <c r="D143" s="568" t="s">
        <v>530</v>
      </c>
      <c r="E143" s="570">
        <v>2874</v>
      </c>
      <c r="G143" s="568" t="s">
        <v>245</v>
      </c>
      <c r="H143" s="570">
        <v>331864</v>
      </c>
      <c r="I143" s="571" t="s">
        <v>529</v>
      </c>
      <c r="J143" s="570">
        <v>75133</v>
      </c>
      <c r="L143" s="577"/>
      <c r="M143" s="577"/>
      <c r="N143" s="577"/>
      <c r="O143" s="577"/>
    </row>
    <row r="144" spans="1:15">
      <c r="A144" s="559">
        <v>5</v>
      </c>
      <c r="B144" s="571" t="s">
        <v>15</v>
      </c>
      <c r="C144" s="570">
        <v>228709</v>
      </c>
      <c r="D144" s="568" t="s">
        <v>531</v>
      </c>
      <c r="E144" s="570">
        <v>406</v>
      </c>
      <c r="G144" s="568" t="s">
        <v>15</v>
      </c>
      <c r="H144" s="570">
        <v>323430</v>
      </c>
      <c r="I144" s="568" t="s">
        <v>457</v>
      </c>
      <c r="J144" s="570">
        <v>12621</v>
      </c>
      <c r="L144" s="577"/>
      <c r="M144" s="577"/>
      <c r="N144" s="577"/>
      <c r="O144" s="577"/>
    </row>
    <row r="145" spans="1:15">
      <c r="A145" s="559">
        <v>6</v>
      </c>
      <c r="B145" s="571" t="s">
        <v>9</v>
      </c>
      <c r="C145" s="570">
        <v>226274</v>
      </c>
      <c r="D145" s="568"/>
      <c r="E145" s="570"/>
      <c r="G145" s="568" t="s">
        <v>10</v>
      </c>
      <c r="H145" s="570">
        <v>213090</v>
      </c>
      <c r="I145" s="568" t="s">
        <v>246</v>
      </c>
      <c r="J145" s="570">
        <v>187</v>
      </c>
      <c r="L145" s="577"/>
      <c r="M145" s="577"/>
      <c r="N145" s="577"/>
      <c r="O145" s="577"/>
    </row>
    <row r="146" spans="1:15">
      <c r="A146" s="559">
        <v>7</v>
      </c>
      <c r="B146" s="571" t="s">
        <v>6</v>
      </c>
      <c r="C146" s="570">
        <v>163292</v>
      </c>
      <c r="D146" s="568"/>
      <c r="E146" s="570"/>
      <c r="G146" s="568" t="s">
        <v>458</v>
      </c>
      <c r="H146" s="570">
        <v>186754</v>
      </c>
      <c r="I146" s="568"/>
      <c r="J146" s="570"/>
      <c r="L146" s="577"/>
      <c r="M146" s="577"/>
      <c r="N146" s="577"/>
      <c r="O146" s="577"/>
    </row>
    <row r="147" spans="1:15">
      <c r="A147" s="559">
        <v>8</v>
      </c>
      <c r="B147" s="571" t="s">
        <v>270</v>
      </c>
      <c r="C147" s="570">
        <v>153203</v>
      </c>
      <c r="D147" s="568"/>
      <c r="E147" s="570"/>
      <c r="G147" s="568" t="s">
        <v>9</v>
      </c>
      <c r="H147" s="570">
        <v>165760</v>
      </c>
      <c r="I147" s="568"/>
      <c r="J147" s="570"/>
      <c r="L147" s="577"/>
      <c r="M147" s="577"/>
      <c r="N147" s="577"/>
      <c r="O147" s="577"/>
    </row>
    <row r="148" spans="1:15">
      <c r="A148" s="559">
        <v>9</v>
      </c>
      <c r="B148" s="571" t="s">
        <v>247</v>
      </c>
      <c r="C148" s="570">
        <v>145736</v>
      </c>
      <c r="D148" s="568"/>
      <c r="E148" s="570"/>
      <c r="G148" s="568" t="s">
        <v>6</v>
      </c>
      <c r="H148" s="570">
        <v>156200</v>
      </c>
      <c r="I148" s="568"/>
      <c r="J148" s="570"/>
      <c r="L148" s="577"/>
      <c r="M148" s="577"/>
      <c r="N148" s="577"/>
      <c r="O148" s="577"/>
    </row>
    <row r="149" spans="1:15">
      <c r="A149" s="559">
        <v>10</v>
      </c>
      <c r="B149" s="571" t="s">
        <v>460</v>
      </c>
      <c r="C149" s="570">
        <v>139363</v>
      </c>
      <c r="D149" s="568"/>
      <c r="E149" s="570"/>
      <c r="G149" s="568" t="s">
        <v>11</v>
      </c>
      <c r="H149" s="570">
        <v>120931</v>
      </c>
      <c r="I149" s="568"/>
      <c r="J149" s="570"/>
      <c r="L149" s="577"/>
      <c r="M149" s="577"/>
      <c r="N149" s="577"/>
      <c r="O149" s="577"/>
    </row>
    <row r="150" spans="1:15">
      <c r="B150" s="568" t="s">
        <v>418</v>
      </c>
      <c r="C150" s="570">
        <f>C151-SUM(C139:C149)</f>
        <v>1191061</v>
      </c>
      <c r="D150" s="568" t="s">
        <v>102</v>
      </c>
      <c r="E150" s="570">
        <f>E151-SUM(E140:E149)</f>
        <v>0</v>
      </c>
      <c r="G150" s="568" t="s">
        <v>418</v>
      </c>
      <c r="H150" s="570">
        <f>H151-SUM(H140:H149)</f>
        <v>541674</v>
      </c>
      <c r="I150" s="568" t="s">
        <v>102</v>
      </c>
      <c r="J150" s="570">
        <f>J151-SUM(J140:J149)</f>
        <v>0</v>
      </c>
      <c r="L150" s="577"/>
      <c r="M150" s="577"/>
      <c r="N150" s="577"/>
      <c r="O150" s="577"/>
    </row>
    <row r="151" spans="1:15">
      <c r="B151" s="568" t="s">
        <v>103</v>
      </c>
      <c r="C151" s="570">
        <v>5837765</v>
      </c>
      <c r="D151" s="568" t="s">
        <v>103</v>
      </c>
      <c r="E151" s="570">
        <v>1208260</v>
      </c>
      <c r="G151" s="568" t="s">
        <v>103</v>
      </c>
      <c r="H151" s="570">
        <v>3613149</v>
      </c>
      <c r="I151" s="568" t="s">
        <v>103</v>
      </c>
      <c r="J151" s="570">
        <v>2236993</v>
      </c>
      <c r="L151" s="577"/>
      <c r="M151" s="577"/>
      <c r="N151" s="577"/>
      <c r="O151" s="577"/>
    </row>
    <row r="153" spans="1:15">
      <c r="B153" s="563" t="s">
        <v>443</v>
      </c>
      <c r="G153" s="563" t="s">
        <v>444</v>
      </c>
    </row>
    <row r="154" spans="1:15">
      <c r="B154" s="565" t="s">
        <v>98</v>
      </c>
      <c r="C154" s="566" t="s">
        <v>99</v>
      </c>
      <c r="D154" s="565" t="s">
        <v>100</v>
      </c>
      <c r="E154" s="566" t="s">
        <v>101</v>
      </c>
      <c r="G154" s="565" t="s">
        <v>98</v>
      </c>
      <c r="H154" s="566" t="s">
        <v>99</v>
      </c>
      <c r="I154" s="565" t="s">
        <v>100</v>
      </c>
      <c r="J154" s="566" t="s">
        <v>101</v>
      </c>
    </row>
    <row r="155" spans="1:15">
      <c r="A155" s="559">
        <v>1</v>
      </c>
      <c r="B155" s="571" t="s">
        <v>457</v>
      </c>
      <c r="C155" s="570">
        <v>1487657</v>
      </c>
      <c r="D155" s="578" t="s">
        <v>461</v>
      </c>
      <c r="E155" s="570">
        <v>589626</v>
      </c>
      <c r="G155" s="568" t="s">
        <v>457</v>
      </c>
      <c r="H155" s="570">
        <v>253671</v>
      </c>
      <c r="I155" s="568" t="s">
        <v>239</v>
      </c>
      <c r="J155" s="570">
        <v>160436</v>
      </c>
    </row>
    <row r="156" spans="1:15">
      <c r="A156" s="559">
        <v>2</v>
      </c>
      <c r="B156" s="568" t="s">
        <v>239</v>
      </c>
      <c r="C156" s="570">
        <v>1428676</v>
      </c>
      <c r="D156" s="578" t="s">
        <v>464</v>
      </c>
      <c r="E156" s="570">
        <v>313018</v>
      </c>
      <c r="G156" s="568" t="s">
        <v>384</v>
      </c>
      <c r="H156" s="570">
        <v>66792</v>
      </c>
      <c r="I156" s="568" t="s">
        <v>528</v>
      </c>
      <c r="J156" s="570">
        <v>83817</v>
      </c>
    </row>
    <row r="157" spans="1:15">
      <c r="A157" s="559">
        <v>3</v>
      </c>
      <c r="B157" s="568" t="s">
        <v>246</v>
      </c>
      <c r="C157" s="570">
        <v>687348</v>
      </c>
      <c r="D157" s="578" t="s">
        <v>239</v>
      </c>
      <c r="E157" s="570">
        <v>300407</v>
      </c>
      <c r="G157" s="568" t="s">
        <v>386</v>
      </c>
      <c r="H157" s="570">
        <v>25335</v>
      </c>
      <c r="I157" s="568" t="s">
        <v>532</v>
      </c>
      <c r="J157" s="570">
        <v>10684</v>
      </c>
    </row>
    <row r="158" spans="1:15">
      <c r="A158" s="559">
        <v>4</v>
      </c>
      <c r="B158" s="568" t="s">
        <v>9</v>
      </c>
      <c r="C158" s="570">
        <v>424929</v>
      </c>
      <c r="D158" s="578" t="s">
        <v>246</v>
      </c>
      <c r="E158" s="570">
        <v>21712</v>
      </c>
      <c r="G158" s="568" t="s">
        <v>297</v>
      </c>
      <c r="H158" s="570">
        <v>20556</v>
      </c>
      <c r="I158" s="568" t="s">
        <v>533</v>
      </c>
      <c r="J158" s="570">
        <v>5280</v>
      </c>
    </row>
    <row r="159" spans="1:15">
      <c r="A159" s="559">
        <v>5</v>
      </c>
      <c r="B159" s="568" t="s">
        <v>386</v>
      </c>
      <c r="C159" s="570">
        <v>287378</v>
      </c>
      <c r="D159" s="578" t="s">
        <v>10</v>
      </c>
      <c r="E159" s="570">
        <v>19058</v>
      </c>
      <c r="G159" s="568" t="s">
        <v>458</v>
      </c>
      <c r="H159" s="570">
        <v>18276</v>
      </c>
      <c r="I159" s="571" t="s">
        <v>529</v>
      </c>
      <c r="J159" s="570">
        <v>281</v>
      </c>
    </row>
    <row r="160" spans="1:15">
      <c r="A160" s="559">
        <v>6</v>
      </c>
      <c r="B160" s="568" t="s">
        <v>10</v>
      </c>
      <c r="C160" s="570">
        <v>276101</v>
      </c>
      <c r="D160" s="578" t="s">
        <v>529</v>
      </c>
      <c r="E160" s="570">
        <v>19057</v>
      </c>
      <c r="G160" s="568" t="s">
        <v>245</v>
      </c>
      <c r="H160" s="570">
        <v>14089</v>
      </c>
      <c r="I160" s="568"/>
      <c r="J160" s="570"/>
    </row>
    <row r="161" spans="1:10">
      <c r="A161" s="559">
        <v>7</v>
      </c>
      <c r="B161" s="568" t="s">
        <v>384</v>
      </c>
      <c r="C161" s="570">
        <v>210373</v>
      </c>
      <c r="D161" s="578" t="s">
        <v>465</v>
      </c>
      <c r="E161" s="570">
        <v>17713</v>
      </c>
      <c r="G161" s="568" t="s">
        <v>247</v>
      </c>
      <c r="H161" s="570">
        <v>9747</v>
      </c>
      <c r="I161" s="568"/>
      <c r="J161" s="570"/>
    </row>
    <row r="162" spans="1:10">
      <c r="A162" s="559">
        <v>8</v>
      </c>
      <c r="B162" s="568" t="s">
        <v>458</v>
      </c>
      <c r="C162" s="570">
        <v>189565</v>
      </c>
      <c r="D162" s="578" t="s">
        <v>247</v>
      </c>
      <c r="E162" s="570">
        <v>14308</v>
      </c>
      <c r="G162" s="568" t="s">
        <v>239</v>
      </c>
      <c r="H162" s="570">
        <v>6935</v>
      </c>
      <c r="I162" s="568"/>
      <c r="J162" s="570"/>
    </row>
    <row r="163" spans="1:10">
      <c r="A163" s="559">
        <v>9</v>
      </c>
      <c r="B163" s="568" t="s">
        <v>464</v>
      </c>
      <c r="C163" s="570">
        <v>183505</v>
      </c>
      <c r="D163" s="578" t="s">
        <v>384</v>
      </c>
      <c r="E163" s="570">
        <v>9435</v>
      </c>
      <c r="G163" s="568" t="s">
        <v>232</v>
      </c>
      <c r="H163" s="570">
        <v>4374</v>
      </c>
      <c r="I163" s="568"/>
      <c r="J163" s="570"/>
    </row>
    <row r="164" spans="1:10">
      <c r="A164" s="559">
        <v>10</v>
      </c>
      <c r="B164" s="568" t="s">
        <v>336</v>
      </c>
      <c r="C164" s="570">
        <v>124742</v>
      </c>
      <c r="D164" s="578"/>
      <c r="E164" s="570"/>
      <c r="G164" s="568" t="s">
        <v>517</v>
      </c>
      <c r="H164" s="570">
        <v>3155</v>
      </c>
      <c r="I164" s="568"/>
      <c r="J164" s="570"/>
    </row>
    <row r="165" spans="1:10">
      <c r="B165" s="568" t="s">
        <v>445</v>
      </c>
      <c r="C165" s="570">
        <f>C166-SUM(C155:C164)</f>
        <v>1092657</v>
      </c>
      <c r="D165" s="568" t="s">
        <v>102</v>
      </c>
      <c r="E165" s="570">
        <f>E166-SUM(E155:E164)</f>
        <v>0</v>
      </c>
      <c r="G165" s="568" t="s">
        <v>102</v>
      </c>
      <c r="H165" s="570">
        <f>H166-SUM(H155:H164)</f>
        <v>15902</v>
      </c>
      <c r="I165" s="568" t="s">
        <v>102</v>
      </c>
      <c r="J165" s="570">
        <f>J166-SUM(J155:J164)</f>
        <v>0</v>
      </c>
    </row>
    <row r="166" spans="1:10">
      <c r="B166" s="568" t="s">
        <v>103</v>
      </c>
      <c r="C166" s="570">
        <v>6392931</v>
      </c>
      <c r="D166" s="568" t="s">
        <v>103</v>
      </c>
      <c r="E166" s="570">
        <v>1304334</v>
      </c>
      <c r="G166" s="568" t="s">
        <v>103</v>
      </c>
      <c r="H166" s="570">
        <v>438832</v>
      </c>
      <c r="I166" s="568" t="s">
        <v>103</v>
      </c>
      <c r="J166" s="570">
        <v>260498</v>
      </c>
    </row>
    <row r="167" spans="1:10" ht="9.75" customHeight="1">
      <c r="B167" s="575"/>
    </row>
    <row r="168" spans="1:10">
      <c r="B168" s="583" t="s">
        <v>469</v>
      </c>
      <c r="C168" s="580"/>
      <c r="D168" s="577"/>
      <c r="E168" s="580"/>
      <c r="F168" s="577"/>
      <c r="G168" s="577"/>
      <c r="H168" s="580"/>
      <c r="I168" s="577"/>
      <c r="J168" s="580"/>
    </row>
    <row r="169" spans="1:10">
      <c r="B169" s="577"/>
      <c r="C169" s="580"/>
      <c r="D169" s="577"/>
      <c r="E169" s="580"/>
      <c r="F169" s="577"/>
      <c r="G169" s="577"/>
      <c r="H169" s="580"/>
      <c r="I169" s="577"/>
      <c r="J169" s="580"/>
    </row>
    <row r="170" spans="1:10">
      <c r="B170" s="577"/>
      <c r="C170" s="580"/>
      <c r="D170" s="577"/>
      <c r="E170" s="580"/>
      <c r="F170" s="577"/>
      <c r="G170" s="577"/>
      <c r="H170" s="580"/>
      <c r="I170" s="577"/>
      <c r="J170" s="580"/>
    </row>
    <row r="171" spans="1:10">
      <c r="B171" s="577"/>
      <c r="C171" s="580"/>
      <c r="D171" s="577"/>
      <c r="E171" s="580"/>
      <c r="F171" s="577"/>
      <c r="G171" s="577"/>
      <c r="H171" s="580"/>
      <c r="I171" s="577"/>
      <c r="J171" s="580"/>
    </row>
    <row r="172" spans="1:10">
      <c r="B172" s="577"/>
      <c r="C172" s="580"/>
      <c r="D172" s="577"/>
      <c r="E172" s="580"/>
      <c r="F172" s="577"/>
      <c r="G172" s="577"/>
      <c r="H172" s="580"/>
      <c r="I172" s="577"/>
      <c r="J172" s="580"/>
    </row>
    <row r="173" spans="1:10">
      <c r="B173" s="577"/>
      <c r="C173" s="580"/>
      <c r="D173" s="577"/>
      <c r="E173" s="580"/>
      <c r="F173" s="577"/>
      <c r="G173" s="577"/>
      <c r="H173" s="580"/>
      <c r="I173" s="577"/>
      <c r="J173" s="580"/>
    </row>
    <row r="174" spans="1:10">
      <c r="B174" s="577"/>
      <c r="C174" s="580"/>
      <c r="D174" s="577"/>
      <c r="E174" s="580"/>
      <c r="F174" s="577"/>
      <c r="G174" s="577"/>
      <c r="H174" s="580"/>
      <c r="I174" s="577"/>
      <c r="J174" s="580"/>
    </row>
    <row r="175" spans="1:10">
      <c r="B175" s="577"/>
      <c r="C175" s="580"/>
      <c r="D175" s="577"/>
      <c r="E175" s="580"/>
      <c r="F175" s="577"/>
      <c r="G175" s="577"/>
      <c r="H175" s="580"/>
      <c r="I175" s="577"/>
      <c r="J175" s="580"/>
    </row>
    <row r="176" spans="1:10">
      <c r="B176" s="577"/>
      <c r="C176" s="580"/>
      <c r="D176" s="577"/>
      <c r="E176" s="580"/>
      <c r="F176" s="577"/>
      <c r="G176" s="577"/>
      <c r="H176" s="580"/>
      <c r="I176" s="577"/>
      <c r="J176" s="580"/>
    </row>
    <row r="177" spans="2:10">
      <c r="B177" s="577"/>
      <c r="C177" s="580"/>
      <c r="D177" s="577"/>
      <c r="E177" s="580"/>
      <c r="F177" s="577"/>
      <c r="G177" s="577"/>
      <c r="H177" s="580"/>
      <c r="I177" s="577"/>
      <c r="J177" s="580"/>
    </row>
    <row r="178" spans="2:10">
      <c r="B178" s="577"/>
      <c r="C178" s="580"/>
      <c r="D178" s="577"/>
      <c r="E178" s="580"/>
      <c r="F178" s="577"/>
      <c r="G178" s="577"/>
      <c r="H178" s="580"/>
      <c r="I178" s="577"/>
      <c r="J178" s="580"/>
    </row>
    <row r="179" spans="2:10">
      <c r="B179" s="577"/>
      <c r="C179" s="580"/>
      <c r="D179" s="577"/>
      <c r="E179" s="580"/>
      <c r="F179" s="577"/>
      <c r="G179" s="577"/>
      <c r="H179" s="580"/>
      <c r="I179" s="577"/>
      <c r="J179" s="580"/>
    </row>
  </sheetData>
  <phoneticPr fontId="4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C10" sqref="C10"/>
    </sheetView>
  </sheetViews>
  <sheetFormatPr defaultRowHeight="16.5"/>
  <cols>
    <col min="1" max="1" width="16.875" style="5" customWidth="1"/>
    <col min="2" max="2" width="13.5" style="5" customWidth="1"/>
    <col min="3" max="3" width="12.625" style="58" customWidth="1"/>
    <col min="4" max="4" width="13.75" style="59" customWidth="1"/>
    <col min="5" max="5" width="15" style="5" customWidth="1"/>
    <col min="6" max="6" width="15.125" style="58" customWidth="1"/>
    <col min="7" max="7" width="12.25" style="59" customWidth="1"/>
    <col min="8" max="9" width="12.5" style="518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93" t="s">
        <v>487</v>
      </c>
      <c r="B1" s="593"/>
      <c r="C1" s="593"/>
      <c r="D1" s="593"/>
      <c r="E1" s="593"/>
      <c r="F1" s="593"/>
      <c r="G1" s="593"/>
      <c r="H1" s="593"/>
      <c r="I1" s="593"/>
      <c r="J1" s="593"/>
    </row>
    <row r="2" spans="1:10" ht="8.25" customHeight="1">
      <c r="G2" s="60"/>
    </row>
    <row r="3" spans="1:10">
      <c r="A3" s="61" t="s">
        <v>104</v>
      </c>
      <c r="B3" s="62"/>
      <c r="C3" s="63"/>
      <c r="D3" s="64"/>
      <c r="E3" s="62"/>
      <c r="F3" s="65"/>
      <c r="G3" s="66"/>
      <c r="H3" s="519"/>
      <c r="I3" s="519"/>
      <c r="J3" s="68"/>
    </row>
    <row r="4" spans="1:10">
      <c r="A4" s="69" t="s">
        <v>488</v>
      </c>
      <c r="B4" s="8" t="s">
        <v>450</v>
      </c>
      <c r="C4" s="70" t="s">
        <v>451</v>
      </c>
      <c r="D4" s="71" t="s">
        <v>155</v>
      </c>
      <c r="E4" s="8" t="s">
        <v>450</v>
      </c>
      <c r="F4" s="499" t="s">
        <v>451</v>
      </c>
      <c r="G4" s="73" t="s">
        <v>156</v>
      </c>
      <c r="H4" s="520" t="s">
        <v>450</v>
      </c>
      <c r="I4" s="521" t="s">
        <v>451</v>
      </c>
      <c r="J4" s="74" t="s">
        <v>156</v>
      </c>
    </row>
    <row r="5" spans="1:10">
      <c r="A5" s="14"/>
      <c r="B5" s="8" t="s">
        <v>32</v>
      </c>
      <c r="C5" s="75" t="s">
        <v>32</v>
      </c>
      <c r="D5" s="422" t="s">
        <v>1</v>
      </c>
      <c r="E5" s="76" t="s">
        <v>33</v>
      </c>
      <c r="F5" s="500" t="s">
        <v>33</v>
      </c>
      <c r="G5" s="422" t="s">
        <v>1</v>
      </c>
      <c r="H5" s="522" t="s">
        <v>105</v>
      </c>
      <c r="I5" s="523" t="s">
        <v>106</v>
      </c>
      <c r="J5" s="422" t="s">
        <v>1</v>
      </c>
    </row>
    <row r="6" spans="1:10">
      <c r="A6" s="79" t="s">
        <v>4</v>
      </c>
      <c r="B6" s="17"/>
      <c r="C6" s="80"/>
      <c r="D6" s="81"/>
      <c r="E6" s="17"/>
      <c r="F6" s="501"/>
      <c r="G6" s="81"/>
      <c r="H6" s="524"/>
      <c r="I6" s="525"/>
      <c r="J6" s="81"/>
    </row>
    <row r="7" spans="1:10">
      <c r="A7" s="79" t="s">
        <v>5</v>
      </c>
      <c r="B7" s="22">
        <f>SUM(B8:B10)</f>
        <v>252904</v>
      </c>
      <c r="C7" s="83">
        <v>413891</v>
      </c>
      <c r="D7" s="471">
        <f>IF(C7,(B7-C7)/C7,0)</f>
        <v>-0.38895989523811825</v>
      </c>
      <c r="E7" s="22">
        <f>SUM(E8:E10)</f>
        <v>276767970</v>
      </c>
      <c r="F7" s="83">
        <v>430812183</v>
      </c>
      <c r="G7" s="471">
        <f>IF(F7,(E7-F7)/F7,0)</f>
        <v>-0.35756698412588761</v>
      </c>
      <c r="H7" s="526">
        <f>IF(B7,E7/B7,0)</f>
        <v>1094.3597966026634</v>
      </c>
      <c r="I7" s="527">
        <f>IF(C7,F7/C7,0)</f>
        <v>1040.8831866360949</v>
      </c>
      <c r="J7" s="471">
        <f>IF(I7,(H7-I7)/I7,0)</f>
        <v>5.1376187696328464E-2</v>
      </c>
    </row>
    <row r="8" spans="1:10">
      <c r="A8" s="425" t="s">
        <v>197</v>
      </c>
      <c r="B8" s="28">
        <f>整車!E8</f>
        <v>231236</v>
      </c>
      <c r="C8" s="87">
        <v>374666</v>
      </c>
      <c r="D8" s="471">
        <f t="shared" ref="D8:D67" si="0">IF(C8,(B8-C8)/C8,0)</f>
        <v>-0.38282096587360476</v>
      </c>
      <c r="E8" s="27">
        <f>整車!G8</f>
        <v>245313168</v>
      </c>
      <c r="F8" s="87">
        <v>379174155</v>
      </c>
      <c r="G8" s="471">
        <f t="shared" ref="G8:G67" si="1">IF(F8,(E8-F8)/F8,0)</f>
        <v>-0.35303299350663814</v>
      </c>
      <c r="H8" s="526">
        <f t="shared" ref="H8:H10" si="2">IF(B8,E8/B8,0)</f>
        <v>1060.8779255825218</v>
      </c>
      <c r="I8" s="528">
        <f t="shared" ref="I8:I10" si="3">IF(C8,F8/C8,0)</f>
        <v>1012.0324635808961</v>
      </c>
      <c r="J8" s="471">
        <f t="shared" ref="J8:J67" si="4">IF(I8,(H8-I8)/I8,0)</f>
        <v>4.8264718533627647E-2</v>
      </c>
    </row>
    <row r="9" spans="1:10">
      <c r="A9" s="426" t="s">
        <v>6</v>
      </c>
      <c r="B9" s="28">
        <f>整車!E9</f>
        <v>18573</v>
      </c>
      <c r="C9" s="87">
        <v>32238</v>
      </c>
      <c r="D9" s="471">
        <f t="shared" si="0"/>
        <v>-0.42387865252186863</v>
      </c>
      <c r="E9" s="27">
        <f>整車!G9</f>
        <v>27068822</v>
      </c>
      <c r="F9" s="87">
        <v>42247980</v>
      </c>
      <c r="G9" s="471">
        <f t="shared" si="1"/>
        <v>-0.35928718958870931</v>
      </c>
      <c r="H9" s="526">
        <f t="shared" si="2"/>
        <v>1457.4286329618262</v>
      </c>
      <c r="I9" s="528">
        <f t="shared" si="3"/>
        <v>1310.502512562814</v>
      </c>
      <c r="J9" s="471">
        <f t="shared" si="4"/>
        <v>0.11211433705051357</v>
      </c>
    </row>
    <row r="10" spans="1:10">
      <c r="A10" s="426" t="s">
        <v>7</v>
      </c>
      <c r="B10" s="28">
        <f>整車!E10</f>
        <v>3095</v>
      </c>
      <c r="C10" s="87">
        <v>6987</v>
      </c>
      <c r="D10" s="471">
        <f t="shared" si="0"/>
        <v>-0.55703449262916849</v>
      </c>
      <c r="E10" s="27">
        <f>整車!G10</f>
        <v>4385980</v>
      </c>
      <c r="F10" s="87">
        <v>9390048</v>
      </c>
      <c r="G10" s="471">
        <f t="shared" si="1"/>
        <v>-0.53291186583923744</v>
      </c>
      <c r="H10" s="526">
        <f t="shared" si="2"/>
        <v>1417.1179321486268</v>
      </c>
      <c r="I10" s="528">
        <f t="shared" si="3"/>
        <v>1343.9313009875484</v>
      </c>
      <c r="J10" s="471">
        <f t="shared" si="4"/>
        <v>5.4457122255653488E-2</v>
      </c>
    </row>
    <row r="11" spans="1:10">
      <c r="A11" s="30"/>
      <c r="B11" s="28"/>
      <c r="C11" s="88"/>
      <c r="D11" s="471"/>
      <c r="E11" s="27"/>
      <c r="F11" s="88"/>
      <c r="G11" s="471"/>
      <c r="H11" s="526"/>
      <c r="I11" s="529"/>
      <c r="J11" s="471"/>
    </row>
    <row r="12" spans="1:10">
      <c r="A12" s="32" t="s">
        <v>8</v>
      </c>
      <c r="B12" s="33">
        <f>SUM(B13:B39)</f>
        <v>191278</v>
      </c>
      <c r="C12" s="89">
        <v>322042</v>
      </c>
      <c r="D12" s="471">
        <f t="shared" si="0"/>
        <v>-0.40604641630594768</v>
      </c>
      <c r="E12" s="33">
        <f>SUM(E13:E39)</f>
        <v>211987796</v>
      </c>
      <c r="F12" s="89">
        <v>302785576</v>
      </c>
      <c r="G12" s="471">
        <f t="shared" si="1"/>
        <v>-0.29987485269113345</v>
      </c>
      <c r="H12" s="526">
        <f t="shared" ref="H12:H66" si="5">IF(B12,E12/B12,0)</f>
        <v>1108.2706636414016</v>
      </c>
      <c r="I12" s="530">
        <f t="shared" ref="I12:I67" si="6">IF(C12,F12/C12,0)</f>
        <v>940.20524031027014</v>
      </c>
      <c r="J12" s="471">
        <f t="shared" si="4"/>
        <v>0.17875397426594797</v>
      </c>
    </row>
    <row r="13" spans="1:10">
      <c r="A13" s="425" t="s">
        <v>198</v>
      </c>
      <c r="B13" s="27">
        <f>整車!E13</f>
        <v>60712</v>
      </c>
      <c r="C13" s="87">
        <v>99997</v>
      </c>
      <c r="D13" s="471">
        <f t="shared" si="0"/>
        <v>-0.39286178585357562</v>
      </c>
      <c r="E13" s="27">
        <f>整車!G13</f>
        <v>103740030</v>
      </c>
      <c r="F13" s="87">
        <v>135653993</v>
      </c>
      <c r="G13" s="471">
        <f t="shared" si="1"/>
        <v>-0.23526003396007664</v>
      </c>
      <c r="H13" s="526">
        <f t="shared" si="5"/>
        <v>1708.7236460666754</v>
      </c>
      <c r="I13" s="528">
        <f t="shared" si="6"/>
        <v>1356.5806274188226</v>
      </c>
      <c r="J13" s="471">
        <f t="shared" si="4"/>
        <v>0.25958134115321868</v>
      </c>
    </row>
    <row r="14" spans="1:10">
      <c r="A14" s="425" t="s">
        <v>199</v>
      </c>
      <c r="B14" s="27">
        <f>整車!E14</f>
        <v>39487</v>
      </c>
      <c r="C14" s="87">
        <v>76827</v>
      </c>
      <c r="D14" s="471">
        <f t="shared" si="0"/>
        <v>-0.48602704778268058</v>
      </c>
      <c r="E14" s="27">
        <f>整車!G14</f>
        <v>27612512</v>
      </c>
      <c r="F14" s="87">
        <v>46401922</v>
      </c>
      <c r="G14" s="471">
        <f t="shared" si="1"/>
        <v>-0.40492740796383392</v>
      </c>
      <c r="H14" s="526">
        <f t="shared" si="5"/>
        <v>699.28107984906421</v>
      </c>
      <c r="I14" s="528">
        <f t="shared" si="6"/>
        <v>603.97935621591364</v>
      </c>
      <c r="J14" s="471">
        <f t="shared" si="4"/>
        <v>0.15778970365848335</v>
      </c>
    </row>
    <row r="15" spans="1:10">
      <c r="A15" s="426" t="s">
        <v>9</v>
      </c>
      <c r="B15" s="27">
        <f>整車!E15</f>
        <v>10253</v>
      </c>
      <c r="C15" s="87">
        <v>9413</v>
      </c>
      <c r="D15" s="471">
        <f t="shared" si="0"/>
        <v>8.9238287474768932E-2</v>
      </c>
      <c r="E15" s="27">
        <f>整車!G15</f>
        <v>17663201</v>
      </c>
      <c r="F15" s="87">
        <v>10507723</v>
      </c>
      <c r="G15" s="471">
        <f t="shared" si="1"/>
        <v>0.68097322321876963</v>
      </c>
      <c r="H15" s="526">
        <f t="shared" si="5"/>
        <v>1722.7349068565297</v>
      </c>
      <c r="I15" s="528">
        <f t="shared" si="6"/>
        <v>1116.2990544990969</v>
      </c>
      <c r="J15" s="471">
        <f t="shared" si="4"/>
        <v>0.54325572516905096</v>
      </c>
    </row>
    <row r="16" spans="1:10">
      <c r="A16" s="425" t="s">
        <v>200</v>
      </c>
      <c r="B16" s="27">
        <f>整車!E16</f>
        <v>5984</v>
      </c>
      <c r="C16" s="87">
        <v>30722</v>
      </c>
      <c r="D16" s="471">
        <f t="shared" si="0"/>
        <v>-0.8052210142568843</v>
      </c>
      <c r="E16" s="27">
        <f>整車!G16</f>
        <v>9391441</v>
      </c>
      <c r="F16" s="87">
        <v>27080921</v>
      </c>
      <c r="G16" s="471">
        <f t="shared" si="1"/>
        <v>-0.65320821252718841</v>
      </c>
      <c r="H16" s="526">
        <f t="shared" si="5"/>
        <v>1569.425300802139</v>
      </c>
      <c r="I16" s="528">
        <f t="shared" si="6"/>
        <v>881.48300891869019</v>
      </c>
      <c r="J16" s="471">
        <f t="shared" si="4"/>
        <v>0.78043738214233238</v>
      </c>
    </row>
    <row r="17" spans="1:10">
      <c r="A17" s="426" t="s">
        <v>10</v>
      </c>
      <c r="B17" s="27">
        <f>整車!E17</f>
        <v>9760</v>
      </c>
      <c r="C17" s="87">
        <v>10874</v>
      </c>
      <c r="D17" s="471">
        <f t="shared" si="0"/>
        <v>-0.10244620194960456</v>
      </c>
      <c r="E17" s="27">
        <f>整車!G17</f>
        <v>14182209</v>
      </c>
      <c r="F17" s="87">
        <v>16470883</v>
      </c>
      <c r="G17" s="471">
        <f t="shared" si="1"/>
        <v>-0.13895272038542195</v>
      </c>
      <c r="H17" s="526">
        <f t="shared" si="5"/>
        <v>1453.0951844262295</v>
      </c>
      <c r="I17" s="528">
        <f t="shared" si="6"/>
        <v>1514.7032370792717</v>
      </c>
      <c r="J17" s="471">
        <f t="shared" si="4"/>
        <v>-4.0673348511381047E-2</v>
      </c>
    </row>
    <row r="18" spans="1:10">
      <c r="A18" s="426" t="s">
        <v>11</v>
      </c>
      <c r="B18" s="27">
        <f>整車!E18</f>
        <v>21077</v>
      </c>
      <c r="C18" s="87">
        <v>30012</v>
      </c>
      <c r="D18" s="471">
        <f t="shared" si="0"/>
        <v>-0.29771424763427962</v>
      </c>
      <c r="E18" s="27">
        <f>整車!G18</f>
        <v>19547488</v>
      </c>
      <c r="F18" s="87">
        <v>40999955</v>
      </c>
      <c r="G18" s="471">
        <f t="shared" si="1"/>
        <v>-0.5232314767174745</v>
      </c>
      <c r="H18" s="526">
        <f t="shared" si="5"/>
        <v>927.43217725482759</v>
      </c>
      <c r="I18" s="528">
        <f t="shared" si="6"/>
        <v>1366.118719178995</v>
      </c>
      <c r="J18" s="471">
        <f t="shared" si="4"/>
        <v>-0.32111890113606495</v>
      </c>
    </row>
    <row r="19" spans="1:10">
      <c r="A19" s="425" t="s">
        <v>201</v>
      </c>
      <c r="B19" s="27">
        <f>整車!E19</f>
        <v>10735</v>
      </c>
      <c r="C19" s="87">
        <v>14297</v>
      </c>
      <c r="D19" s="471">
        <f t="shared" si="0"/>
        <v>-0.2491431768902567</v>
      </c>
      <c r="E19" s="27">
        <f>整車!G19</f>
        <v>2984678</v>
      </c>
      <c r="F19" s="87">
        <v>5121594</v>
      </c>
      <c r="G19" s="471">
        <f t="shared" si="1"/>
        <v>-0.41723650879003688</v>
      </c>
      <c r="H19" s="526">
        <f t="shared" si="5"/>
        <v>278.03241732650207</v>
      </c>
      <c r="I19" s="528">
        <f t="shared" si="6"/>
        <v>358.22857942225642</v>
      </c>
      <c r="J19" s="471">
        <f t="shared" si="4"/>
        <v>-0.22386868804575291</v>
      </c>
    </row>
    <row r="20" spans="1:10">
      <c r="A20" s="426" t="s">
        <v>202</v>
      </c>
      <c r="B20" s="27">
        <f>整車!E20</f>
        <v>23</v>
      </c>
      <c r="C20" s="87">
        <v>85</v>
      </c>
      <c r="D20" s="471">
        <f t="shared" si="0"/>
        <v>-0.72941176470588232</v>
      </c>
      <c r="E20" s="27">
        <f>整車!G20</f>
        <v>52032</v>
      </c>
      <c r="F20" s="87">
        <v>175126</v>
      </c>
      <c r="G20" s="471">
        <f t="shared" si="1"/>
        <v>-0.70288820620581749</v>
      </c>
      <c r="H20" s="526">
        <f t="shared" si="5"/>
        <v>2262.2608695652175</v>
      </c>
      <c r="I20" s="528">
        <f t="shared" si="6"/>
        <v>2060.3058823529414</v>
      </c>
      <c r="J20" s="471">
        <f t="shared" si="4"/>
        <v>9.8021846630674314E-2</v>
      </c>
    </row>
    <row r="21" spans="1:10">
      <c r="A21" s="425" t="s">
        <v>203</v>
      </c>
      <c r="B21" s="27">
        <f>整車!E21</f>
        <v>34</v>
      </c>
      <c r="C21" s="87">
        <v>1895</v>
      </c>
      <c r="D21" s="471">
        <f t="shared" si="0"/>
        <v>-0.98205804749340364</v>
      </c>
      <c r="E21" s="27">
        <f>整車!G21</f>
        <v>5233</v>
      </c>
      <c r="F21" s="87">
        <v>445459</v>
      </c>
      <c r="G21" s="471">
        <f t="shared" si="1"/>
        <v>-0.98825256645392734</v>
      </c>
      <c r="H21" s="526">
        <f t="shared" si="5"/>
        <v>153.91176470588235</v>
      </c>
      <c r="I21" s="528">
        <f t="shared" si="6"/>
        <v>235.0707124010554</v>
      </c>
      <c r="J21" s="471">
        <f t="shared" si="4"/>
        <v>-0.34525333618212439</v>
      </c>
    </row>
    <row r="22" spans="1:10">
      <c r="A22" s="426" t="s">
        <v>13</v>
      </c>
      <c r="B22" s="27">
        <f>整車!E22</f>
        <v>1148</v>
      </c>
      <c r="C22" s="87">
        <v>0</v>
      </c>
      <c r="D22" s="471">
        <v>0</v>
      </c>
      <c r="E22" s="27">
        <f>整車!G22</f>
        <v>454951</v>
      </c>
      <c r="F22" s="87">
        <v>0</v>
      </c>
      <c r="G22" s="471">
        <v>0</v>
      </c>
      <c r="H22" s="526">
        <f t="shared" si="5"/>
        <v>396.29878048780489</v>
      </c>
      <c r="I22" s="528">
        <f t="shared" si="6"/>
        <v>0</v>
      </c>
      <c r="J22" s="471">
        <f t="shared" si="4"/>
        <v>0</v>
      </c>
    </row>
    <row r="23" spans="1:10">
      <c r="A23" s="426" t="s">
        <v>14</v>
      </c>
      <c r="B23" s="27">
        <f>整車!E23</f>
        <v>151</v>
      </c>
      <c r="C23" s="87">
        <v>148</v>
      </c>
      <c r="D23" s="471">
        <f t="shared" si="0"/>
        <v>2.0270270270270271E-2</v>
      </c>
      <c r="E23" s="27">
        <f>整車!G23</f>
        <v>426812</v>
      </c>
      <c r="F23" s="87">
        <v>388156</v>
      </c>
      <c r="G23" s="471">
        <f t="shared" si="1"/>
        <v>9.9588825111553092E-2</v>
      </c>
      <c r="H23" s="526">
        <f t="shared" si="5"/>
        <v>2826.5695364238409</v>
      </c>
      <c r="I23" s="528">
        <f t="shared" si="6"/>
        <v>2622.6756756756758</v>
      </c>
      <c r="J23" s="471">
        <f t="shared" si="4"/>
        <v>7.7742689513310162E-2</v>
      </c>
    </row>
    <row r="24" spans="1:10">
      <c r="A24" s="426" t="s">
        <v>15</v>
      </c>
      <c r="B24" s="27">
        <f>整車!E24</f>
        <v>65</v>
      </c>
      <c r="C24" s="87">
        <v>1644</v>
      </c>
      <c r="D24" s="471">
        <f t="shared" si="0"/>
        <v>-0.96046228710462289</v>
      </c>
      <c r="E24" s="27">
        <f>整車!G24</f>
        <v>149544</v>
      </c>
      <c r="F24" s="87">
        <v>1150149</v>
      </c>
      <c r="G24" s="471">
        <f t="shared" si="1"/>
        <v>-0.8699785853832851</v>
      </c>
      <c r="H24" s="526">
        <f t="shared" si="5"/>
        <v>2300.6769230769232</v>
      </c>
      <c r="I24" s="528">
        <f t="shared" si="6"/>
        <v>699.60401459854018</v>
      </c>
      <c r="J24" s="471">
        <f t="shared" si="4"/>
        <v>2.2885416250750654</v>
      </c>
    </row>
    <row r="25" spans="1:10">
      <c r="A25" s="425" t="s">
        <v>204</v>
      </c>
      <c r="B25" s="27">
        <f>整車!E25</f>
        <v>8900</v>
      </c>
      <c r="C25" s="87">
        <v>21094</v>
      </c>
      <c r="D25" s="471">
        <f t="shared" si="0"/>
        <v>-0.57807907461837493</v>
      </c>
      <c r="E25" s="27">
        <f>整車!G25</f>
        <v>3022579</v>
      </c>
      <c r="F25" s="87">
        <v>4658050</v>
      </c>
      <c r="G25" s="471">
        <f t="shared" si="1"/>
        <v>-0.35110636425113512</v>
      </c>
      <c r="H25" s="526">
        <f t="shared" si="5"/>
        <v>339.61561797752807</v>
      </c>
      <c r="I25" s="528">
        <f t="shared" si="6"/>
        <v>220.82345690717739</v>
      </c>
      <c r="J25" s="471">
        <f t="shared" si="4"/>
        <v>0.53795082612208489</v>
      </c>
    </row>
    <row r="26" spans="1:10">
      <c r="A26" s="425" t="s">
        <v>205</v>
      </c>
      <c r="B26" s="27">
        <f>整車!E26</f>
        <v>137</v>
      </c>
      <c r="C26" s="87">
        <v>1936</v>
      </c>
      <c r="D26" s="471">
        <f t="shared" si="0"/>
        <v>-0.92923553719008267</v>
      </c>
      <c r="E26" s="27">
        <f>整車!G26</f>
        <v>85539</v>
      </c>
      <c r="F26" s="87">
        <v>1070806</v>
      </c>
      <c r="G26" s="471">
        <f t="shared" si="1"/>
        <v>-0.92011718275766108</v>
      </c>
      <c r="H26" s="526">
        <f t="shared" si="5"/>
        <v>624.37226277372258</v>
      </c>
      <c r="I26" s="528">
        <f t="shared" si="6"/>
        <v>553.10227272727275</v>
      </c>
      <c r="J26" s="471">
        <f t="shared" si="4"/>
        <v>0.12885499402312545</v>
      </c>
    </row>
    <row r="27" spans="1:10">
      <c r="A27" s="427" t="s">
        <v>206</v>
      </c>
      <c r="B27" s="27">
        <f>整車!E27</f>
        <v>12217</v>
      </c>
      <c r="C27" s="87">
        <v>10349</v>
      </c>
      <c r="D27" s="471">
        <f t="shared" si="0"/>
        <v>0.18050053145231423</v>
      </c>
      <c r="E27" s="27">
        <f>整車!G27</f>
        <v>6194429</v>
      </c>
      <c r="F27" s="87">
        <v>6266877</v>
      </c>
      <c r="G27" s="471">
        <f t="shared" si="1"/>
        <v>-1.1560463050415701E-2</v>
      </c>
      <c r="H27" s="526">
        <f t="shared" si="5"/>
        <v>507.03355979373003</v>
      </c>
      <c r="I27" s="528">
        <f t="shared" si="6"/>
        <v>605.55386993912452</v>
      </c>
      <c r="J27" s="471">
        <f t="shared" si="4"/>
        <v>-0.16269454302273487</v>
      </c>
    </row>
    <row r="28" spans="1:10">
      <c r="A28" s="427" t="s">
        <v>207</v>
      </c>
      <c r="B28" s="27">
        <f>整車!E28</f>
        <v>6712</v>
      </c>
      <c r="C28" s="87">
        <v>6894</v>
      </c>
      <c r="D28" s="471">
        <f t="shared" si="0"/>
        <v>-2.6399767914128229E-2</v>
      </c>
      <c r="E28" s="27">
        <f>整車!G28</f>
        <v>3775683</v>
      </c>
      <c r="F28" s="87">
        <v>3320263</v>
      </c>
      <c r="G28" s="471">
        <f t="shared" si="1"/>
        <v>0.13716383310599189</v>
      </c>
      <c r="H28" s="526">
        <f t="shared" si="5"/>
        <v>562.52726460071517</v>
      </c>
      <c r="I28" s="528">
        <f t="shared" si="6"/>
        <v>481.61633304322601</v>
      </c>
      <c r="J28" s="471">
        <f t="shared" si="4"/>
        <v>0.16799872846136896</v>
      </c>
    </row>
    <row r="29" spans="1:10">
      <c r="A29" s="426" t="s">
        <v>208</v>
      </c>
      <c r="B29" s="27">
        <f>整車!E29</f>
        <v>565</v>
      </c>
      <c r="C29" s="87">
        <v>1598</v>
      </c>
      <c r="D29" s="471">
        <f t="shared" si="0"/>
        <v>-0.64643304130162704</v>
      </c>
      <c r="E29" s="27">
        <f>整車!G29</f>
        <v>408758</v>
      </c>
      <c r="F29" s="87">
        <v>738884</v>
      </c>
      <c r="G29" s="471">
        <f t="shared" si="1"/>
        <v>-0.44679002387384215</v>
      </c>
      <c r="H29" s="526">
        <f t="shared" si="5"/>
        <v>723.46548672566371</v>
      </c>
      <c r="I29" s="528">
        <f t="shared" si="6"/>
        <v>462.38047559449313</v>
      </c>
      <c r="J29" s="471">
        <f t="shared" si="4"/>
        <v>0.56465405637097377</v>
      </c>
    </row>
    <row r="30" spans="1:10">
      <c r="A30" s="426" t="s">
        <v>209</v>
      </c>
      <c r="B30" s="27">
        <f>整車!E30</f>
        <v>0</v>
      </c>
      <c r="C30" s="87">
        <v>22</v>
      </c>
      <c r="D30" s="471">
        <v>0</v>
      </c>
      <c r="E30" s="27">
        <f>整車!G30</f>
        <v>0</v>
      </c>
      <c r="F30" s="87">
        <v>4265</v>
      </c>
      <c r="G30" s="471">
        <v>0</v>
      </c>
      <c r="H30" s="526">
        <f t="shared" si="5"/>
        <v>0</v>
      </c>
      <c r="I30" s="528">
        <f t="shared" si="6"/>
        <v>193.86363636363637</v>
      </c>
      <c r="J30" s="471">
        <f t="shared" si="4"/>
        <v>-1</v>
      </c>
    </row>
    <row r="31" spans="1:10">
      <c r="A31" s="426" t="s">
        <v>16</v>
      </c>
      <c r="B31" s="27">
        <f>整車!E31</f>
        <v>1375</v>
      </c>
      <c r="C31" s="87">
        <v>1279</v>
      </c>
      <c r="D31" s="471">
        <f t="shared" si="0"/>
        <v>7.5058639562157942E-2</v>
      </c>
      <c r="E31" s="361">
        <f>整車!G31</f>
        <v>1647256</v>
      </c>
      <c r="F31" s="87">
        <v>1389730</v>
      </c>
      <c r="G31" s="471">
        <f t="shared" si="1"/>
        <v>0.1853064983845783</v>
      </c>
      <c r="H31" s="526">
        <f t="shared" si="5"/>
        <v>1198.0043636363637</v>
      </c>
      <c r="I31" s="528">
        <f t="shared" si="6"/>
        <v>1086.5754495699766</v>
      </c>
      <c r="J31" s="471">
        <f t="shared" si="4"/>
        <v>0.10255055377009133</v>
      </c>
    </row>
    <row r="32" spans="1:10">
      <c r="A32" s="426" t="s">
        <v>17</v>
      </c>
      <c r="B32" s="27">
        <f>整車!E32</f>
        <v>0</v>
      </c>
      <c r="C32" s="87">
        <v>50</v>
      </c>
      <c r="D32" s="471">
        <f t="shared" si="0"/>
        <v>-1</v>
      </c>
      <c r="E32" s="27">
        <f>整車!G32</f>
        <v>0</v>
      </c>
      <c r="F32" s="87">
        <v>6219</v>
      </c>
      <c r="G32" s="471">
        <f t="shared" si="1"/>
        <v>-1</v>
      </c>
      <c r="H32" s="526">
        <f t="shared" si="5"/>
        <v>0</v>
      </c>
      <c r="I32" s="528">
        <f t="shared" si="6"/>
        <v>124.38</v>
      </c>
      <c r="J32" s="471">
        <f t="shared" si="4"/>
        <v>-1</v>
      </c>
    </row>
    <row r="33" spans="1:10">
      <c r="A33" s="426" t="s">
        <v>210</v>
      </c>
      <c r="B33" s="27">
        <f>整車!E33</f>
        <v>815</v>
      </c>
      <c r="C33" s="87">
        <v>914</v>
      </c>
      <c r="D33" s="471">
        <f t="shared" si="0"/>
        <v>-0.10831509846827134</v>
      </c>
      <c r="E33" s="27">
        <f>整車!G33</f>
        <v>216361</v>
      </c>
      <c r="F33" s="87">
        <v>417091</v>
      </c>
      <c r="G33" s="471">
        <f t="shared" si="1"/>
        <v>-0.48126188289845623</v>
      </c>
      <c r="H33" s="526">
        <f t="shared" si="5"/>
        <v>265.47361963190184</v>
      </c>
      <c r="I33" s="528">
        <f t="shared" si="6"/>
        <v>456.33588621444204</v>
      </c>
      <c r="J33" s="471">
        <f t="shared" si="4"/>
        <v>-0.41824952266158161</v>
      </c>
    </row>
    <row r="34" spans="1:10">
      <c r="A34" s="426" t="s">
        <v>211</v>
      </c>
      <c r="B34" s="27">
        <f>整車!E34</f>
        <v>89</v>
      </c>
      <c r="C34" s="87">
        <v>427</v>
      </c>
      <c r="D34" s="471">
        <f t="shared" si="0"/>
        <v>-0.79156908665105385</v>
      </c>
      <c r="E34" s="27">
        <f>整車!G34</f>
        <v>16606</v>
      </c>
      <c r="F34" s="87">
        <v>114645</v>
      </c>
      <c r="G34" s="471">
        <f t="shared" si="1"/>
        <v>-0.85515286318635786</v>
      </c>
      <c r="H34" s="526">
        <f t="shared" si="5"/>
        <v>186.58426966292134</v>
      </c>
      <c r="I34" s="528">
        <f t="shared" si="6"/>
        <v>268.4894613583138</v>
      </c>
      <c r="J34" s="471">
        <f t="shared" si="4"/>
        <v>-0.30505924247836874</v>
      </c>
    </row>
    <row r="35" spans="1:10">
      <c r="A35" s="426" t="s">
        <v>212</v>
      </c>
      <c r="B35" s="27">
        <f>整車!E35</f>
        <v>466</v>
      </c>
      <c r="C35" s="87">
        <v>409</v>
      </c>
      <c r="D35" s="471">
        <f t="shared" si="0"/>
        <v>0.13936430317848411</v>
      </c>
      <c r="E35" s="27">
        <f>整車!G35</f>
        <v>255739</v>
      </c>
      <c r="F35" s="87">
        <v>165765</v>
      </c>
      <c r="G35" s="471">
        <f t="shared" si="1"/>
        <v>0.54278044219226018</v>
      </c>
      <c r="H35" s="526">
        <f t="shared" si="5"/>
        <v>548.7961373390558</v>
      </c>
      <c r="I35" s="528">
        <f t="shared" si="6"/>
        <v>405.29339853300735</v>
      </c>
      <c r="J35" s="471">
        <f t="shared" si="4"/>
        <v>0.35407124647346433</v>
      </c>
    </row>
    <row r="36" spans="1:10">
      <c r="A36" s="426" t="s">
        <v>213</v>
      </c>
      <c r="B36" s="27">
        <f>整車!E36</f>
        <v>128</v>
      </c>
      <c r="C36" s="87">
        <v>130</v>
      </c>
      <c r="D36" s="471">
        <v>0</v>
      </c>
      <c r="E36" s="27">
        <f>整車!G36</f>
        <v>17159</v>
      </c>
      <c r="F36" s="87">
        <v>20164</v>
      </c>
      <c r="G36" s="471">
        <v>0</v>
      </c>
      <c r="H36" s="526">
        <f t="shared" si="5"/>
        <v>134.0546875</v>
      </c>
      <c r="I36" s="528">
        <f t="shared" si="6"/>
        <v>155.1076923076923</v>
      </c>
      <c r="J36" s="471">
        <f t="shared" si="4"/>
        <v>-0.13573153268200752</v>
      </c>
    </row>
    <row r="37" spans="1:10">
      <c r="A37" s="426" t="s">
        <v>214</v>
      </c>
      <c r="B37" s="27">
        <f>整車!E37</f>
        <v>0</v>
      </c>
      <c r="C37" s="87">
        <v>53</v>
      </c>
      <c r="D37" s="471">
        <v>0</v>
      </c>
      <c r="E37" s="27">
        <f>整車!G37</f>
        <v>0</v>
      </c>
      <c r="F37" s="87">
        <v>6811</v>
      </c>
      <c r="G37" s="471">
        <v>0</v>
      </c>
      <c r="H37" s="526">
        <f t="shared" si="5"/>
        <v>0</v>
      </c>
      <c r="I37" s="528">
        <f t="shared" si="6"/>
        <v>128.50943396226415</v>
      </c>
      <c r="J37" s="471">
        <f t="shared" si="4"/>
        <v>-1</v>
      </c>
    </row>
    <row r="38" spans="1:10">
      <c r="A38" s="426" t="s">
        <v>215</v>
      </c>
      <c r="B38" s="27">
        <f>整車!E38</f>
        <v>110</v>
      </c>
      <c r="C38" s="87">
        <v>395</v>
      </c>
      <c r="D38" s="471">
        <f t="shared" si="0"/>
        <v>-0.72151898734177211</v>
      </c>
      <c r="E38" s="27">
        <f>整車!G38</f>
        <v>19564</v>
      </c>
      <c r="F38" s="87">
        <v>61429</v>
      </c>
      <c r="G38" s="471">
        <f t="shared" si="1"/>
        <v>-0.6815185010337137</v>
      </c>
      <c r="H38" s="526">
        <f t="shared" si="5"/>
        <v>177.85454545454544</v>
      </c>
      <c r="I38" s="528">
        <f t="shared" si="6"/>
        <v>155.51645569620254</v>
      </c>
      <c r="J38" s="471">
        <f t="shared" si="4"/>
        <v>0.14363810992439152</v>
      </c>
    </row>
    <row r="39" spans="1:10">
      <c r="A39" s="426" t="s">
        <v>18</v>
      </c>
      <c r="B39" s="27">
        <f>整車!E39</f>
        <v>335</v>
      </c>
      <c r="C39" s="87">
        <v>578</v>
      </c>
      <c r="D39" s="471">
        <f t="shared" si="0"/>
        <v>-0.42041522491349481</v>
      </c>
      <c r="E39" s="27">
        <f>整車!G39</f>
        <v>117992</v>
      </c>
      <c r="F39" s="87">
        <v>148696</v>
      </c>
      <c r="G39" s="471">
        <f t="shared" si="1"/>
        <v>-0.20648840587507397</v>
      </c>
      <c r="H39" s="526">
        <f t="shared" si="5"/>
        <v>352.21492537313435</v>
      </c>
      <c r="I39" s="528">
        <f t="shared" si="6"/>
        <v>257.25951557093424</v>
      </c>
      <c r="J39" s="471">
        <f t="shared" si="4"/>
        <v>0.36910358628121581</v>
      </c>
    </row>
    <row r="40" spans="1:10">
      <c r="A40" s="30"/>
      <c r="B40" s="27"/>
      <c r="C40" s="88"/>
      <c r="D40" s="471"/>
      <c r="E40" s="27"/>
      <c r="F40" s="88"/>
      <c r="G40" s="471"/>
      <c r="H40" s="526"/>
      <c r="I40" s="529"/>
      <c r="J40" s="471"/>
    </row>
    <row r="41" spans="1:10" ht="16.149999999999999" customHeight="1">
      <c r="A41" s="36" t="s">
        <v>19</v>
      </c>
      <c r="B41" s="33">
        <f>SUM(B42:B45)</f>
        <v>19325</v>
      </c>
      <c r="C41" s="89">
        <v>30306</v>
      </c>
      <c r="D41" s="471">
        <f t="shared" si="0"/>
        <v>-0.36233749092588924</v>
      </c>
      <c r="E41" s="33">
        <f>SUM(E42:E45)</f>
        <v>22712676</v>
      </c>
      <c r="F41" s="89">
        <v>22658287</v>
      </c>
      <c r="G41" s="471">
        <f t="shared" si="1"/>
        <v>2.4004021133636447E-3</v>
      </c>
      <c r="H41" s="526">
        <f t="shared" si="5"/>
        <v>1175.3001811125484</v>
      </c>
      <c r="I41" s="530">
        <f t="shared" si="6"/>
        <v>747.65020128027459</v>
      </c>
      <c r="J41" s="471">
        <f t="shared" si="4"/>
        <v>0.57199206139444214</v>
      </c>
    </row>
    <row r="42" spans="1:10">
      <c r="A42" s="425" t="s">
        <v>216</v>
      </c>
      <c r="B42" s="27">
        <f>整車!E42</f>
        <v>10363</v>
      </c>
      <c r="C42" s="87">
        <v>11246</v>
      </c>
      <c r="D42" s="471">
        <f t="shared" si="0"/>
        <v>-7.8516805975457946E-2</v>
      </c>
      <c r="E42" s="27">
        <f>整車!G42</f>
        <v>16206779</v>
      </c>
      <c r="F42" s="87">
        <v>13724713</v>
      </c>
      <c r="G42" s="471">
        <f t="shared" si="1"/>
        <v>0.18084647744546645</v>
      </c>
      <c r="H42" s="526">
        <f t="shared" si="5"/>
        <v>1563.9080382128727</v>
      </c>
      <c r="I42" s="528">
        <f t="shared" si="6"/>
        <v>1220.4084118797796</v>
      </c>
      <c r="J42" s="471">
        <f t="shared" si="4"/>
        <v>0.28146284718244857</v>
      </c>
    </row>
    <row r="43" spans="1:10">
      <c r="A43" s="425" t="s">
        <v>217</v>
      </c>
      <c r="B43" s="27">
        <f>整車!E43</f>
        <v>8958</v>
      </c>
      <c r="C43" s="87">
        <v>18840</v>
      </c>
      <c r="D43" s="471">
        <f t="shared" si="0"/>
        <v>-0.52452229299363062</v>
      </c>
      <c r="E43" s="27">
        <f>整車!G43</f>
        <v>6499362</v>
      </c>
      <c r="F43" s="87">
        <v>8827049</v>
      </c>
      <c r="G43" s="471">
        <f t="shared" si="1"/>
        <v>-0.26369934051572613</v>
      </c>
      <c r="H43" s="526">
        <f t="shared" si="5"/>
        <v>725.53717347622239</v>
      </c>
      <c r="I43" s="528">
        <f t="shared" si="6"/>
        <v>468.527016985138</v>
      </c>
      <c r="J43" s="471">
        <f t="shared" si="4"/>
        <v>0.54854927714709978</v>
      </c>
    </row>
    <row r="44" spans="1:10">
      <c r="A44" s="425" t="s">
        <v>218</v>
      </c>
      <c r="B44" s="27">
        <f>整車!E44</f>
        <v>4</v>
      </c>
      <c r="C44" s="87">
        <v>220</v>
      </c>
      <c r="D44" s="471">
        <f t="shared" si="0"/>
        <v>-0.98181818181818181</v>
      </c>
      <c r="E44" s="27">
        <f>整車!G44</f>
        <v>6535</v>
      </c>
      <c r="F44" s="87">
        <v>106525</v>
      </c>
      <c r="G44" s="471">
        <f t="shared" si="1"/>
        <v>-0.93865289838066179</v>
      </c>
      <c r="H44" s="526">
        <f t="shared" si="5"/>
        <v>1633.75</v>
      </c>
      <c r="I44" s="528">
        <f t="shared" si="6"/>
        <v>484.20454545454544</v>
      </c>
      <c r="J44" s="471">
        <f t="shared" si="4"/>
        <v>2.3740905890635999</v>
      </c>
    </row>
    <row r="45" spans="1:10">
      <c r="A45" s="30" t="s">
        <v>20</v>
      </c>
      <c r="B45" s="27">
        <f>整車!E45</f>
        <v>0</v>
      </c>
      <c r="C45" s="87">
        <v>0</v>
      </c>
      <c r="D45" s="471">
        <v>0</v>
      </c>
      <c r="E45" s="27">
        <f>整車!G45</f>
        <v>0</v>
      </c>
      <c r="F45" s="87">
        <v>0</v>
      </c>
      <c r="G45" s="471">
        <v>0</v>
      </c>
      <c r="H45" s="526">
        <f t="shared" si="5"/>
        <v>0</v>
      </c>
      <c r="I45" s="528">
        <f t="shared" si="6"/>
        <v>0</v>
      </c>
      <c r="J45" s="471">
        <f t="shared" si="4"/>
        <v>0</v>
      </c>
    </row>
    <row r="46" spans="1:10" ht="17.45" customHeight="1">
      <c r="A46" s="30"/>
      <c r="B46" s="27"/>
      <c r="C46" s="88"/>
      <c r="D46" s="471"/>
      <c r="E46" s="27"/>
      <c r="F46" s="88"/>
      <c r="G46" s="471"/>
      <c r="H46" s="526"/>
      <c r="I46" s="529"/>
      <c r="J46" s="471"/>
    </row>
    <row r="47" spans="1:10">
      <c r="A47" s="36" t="s">
        <v>21</v>
      </c>
      <c r="B47" s="33">
        <f>SUM(B48:B65)</f>
        <v>203822</v>
      </c>
      <c r="C47" s="89">
        <v>300807</v>
      </c>
      <c r="D47" s="471">
        <f t="shared" si="0"/>
        <v>-0.32241603420133175</v>
      </c>
      <c r="E47" s="33">
        <f>SUM(E48:E65)</f>
        <v>244545378</v>
      </c>
      <c r="F47" s="89">
        <v>324399624</v>
      </c>
      <c r="G47" s="471">
        <f t="shared" si="1"/>
        <v>-0.24616010652342804</v>
      </c>
      <c r="H47" s="526">
        <f t="shared" si="5"/>
        <v>1199.7987361521327</v>
      </c>
      <c r="I47" s="530">
        <f t="shared" si="6"/>
        <v>1078.4311003400851</v>
      </c>
      <c r="J47" s="471">
        <f t="shared" si="4"/>
        <v>0.11254092706875214</v>
      </c>
    </row>
    <row r="48" spans="1:10">
      <c r="A48" s="453" t="s">
        <v>159</v>
      </c>
      <c r="B48" s="27">
        <f>整車!E48</f>
        <v>41923</v>
      </c>
      <c r="C48" s="87">
        <v>66930</v>
      </c>
      <c r="D48" s="471">
        <f t="shared" si="0"/>
        <v>-0.37362916479904379</v>
      </c>
      <c r="E48" s="27">
        <f>整車!G48</f>
        <v>41269343</v>
      </c>
      <c r="F48" s="87">
        <v>60175793</v>
      </c>
      <c r="G48" s="471">
        <f t="shared" si="1"/>
        <v>-0.31418696883645553</v>
      </c>
      <c r="H48" s="526">
        <f t="shared" si="5"/>
        <v>984.4081530424827</v>
      </c>
      <c r="I48" s="528">
        <f t="shared" si="6"/>
        <v>899.08550724637678</v>
      </c>
      <c r="J48" s="471">
        <f t="shared" si="4"/>
        <v>9.489936731092799E-2</v>
      </c>
    </row>
    <row r="49" spans="1:10">
      <c r="A49" s="425" t="s">
        <v>219</v>
      </c>
      <c r="B49" s="27">
        <f>整車!E49</f>
        <v>29127</v>
      </c>
      <c r="C49" s="87">
        <v>43893</v>
      </c>
      <c r="D49" s="471">
        <f t="shared" si="0"/>
        <v>-0.33640899460050577</v>
      </c>
      <c r="E49" s="27">
        <f>整車!G49</f>
        <v>22304250</v>
      </c>
      <c r="F49" s="87">
        <v>34774540</v>
      </c>
      <c r="G49" s="471">
        <f t="shared" si="1"/>
        <v>-0.35860402466862251</v>
      </c>
      <c r="H49" s="526">
        <f t="shared" si="5"/>
        <v>765.75857451848799</v>
      </c>
      <c r="I49" s="528">
        <f t="shared" si="6"/>
        <v>792.25707971658346</v>
      </c>
      <c r="J49" s="471">
        <f t="shared" si="4"/>
        <v>-3.3446851882440565E-2</v>
      </c>
    </row>
    <row r="50" spans="1:10">
      <c r="A50" s="282" t="s">
        <v>220</v>
      </c>
      <c r="B50" s="27">
        <f>整車!E50</f>
        <v>1719</v>
      </c>
      <c r="C50" s="87">
        <v>1757</v>
      </c>
      <c r="D50" s="471">
        <f t="shared" si="0"/>
        <v>-2.1627774615822423E-2</v>
      </c>
      <c r="E50" s="27">
        <f>整車!G50</f>
        <v>1642506</v>
      </c>
      <c r="F50" s="87">
        <v>2124508</v>
      </c>
      <c r="G50" s="471">
        <f t="shared" si="1"/>
        <v>-0.22687699928642302</v>
      </c>
      <c r="H50" s="526">
        <f t="shared" si="5"/>
        <v>955.500872600349</v>
      </c>
      <c r="I50" s="528">
        <f t="shared" si="6"/>
        <v>1209.1678998292543</v>
      </c>
      <c r="J50" s="471">
        <f t="shared" si="4"/>
        <v>-0.20978643847949111</v>
      </c>
    </row>
    <row r="51" spans="1:10">
      <c r="A51" s="425" t="s">
        <v>221</v>
      </c>
      <c r="B51" s="27">
        <f>整車!E51</f>
        <v>1428</v>
      </c>
      <c r="C51" s="87">
        <v>3418</v>
      </c>
      <c r="D51" s="471">
        <f t="shared" si="0"/>
        <v>-0.5822118197776478</v>
      </c>
      <c r="E51" s="27">
        <f>整車!G51</f>
        <v>2628827</v>
      </c>
      <c r="F51" s="87">
        <v>5182258</v>
      </c>
      <c r="G51" s="471">
        <f t="shared" si="1"/>
        <v>-0.4927255648020612</v>
      </c>
      <c r="H51" s="526">
        <f t="shared" si="5"/>
        <v>1840.9152661064427</v>
      </c>
      <c r="I51" s="528">
        <f t="shared" si="6"/>
        <v>1516.1667641895845</v>
      </c>
      <c r="J51" s="471">
        <f t="shared" si="4"/>
        <v>0.21419048985052877</v>
      </c>
    </row>
    <row r="52" spans="1:10">
      <c r="A52" s="426" t="s">
        <v>22</v>
      </c>
      <c r="B52" s="27">
        <f>整車!E52</f>
        <v>669</v>
      </c>
      <c r="C52" s="87">
        <v>659</v>
      </c>
      <c r="D52" s="471">
        <f t="shared" si="0"/>
        <v>1.5174506828528073E-2</v>
      </c>
      <c r="E52" s="27">
        <f>整車!G52</f>
        <v>1415822</v>
      </c>
      <c r="F52" s="87">
        <v>1091590</v>
      </c>
      <c r="G52" s="471">
        <f t="shared" si="1"/>
        <v>0.29702727214430324</v>
      </c>
      <c r="H52" s="526">
        <f t="shared" si="5"/>
        <v>2116.3258594917788</v>
      </c>
      <c r="I52" s="528">
        <f t="shared" si="6"/>
        <v>1656.4339908952959</v>
      </c>
      <c r="J52" s="471">
        <f t="shared" si="4"/>
        <v>0.27763971949640642</v>
      </c>
    </row>
    <row r="53" spans="1:10">
      <c r="A53" s="425" t="s">
        <v>222</v>
      </c>
      <c r="B53" s="27">
        <f>整車!E53</f>
        <v>1660</v>
      </c>
      <c r="C53" s="87">
        <v>2546</v>
      </c>
      <c r="D53" s="471">
        <f t="shared" si="0"/>
        <v>-0.34799685781618223</v>
      </c>
      <c r="E53" s="27">
        <f>整車!G53</f>
        <v>2350831</v>
      </c>
      <c r="F53" s="87">
        <v>3899477</v>
      </c>
      <c r="G53" s="471">
        <f t="shared" si="1"/>
        <v>-0.39714197570597287</v>
      </c>
      <c r="H53" s="526">
        <f t="shared" si="5"/>
        <v>1416.1632530120482</v>
      </c>
      <c r="I53" s="528">
        <f t="shared" si="6"/>
        <v>1531.609190887667</v>
      </c>
      <c r="J53" s="471">
        <f t="shared" si="4"/>
        <v>-7.5375584426148751E-2</v>
      </c>
    </row>
    <row r="54" spans="1:10">
      <c r="A54" s="426" t="s">
        <v>223</v>
      </c>
      <c r="B54" s="27">
        <f>整車!E54</f>
        <v>22482</v>
      </c>
      <c r="C54" s="87">
        <v>33838</v>
      </c>
      <c r="D54" s="471">
        <f t="shared" si="0"/>
        <v>-0.33559903067557184</v>
      </c>
      <c r="E54" s="27">
        <f>整車!G54</f>
        <v>25418807</v>
      </c>
      <c r="F54" s="87">
        <v>50526134</v>
      </c>
      <c r="G54" s="471">
        <f t="shared" si="1"/>
        <v>-0.49691763474324002</v>
      </c>
      <c r="H54" s="526">
        <f t="shared" si="5"/>
        <v>1130.6292589627258</v>
      </c>
      <c r="I54" s="528">
        <f t="shared" si="6"/>
        <v>1493.1773154441753</v>
      </c>
      <c r="J54" s="471">
        <f t="shared" si="4"/>
        <v>-0.24280308355314278</v>
      </c>
    </row>
    <row r="55" spans="1:10">
      <c r="A55" s="426" t="s">
        <v>23</v>
      </c>
      <c r="B55" s="27">
        <f>整車!E55</f>
        <v>450</v>
      </c>
      <c r="C55" s="87">
        <v>3763</v>
      </c>
      <c r="D55" s="471">
        <f t="shared" si="0"/>
        <v>-0.88041456284879083</v>
      </c>
      <c r="E55" s="27">
        <f>整車!G55</f>
        <v>597392</v>
      </c>
      <c r="F55" s="87">
        <v>4643062</v>
      </c>
      <c r="G55" s="471">
        <f t="shared" si="1"/>
        <v>-0.87133663086988711</v>
      </c>
      <c r="H55" s="526">
        <f t="shared" si="5"/>
        <v>1327.5377777777778</v>
      </c>
      <c r="I55" s="528">
        <f t="shared" si="6"/>
        <v>1233.872442200372</v>
      </c>
      <c r="J55" s="471">
        <f t="shared" si="4"/>
        <v>7.5911684525810361E-2</v>
      </c>
    </row>
    <row r="56" spans="1:10">
      <c r="A56" s="426" t="s">
        <v>224</v>
      </c>
      <c r="B56" s="27">
        <f>整車!E56</f>
        <v>81590</v>
      </c>
      <c r="C56" s="87">
        <v>97663</v>
      </c>
      <c r="D56" s="471">
        <f t="shared" si="0"/>
        <v>-0.16457614449689237</v>
      </c>
      <c r="E56" s="27">
        <f>整車!G56</f>
        <v>112109183</v>
      </c>
      <c r="F56" s="87">
        <v>98280559</v>
      </c>
      <c r="G56" s="471">
        <f t="shared" si="1"/>
        <v>0.14070558959681945</v>
      </c>
      <c r="H56" s="526">
        <f t="shared" si="5"/>
        <v>1374.0554357151611</v>
      </c>
      <c r="I56" s="528">
        <f t="shared" si="6"/>
        <v>1006.3233670888668</v>
      </c>
      <c r="J56" s="471">
        <f t="shared" si="4"/>
        <v>0.36542137512923367</v>
      </c>
    </row>
    <row r="57" spans="1:10">
      <c r="A57" s="428" t="s">
        <v>225</v>
      </c>
      <c r="B57" s="27">
        <f>整車!E57</f>
        <v>9132</v>
      </c>
      <c r="C57" s="87">
        <v>23092</v>
      </c>
      <c r="D57" s="471">
        <f t="shared" si="0"/>
        <v>-0.60453836826606622</v>
      </c>
      <c r="E57" s="27">
        <f>整車!G57</f>
        <v>14767837</v>
      </c>
      <c r="F57" s="87">
        <v>32087987</v>
      </c>
      <c r="G57" s="471">
        <f t="shared" si="1"/>
        <v>-0.53977053780282325</v>
      </c>
      <c r="H57" s="526">
        <f t="shared" si="5"/>
        <v>1617.1525405168638</v>
      </c>
      <c r="I57" s="528">
        <f t="shared" si="6"/>
        <v>1389.5715832322883</v>
      </c>
      <c r="J57" s="471">
        <f t="shared" si="4"/>
        <v>0.16377778592391659</v>
      </c>
    </row>
    <row r="58" spans="1:10">
      <c r="A58" s="426" t="s">
        <v>24</v>
      </c>
      <c r="B58" s="27">
        <f>整車!E58</f>
        <v>3239</v>
      </c>
      <c r="C58" s="87">
        <v>4747</v>
      </c>
      <c r="D58" s="471">
        <f t="shared" si="0"/>
        <v>-0.31767432062355172</v>
      </c>
      <c r="E58" s="27">
        <f>整車!G58</f>
        <v>3409050</v>
      </c>
      <c r="F58" s="87">
        <v>2253138</v>
      </c>
      <c r="G58" s="471">
        <f t="shared" si="1"/>
        <v>0.51302317035174938</v>
      </c>
      <c r="H58" s="526">
        <f t="shared" si="5"/>
        <v>1052.5007718431614</v>
      </c>
      <c r="I58" s="528">
        <f t="shared" si="6"/>
        <v>474.64461765325467</v>
      </c>
      <c r="J58" s="471">
        <f t="shared" si="4"/>
        <v>1.2174501357393497</v>
      </c>
    </row>
    <row r="59" spans="1:10">
      <c r="A59" s="426" t="s">
        <v>25</v>
      </c>
      <c r="B59" s="27">
        <f>整車!E59</f>
        <v>151</v>
      </c>
      <c r="C59" s="87">
        <v>119</v>
      </c>
      <c r="D59" s="471">
        <f t="shared" si="0"/>
        <v>0.26890756302521007</v>
      </c>
      <c r="E59" s="27">
        <f>整車!G59</f>
        <v>63160</v>
      </c>
      <c r="F59" s="87">
        <v>44021</v>
      </c>
      <c r="G59" s="471">
        <f t="shared" si="1"/>
        <v>0.4347697689738988</v>
      </c>
      <c r="H59" s="526">
        <f t="shared" si="5"/>
        <v>418.27814569536423</v>
      </c>
      <c r="I59" s="528">
        <f t="shared" si="6"/>
        <v>369.92436974789916</v>
      </c>
      <c r="J59" s="471">
        <f t="shared" si="4"/>
        <v>0.13071259939002619</v>
      </c>
    </row>
    <row r="60" spans="1:10">
      <c r="A60" s="426" t="s">
        <v>26</v>
      </c>
      <c r="B60" s="27">
        <f>整車!E60</f>
        <v>2700</v>
      </c>
      <c r="C60" s="87">
        <v>7584</v>
      </c>
      <c r="D60" s="471">
        <f t="shared" si="0"/>
        <v>-0.64398734177215189</v>
      </c>
      <c r="E60" s="27">
        <f>整車!G60</f>
        <v>3477905</v>
      </c>
      <c r="F60" s="87">
        <v>10521239</v>
      </c>
      <c r="G60" s="471">
        <f t="shared" si="1"/>
        <v>-0.66943959737061387</v>
      </c>
      <c r="H60" s="526">
        <f t="shared" si="5"/>
        <v>1288.1129629629629</v>
      </c>
      <c r="I60" s="528">
        <f t="shared" si="6"/>
        <v>1387.2941719409282</v>
      </c>
      <c r="J60" s="471">
        <f t="shared" si="4"/>
        <v>-7.1492557947679822E-2</v>
      </c>
    </row>
    <row r="61" spans="1:10">
      <c r="A61" s="427" t="s">
        <v>226</v>
      </c>
      <c r="B61" s="27">
        <f>整車!E61</f>
        <v>2457</v>
      </c>
      <c r="C61" s="87">
        <v>3696</v>
      </c>
      <c r="D61" s="471">
        <f t="shared" si="0"/>
        <v>-0.33522727272727271</v>
      </c>
      <c r="E61" s="27">
        <f>整車!G61</f>
        <v>5057631</v>
      </c>
      <c r="F61" s="87">
        <v>7405910</v>
      </c>
      <c r="G61" s="471">
        <f t="shared" si="1"/>
        <v>-0.3170817630784063</v>
      </c>
      <c r="H61" s="526">
        <f t="shared" si="5"/>
        <v>2058.4578754578756</v>
      </c>
      <c r="I61" s="528">
        <f t="shared" si="6"/>
        <v>2003.763528138528</v>
      </c>
      <c r="J61" s="471">
        <f t="shared" si="4"/>
        <v>2.7295809386329112E-2</v>
      </c>
    </row>
    <row r="62" spans="1:10">
      <c r="A62" s="426" t="s">
        <v>27</v>
      </c>
      <c r="B62" s="27">
        <f>整車!E62</f>
        <v>2455</v>
      </c>
      <c r="C62" s="87">
        <v>3012</v>
      </c>
      <c r="D62" s="471">
        <f t="shared" si="0"/>
        <v>-0.1849269588313413</v>
      </c>
      <c r="E62" s="27">
        <f>整車!G62</f>
        <v>3871283</v>
      </c>
      <c r="F62" s="87">
        <v>4929886</v>
      </c>
      <c r="G62" s="471">
        <f t="shared" si="1"/>
        <v>-0.21473174024713756</v>
      </c>
      <c r="H62" s="526">
        <f t="shared" si="5"/>
        <v>1576.8973523421589</v>
      </c>
      <c r="I62" s="528">
        <f t="shared" si="6"/>
        <v>1636.7483399734397</v>
      </c>
      <c r="J62" s="471">
        <f t="shared" si="4"/>
        <v>-3.6567006771640896E-2</v>
      </c>
    </row>
    <row r="63" spans="1:10">
      <c r="A63" s="285" t="s">
        <v>227</v>
      </c>
      <c r="B63" s="27">
        <f>整車!E63</f>
        <v>161</v>
      </c>
      <c r="C63" s="87">
        <v>399</v>
      </c>
      <c r="D63" s="471">
        <f t="shared" si="0"/>
        <v>-0.59649122807017541</v>
      </c>
      <c r="E63" s="27">
        <f>整車!G63</f>
        <v>241154</v>
      </c>
      <c r="F63" s="87">
        <v>697290</v>
      </c>
      <c r="G63" s="471">
        <f t="shared" si="1"/>
        <v>-0.65415537294382542</v>
      </c>
      <c r="H63" s="526">
        <f t="shared" si="5"/>
        <v>1497.8509316770187</v>
      </c>
      <c r="I63" s="528">
        <f t="shared" si="6"/>
        <v>1747.593984962406</v>
      </c>
      <c r="J63" s="471">
        <f t="shared" si="4"/>
        <v>-0.14290679381730634</v>
      </c>
    </row>
    <row r="64" spans="1:10">
      <c r="A64" s="426" t="s">
        <v>28</v>
      </c>
      <c r="B64" s="27">
        <f>整車!E64</f>
        <v>931</v>
      </c>
      <c r="C64" s="87">
        <v>1915</v>
      </c>
      <c r="D64" s="471">
        <f t="shared" si="0"/>
        <v>-0.51383812010443863</v>
      </c>
      <c r="E64" s="27">
        <f>整車!G64</f>
        <v>2003869</v>
      </c>
      <c r="F64" s="87">
        <v>3769073</v>
      </c>
      <c r="G64" s="471">
        <f t="shared" si="1"/>
        <v>-0.4683390319051926</v>
      </c>
      <c r="H64" s="526">
        <f t="shared" si="5"/>
        <v>2152.3834586466164</v>
      </c>
      <c r="I64" s="528">
        <f t="shared" si="6"/>
        <v>1968.1843342036555</v>
      </c>
      <c r="J64" s="471">
        <f t="shared" si="4"/>
        <v>9.3588350055377079E-2</v>
      </c>
    </row>
    <row r="65" spans="1:10">
      <c r="A65" s="285" t="s">
        <v>228</v>
      </c>
      <c r="B65" s="27">
        <f>整車!E65</f>
        <v>1548</v>
      </c>
      <c r="C65" s="87">
        <v>1776</v>
      </c>
      <c r="D65" s="471">
        <f t="shared" si="0"/>
        <v>-0.12837837837837837</v>
      </c>
      <c r="E65" s="27">
        <f>整車!G65</f>
        <v>1916528</v>
      </c>
      <c r="F65" s="87">
        <v>1993159</v>
      </c>
      <c r="G65" s="471">
        <f t="shared" si="1"/>
        <v>-3.8447007990832643E-2</v>
      </c>
      <c r="H65" s="526">
        <f t="shared" si="5"/>
        <v>1238.0671834625323</v>
      </c>
      <c r="I65" s="528">
        <f t="shared" si="6"/>
        <v>1122.2742117117118</v>
      </c>
      <c r="J65" s="471">
        <f t="shared" si="4"/>
        <v>0.10317707610354072</v>
      </c>
    </row>
    <row r="66" spans="1:10">
      <c r="A66" s="30" t="s">
        <v>29</v>
      </c>
      <c r="B66" s="27">
        <f>B67-B47-B41-B12-B7</f>
        <v>13821</v>
      </c>
      <c r="C66" s="88">
        <v>23087</v>
      </c>
      <c r="D66" s="471">
        <f t="shared" si="0"/>
        <v>-0.40135140988435047</v>
      </c>
      <c r="E66" s="27">
        <f>E67-E47-E41-E12-E7</f>
        <v>20570552</v>
      </c>
      <c r="F66" s="88">
        <v>30933348</v>
      </c>
      <c r="G66" s="471">
        <f t="shared" si="1"/>
        <v>-0.33500402219636877</v>
      </c>
      <c r="H66" s="526">
        <f t="shared" si="5"/>
        <v>1488.354822371753</v>
      </c>
      <c r="I66" s="529">
        <f t="shared" si="6"/>
        <v>1339.8600077965955</v>
      </c>
      <c r="J66" s="471">
        <f t="shared" si="4"/>
        <v>0.11082860426542455</v>
      </c>
    </row>
    <row r="67" spans="1:10">
      <c r="A67" s="32" t="s">
        <v>400</v>
      </c>
      <c r="B67" s="33">
        <f>整車!E67</f>
        <v>681150</v>
      </c>
      <c r="C67" s="87">
        <v>1090133</v>
      </c>
      <c r="D67" s="471">
        <f t="shared" si="0"/>
        <v>-0.37516798409001473</v>
      </c>
      <c r="E67" s="33">
        <f>整車!G67</f>
        <v>776584372</v>
      </c>
      <c r="F67" s="87">
        <v>1111589018</v>
      </c>
      <c r="G67" s="471">
        <f t="shared" si="1"/>
        <v>-0.30137455532148844</v>
      </c>
      <c r="H67" s="526">
        <f t="shared" ref="H67" si="7">E67/B67</f>
        <v>1140.1077178301402</v>
      </c>
      <c r="I67" s="529">
        <f t="shared" si="6"/>
        <v>1019.6820186160771</v>
      </c>
      <c r="J67" s="471">
        <f t="shared" si="4"/>
        <v>0.11810122863351666</v>
      </c>
    </row>
    <row r="68" spans="1:10">
      <c r="A68" s="94"/>
      <c r="B68" s="95"/>
      <c r="C68" s="96"/>
      <c r="D68" s="97"/>
      <c r="E68" s="95"/>
      <c r="F68" s="96"/>
      <c r="G68" s="98"/>
      <c r="H68" s="531"/>
      <c r="I68" s="531"/>
      <c r="J68" s="93"/>
    </row>
    <row r="69" spans="1:10">
      <c r="A69" s="99" t="s">
        <v>149</v>
      </c>
      <c r="B69" s="100"/>
      <c r="C69" s="101"/>
      <c r="D69" s="102"/>
      <c r="E69" s="100"/>
      <c r="F69" s="101"/>
      <c r="G69" s="103"/>
      <c r="H69" s="531"/>
      <c r="I69" s="531"/>
      <c r="J69" s="93"/>
    </row>
    <row r="70" spans="1:10">
      <c r="A70" s="69" t="s">
        <v>488</v>
      </c>
      <c r="B70" s="8" t="s">
        <v>450</v>
      </c>
      <c r="C70" s="70" t="s">
        <v>467</v>
      </c>
      <c r="D70" s="71" t="s">
        <v>155</v>
      </c>
      <c r="E70" s="8" t="s">
        <v>450</v>
      </c>
      <c r="F70" s="70" t="s">
        <v>467</v>
      </c>
      <c r="G70" s="73" t="s">
        <v>156</v>
      </c>
      <c r="H70" s="520" t="s">
        <v>450</v>
      </c>
      <c r="I70" s="521" t="s">
        <v>452</v>
      </c>
      <c r="J70" s="74" t="s">
        <v>36</v>
      </c>
    </row>
    <row r="71" spans="1:10">
      <c r="A71" s="46"/>
      <c r="B71" s="104" t="s">
        <v>32</v>
      </c>
      <c r="C71" s="105" t="s">
        <v>32</v>
      </c>
      <c r="D71" s="422" t="s">
        <v>1</v>
      </c>
      <c r="E71" s="48" t="s">
        <v>33</v>
      </c>
      <c r="F71" s="105" t="s">
        <v>33</v>
      </c>
      <c r="G71" s="423" t="s">
        <v>1</v>
      </c>
      <c r="H71" s="522" t="s">
        <v>34</v>
      </c>
      <c r="I71" s="523" t="s">
        <v>107</v>
      </c>
      <c r="J71" s="422" t="s">
        <v>1</v>
      </c>
    </row>
    <row r="72" spans="1:10">
      <c r="A72" s="32" t="s">
        <v>30</v>
      </c>
      <c r="B72" s="33">
        <f>整車!E72</f>
        <v>17039</v>
      </c>
      <c r="C72" s="87">
        <v>26386</v>
      </c>
      <c r="D72" s="84">
        <f>(B72-C72)/C72</f>
        <v>-0.35424088531797165</v>
      </c>
      <c r="E72" s="33">
        <f>整車!G72</f>
        <v>4456851</v>
      </c>
      <c r="F72" s="87">
        <v>10349017</v>
      </c>
      <c r="G72" s="91">
        <f>(E72-F72)/F72</f>
        <v>-0.56934547503400568</v>
      </c>
      <c r="H72" s="526">
        <f>E72/B72</f>
        <v>261.56763894594752</v>
      </c>
      <c r="I72" s="529">
        <f t="shared" ref="I72" si="8">IF(C72,F72/C72,0)</f>
        <v>392.21621314333356</v>
      </c>
      <c r="J72" s="90">
        <f>(H72-I72)/I72</f>
        <v>-0.33310345115601109</v>
      </c>
    </row>
    <row r="73" spans="1:10" ht="12.75" customHeight="1">
      <c r="A73" s="106"/>
      <c r="B73" s="107"/>
      <c r="C73" s="108"/>
      <c r="D73" s="107"/>
      <c r="E73" s="107"/>
      <c r="F73" s="107"/>
      <c r="G73" s="107"/>
      <c r="H73" s="532"/>
      <c r="I73" s="532"/>
      <c r="J73" s="107"/>
    </row>
    <row r="74" spans="1:10" s="107" customFormat="1">
      <c r="A74" s="514" t="s">
        <v>469</v>
      </c>
      <c r="B74" s="13"/>
      <c r="C74" s="58"/>
      <c r="D74" s="59"/>
      <c r="E74" s="13"/>
      <c r="F74" s="58"/>
      <c r="G74" s="59"/>
      <c r="H74" s="518"/>
      <c r="I74" s="518"/>
      <c r="J74" s="5"/>
    </row>
  </sheetData>
  <mergeCells count="1">
    <mergeCell ref="A1:J1"/>
  </mergeCells>
  <phoneticPr fontId="3" type="noConversion"/>
  <conditionalFormatting sqref="D2:D4 D72:D1048576">
    <cfRule type="cellIs" dxfId="76" priority="9" operator="greaterThanOrEqual">
      <formula>0</formula>
    </cfRule>
    <cfRule type="cellIs" dxfId="75" priority="10" operator="lessThan">
      <formula>0</formula>
    </cfRule>
  </conditionalFormatting>
  <conditionalFormatting sqref="D6:J6 D7:E67 G7:H67 J7:J67 D68:J69 D70:E70 G70:H70 J70">
    <cfRule type="cellIs" dxfId="74" priority="1" operator="greaterThanOrEqual">
      <formula>0</formula>
    </cfRule>
    <cfRule type="cellIs" dxfId="73" priority="2" operator="lessThan">
      <formula>0</formula>
    </cfRule>
  </conditionalFormatting>
  <conditionalFormatting sqref="G2:G4 G72:G1048576">
    <cfRule type="cellIs" dxfId="72" priority="7" operator="greaterThanOrEqual">
      <formula>0</formula>
    </cfRule>
    <cfRule type="cellIs" dxfId="71" priority="8" operator="lessThan">
      <formula>0</formula>
    </cfRule>
  </conditionalFormatting>
  <conditionalFormatting sqref="J2:J3 J72:J1048576">
    <cfRule type="cellIs" dxfId="70" priority="5" operator="greaterThanOrEqual">
      <formula>0</formula>
    </cfRule>
    <cfRule type="cellIs" dxfId="6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62" t="s">
        <v>148</v>
      </c>
      <c r="B1" s="363"/>
      <c r="C1" s="363"/>
      <c r="D1" s="363"/>
      <c r="E1" s="363"/>
      <c r="F1" s="363"/>
      <c r="G1" s="363"/>
      <c r="H1" s="363"/>
      <c r="I1" s="363"/>
      <c r="J1" s="364"/>
      <c r="K1" s="365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</row>
    <row r="2" spans="1:27">
      <c r="A2" s="366" t="s">
        <v>229</v>
      </c>
      <c r="B2" s="363"/>
      <c r="C2" s="363"/>
      <c r="D2" s="363"/>
      <c r="E2" s="363"/>
      <c r="F2" s="363"/>
      <c r="G2" s="363"/>
      <c r="H2" s="363"/>
      <c r="I2" s="363"/>
      <c r="J2" s="364"/>
      <c r="K2" s="365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27">
      <c r="A3" s="367" t="s">
        <v>117</v>
      </c>
      <c r="B3" s="363"/>
      <c r="C3" s="363"/>
      <c r="D3" s="363"/>
      <c r="E3" s="363"/>
      <c r="F3" s="363"/>
      <c r="G3" s="363"/>
      <c r="H3" s="363"/>
      <c r="I3" s="363"/>
      <c r="J3" s="364"/>
      <c r="K3" s="365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</row>
    <row r="4" spans="1:27">
      <c r="A4" s="367" t="s">
        <v>118</v>
      </c>
      <c r="B4" s="363"/>
      <c r="C4" s="363"/>
      <c r="D4" s="363"/>
      <c r="E4" s="363"/>
      <c r="F4" s="363"/>
      <c r="G4" s="363"/>
      <c r="H4" s="363"/>
      <c r="I4" s="363"/>
      <c r="J4" s="364"/>
      <c r="K4" s="365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</row>
    <row r="5" spans="1:27">
      <c r="A5" s="368" t="s">
        <v>119</v>
      </c>
      <c r="B5" s="363"/>
      <c r="C5" s="363"/>
      <c r="D5" s="363"/>
      <c r="E5" s="363"/>
      <c r="F5" s="363"/>
      <c r="G5" s="363"/>
      <c r="H5" s="363"/>
      <c r="I5" s="363"/>
      <c r="J5" s="364"/>
      <c r="K5" s="365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</row>
    <row r="6" spans="1:27">
      <c r="A6" s="369"/>
      <c r="B6" s="370" t="s">
        <v>120</v>
      </c>
      <c r="C6" s="371"/>
      <c r="D6" s="370" t="s">
        <v>121</v>
      </c>
      <c r="E6" s="371"/>
      <c r="F6" s="370" t="s">
        <v>122</v>
      </c>
      <c r="G6" s="371"/>
      <c r="H6" s="370" t="s">
        <v>123</v>
      </c>
      <c r="I6" s="371"/>
      <c r="J6" s="372" t="s">
        <v>124</v>
      </c>
      <c r="K6" s="373"/>
      <c r="L6" s="370" t="s">
        <v>125</v>
      </c>
      <c r="M6" s="371"/>
      <c r="N6" s="370" t="s">
        <v>126</v>
      </c>
      <c r="O6" s="371"/>
      <c r="P6" s="370" t="s">
        <v>127</v>
      </c>
      <c r="Q6" s="371"/>
      <c r="R6" s="370" t="s">
        <v>128</v>
      </c>
      <c r="S6" s="371"/>
      <c r="T6" s="370" t="s">
        <v>129</v>
      </c>
      <c r="U6" s="371"/>
      <c r="V6" s="370" t="s">
        <v>130</v>
      </c>
      <c r="W6" s="371"/>
      <c r="X6" s="370" t="s">
        <v>131</v>
      </c>
      <c r="Y6" s="371"/>
      <c r="Z6" s="370" t="s">
        <v>103</v>
      </c>
      <c r="AA6" s="371"/>
    </row>
    <row r="7" spans="1:27">
      <c r="A7" s="374" t="s">
        <v>132</v>
      </c>
      <c r="B7" s="375" t="s">
        <v>133</v>
      </c>
      <c r="C7" s="375" t="s">
        <v>134</v>
      </c>
      <c r="D7" s="375" t="s">
        <v>135</v>
      </c>
      <c r="E7" s="375" t="s">
        <v>136</v>
      </c>
      <c r="F7" s="375" t="s">
        <v>135</v>
      </c>
      <c r="G7" s="375" t="s">
        <v>136</v>
      </c>
      <c r="H7" s="375" t="s">
        <v>135</v>
      </c>
      <c r="I7" s="375" t="s">
        <v>136</v>
      </c>
      <c r="J7" s="376" t="s">
        <v>135</v>
      </c>
      <c r="K7" s="377" t="s">
        <v>136</v>
      </c>
      <c r="L7" s="375" t="s">
        <v>135</v>
      </c>
      <c r="M7" s="375" t="s">
        <v>136</v>
      </c>
      <c r="N7" s="375" t="s">
        <v>135</v>
      </c>
      <c r="O7" s="375" t="s">
        <v>136</v>
      </c>
      <c r="P7" s="375" t="s">
        <v>135</v>
      </c>
      <c r="Q7" s="375" t="s">
        <v>136</v>
      </c>
      <c r="R7" s="375" t="s">
        <v>135</v>
      </c>
      <c r="S7" s="375" t="s">
        <v>136</v>
      </c>
      <c r="T7" s="375" t="s">
        <v>135</v>
      </c>
      <c r="U7" s="375" t="s">
        <v>136</v>
      </c>
      <c r="V7" s="375" t="s">
        <v>135</v>
      </c>
      <c r="W7" s="375" t="s">
        <v>136</v>
      </c>
      <c r="X7" s="375" t="s">
        <v>135</v>
      </c>
      <c r="Y7" s="375" t="s">
        <v>136</v>
      </c>
      <c r="Z7" s="375" t="s">
        <v>135</v>
      </c>
      <c r="AA7" s="375" t="s">
        <v>136</v>
      </c>
    </row>
    <row r="8" spans="1:27">
      <c r="A8" s="378"/>
      <c r="B8" s="379"/>
      <c r="C8" s="379"/>
      <c r="D8" s="379"/>
      <c r="E8" s="379"/>
      <c r="F8" s="379"/>
      <c r="G8" s="379"/>
      <c r="H8" s="379"/>
      <c r="I8" s="379"/>
      <c r="J8" s="380"/>
      <c r="K8" s="381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379"/>
      <c r="AA8" s="379"/>
    </row>
    <row r="9" spans="1:27">
      <c r="A9" s="382" t="s">
        <v>103</v>
      </c>
      <c r="B9" s="383">
        <f t="shared" ref="B9:Y9" si="0">B11+B36+B85+B97+B102+B136+B151+B189</f>
        <v>149387</v>
      </c>
      <c r="C9" s="383">
        <f t="shared" si="0"/>
        <v>83642274</v>
      </c>
      <c r="D9" s="383">
        <f t="shared" si="0"/>
        <v>134859</v>
      </c>
      <c r="E9" s="383">
        <f t="shared" si="0"/>
        <v>77838400</v>
      </c>
      <c r="F9" s="383">
        <f t="shared" si="0"/>
        <v>116197</v>
      </c>
      <c r="G9" s="383">
        <f t="shared" si="0"/>
        <v>70981672</v>
      </c>
      <c r="H9" s="383">
        <f>H11+H36+H85+H97+H102+H136+H151+H189</f>
        <v>96180</v>
      </c>
      <c r="I9" s="383">
        <f t="shared" si="0"/>
        <v>53927495</v>
      </c>
      <c r="J9" s="384">
        <f t="shared" si="0"/>
        <v>135293</v>
      </c>
      <c r="K9" s="385">
        <f t="shared" si="0"/>
        <v>86108621</v>
      </c>
      <c r="L9" s="383">
        <f t="shared" si="0"/>
        <v>137464</v>
      </c>
      <c r="M9" s="383">
        <f t="shared" si="0"/>
        <v>97259100</v>
      </c>
      <c r="N9" s="383">
        <f t="shared" si="0"/>
        <v>135636</v>
      </c>
      <c r="O9" s="383">
        <f>O11+O36+O85+O97+O102+O136+O151+O189</f>
        <v>113137191</v>
      </c>
      <c r="P9" s="383">
        <f t="shared" ref="P9:Q9" si="1">P11+P36+P85+P97+P102+P136+P151+P189</f>
        <v>180175</v>
      </c>
      <c r="Q9" s="383">
        <f t="shared" si="1"/>
        <v>130469911</v>
      </c>
      <c r="R9" s="383">
        <f t="shared" si="0"/>
        <v>138272</v>
      </c>
      <c r="S9" s="383">
        <f t="shared" si="0"/>
        <v>91374787</v>
      </c>
      <c r="T9" s="383">
        <f t="shared" si="0"/>
        <v>158604</v>
      </c>
      <c r="U9" s="383">
        <f t="shared" si="0"/>
        <v>99046159</v>
      </c>
      <c r="V9" s="383">
        <f>V11+V36+V85+V97+V102+V136+V151+V189</f>
        <v>154200</v>
      </c>
      <c r="W9" s="383">
        <f>W11+W36+W85+W97+W102+W136+W151+W189</f>
        <v>91747985</v>
      </c>
      <c r="X9" s="383">
        <f t="shared" si="0"/>
        <v>162659</v>
      </c>
      <c r="Y9" s="383">
        <f t="shared" si="0"/>
        <v>102455347</v>
      </c>
      <c r="Z9" s="383">
        <f>SUM(B9,D9,F9,H9,J9,L9,N9,P9,R9,T9,V9,X9)</f>
        <v>1698926</v>
      </c>
      <c r="AA9" s="383">
        <f>SUM(C9,E9,G9,I9,K9,M9,O9,Q9,S9,U9,W9,Y9)</f>
        <v>1097988942</v>
      </c>
    </row>
    <row r="10" spans="1:27">
      <c r="A10" s="386"/>
      <c r="B10" s="387"/>
      <c r="C10" s="387"/>
      <c r="D10" s="387"/>
      <c r="E10" s="387"/>
      <c r="F10" s="387"/>
      <c r="G10" s="387"/>
      <c r="H10" s="387"/>
      <c r="I10" s="387"/>
      <c r="J10" s="380"/>
      <c r="K10" s="381"/>
      <c r="L10" s="387"/>
      <c r="M10" s="387"/>
      <c r="N10" s="387"/>
      <c r="O10" s="387"/>
      <c r="P10" s="387"/>
      <c r="Q10" s="387"/>
      <c r="R10" s="387"/>
      <c r="S10" s="387"/>
      <c r="T10" s="387"/>
      <c r="U10" s="387"/>
      <c r="V10" s="387"/>
      <c r="W10" s="387"/>
      <c r="X10" s="387"/>
      <c r="Y10" s="387"/>
      <c r="Z10" s="387"/>
      <c r="AA10" s="387"/>
    </row>
    <row r="11" spans="1:27">
      <c r="A11" s="388" t="s">
        <v>137</v>
      </c>
      <c r="B11" s="389">
        <f t="shared" ref="B11:Y11" si="2">SUM(B12:B34)</f>
        <v>9822</v>
      </c>
      <c r="C11" s="389">
        <f t="shared" si="2"/>
        <v>7689072</v>
      </c>
      <c r="D11" s="389">
        <f t="shared" si="2"/>
        <v>13182</v>
      </c>
      <c r="E11" s="389">
        <f t="shared" si="2"/>
        <v>9988636</v>
      </c>
      <c r="F11" s="389">
        <f t="shared" si="2"/>
        <v>12924</v>
      </c>
      <c r="G11" s="389">
        <f t="shared" si="2"/>
        <v>10303881</v>
      </c>
      <c r="H11" s="389">
        <f t="shared" si="2"/>
        <v>8794</v>
      </c>
      <c r="I11" s="389">
        <f t="shared" si="2"/>
        <v>7937732</v>
      </c>
      <c r="J11" s="390">
        <f t="shared" si="2"/>
        <v>14153</v>
      </c>
      <c r="K11" s="391">
        <f>SUM(K12:K34)</f>
        <v>9985367</v>
      </c>
      <c r="L11" s="389">
        <f t="shared" si="2"/>
        <v>13721</v>
      </c>
      <c r="M11" s="389">
        <f t="shared" si="2"/>
        <v>10777159</v>
      </c>
      <c r="N11" s="389">
        <f t="shared" si="2"/>
        <v>17223</v>
      </c>
      <c r="O11" s="389">
        <f t="shared" si="2"/>
        <v>14149868</v>
      </c>
      <c r="P11" s="389">
        <f t="shared" si="2"/>
        <v>16854</v>
      </c>
      <c r="Q11" s="389">
        <f t="shared" si="2"/>
        <v>16948467</v>
      </c>
      <c r="R11" s="389">
        <f t="shared" si="2"/>
        <v>13693</v>
      </c>
      <c r="S11" s="389">
        <f t="shared" si="2"/>
        <v>11152146</v>
      </c>
      <c r="T11" s="389">
        <f t="shared" si="2"/>
        <v>11159</v>
      </c>
      <c r="U11" s="389">
        <f t="shared" si="2"/>
        <v>10364638</v>
      </c>
      <c r="V11" s="389">
        <f>SUM(V12:V34)</f>
        <v>11101</v>
      </c>
      <c r="W11" s="389">
        <f>SUM(W12:W34)</f>
        <v>10615154</v>
      </c>
      <c r="X11" s="389">
        <f t="shared" si="2"/>
        <v>15058</v>
      </c>
      <c r="Y11" s="389">
        <f t="shared" si="2"/>
        <v>14072707</v>
      </c>
      <c r="Z11" s="389">
        <f t="shared" ref="Z11:Z34" si="3">SUM(B11,D11,F11,H11,J11,L11,N11,P11,R11,T11,V11,X11)</f>
        <v>157684</v>
      </c>
      <c r="AA11" s="389">
        <f t="shared" ref="AA11:AA34" si="4">SUM(C11,E11,G11,I11,K11,M11,O11,Q11,S11,U11,W11,Y11)</f>
        <v>133984827</v>
      </c>
    </row>
    <row r="12" spans="1:27">
      <c r="A12" s="392" t="s">
        <v>219</v>
      </c>
      <c r="B12" s="393">
        <v>6052</v>
      </c>
      <c r="C12" s="393">
        <v>4259214</v>
      </c>
      <c r="D12" s="393">
        <v>7754</v>
      </c>
      <c r="E12" s="393">
        <v>4910425</v>
      </c>
      <c r="F12" s="393">
        <v>5600</v>
      </c>
      <c r="G12" s="393">
        <v>3312180</v>
      </c>
      <c r="H12" s="393">
        <v>3341</v>
      </c>
      <c r="I12" s="393">
        <v>2434783</v>
      </c>
      <c r="J12" s="394">
        <v>6917</v>
      </c>
      <c r="K12" s="395">
        <v>3550152</v>
      </c>
      <c r="L12" s="393">
        <v>4508</v>
      </c>
      <c r="M12" s="393">
        <v>3172221</v>
      </c>
      <c r="N12" s="393">
        <v>8345</v>
      </c>
      <c r="O12" s="393">
        <v>5467381</v>
      </c>
      <c r="P12" s="393">
        <v>6542</v>
      </c>
      <c r="Q12" s="393">
        <v>5892377</v>
      </c>
      <c r="R12" s="393">
        <v>4607</v>
      </c>
      <c r="S12" s="393">
        <v>2424966</v>
      </c>
      <c r="T12" s="393">
        <v>3933</v>
      </c>
      <c r="U12" s="393">
        <v>2807435</v>
      </c>
      <c r="V12" s="393">
        <f>_xlfn.IFNA(VLOOKUP(A12,[3]進出口值表查詢結果!$C$11:$F$68,4,0),-[4]整車!$B$22)</f>
        <v>4019</v>
      </c>
      <c r="W12" s="393">
        <f>_xlfn.IFNA(VLOOKUP(A12,[3]進出口值表查詢結果!$C$11:$F$68,3,0),-[4]整車!$B$22)</f>
        <v>3259963</v>
      </c>
      <c r="X12" s="393">
        <f>_xlfn.IFNA(VLOOKUP(A12,[5]進出口值表查詢結果!$C$11:$F$68,4,0),-[4]整車!$B$22)</f>
        <v>5220</v>
      </c>
      <c r="Y12" s="393">
        <f>_xlfn.IFNA(VLOOKUP(A12,[5]進出口值表查詢結果!$C$11:$F$68,3,0),-[4]整車!$B$22)</f>
        <v>3196394</v>
      </c>
      <c r="Z12" s="387">
        <f t="shared" si="3"/>
        <v>66838</v>
      </c>
      <c r="AA12" s="387">
        <f t="shared" si="4"/>
        <v>44687491</v>
      </c>
    </row>
    <row r="13" spans="1:27">
      <c r="A13" s="392" t="s">
        <v>230</v>
      </c>
      <c r="B13" s="393">
        <v>179</v>
      </c>
      <c r="C13" s="393">
        <v>131656</v>
      </c>
      <c r="D13" s="393">
        <v>274</v>
      </c>
      <c r="E13" s="393">
        <v>366955</v>
      </c>
      <c r="F13" s="393">
        <v>379</v>
      </c>
      <c r="G13" s="393">
        <v>326020</v>
      </c>
      <c r="H13" s="393">
        <v>412</v>
      </c>
      <c r="I13" s="393">
        <v>690860</v>
      </c>
      <c r="J13" s="394">
        <v>564</v>
      </c>
      <c r="K13" s="395">
        <v>591178</v>
      </c>
      <c r="L13" s="393">
        <v>419</v>
      </c>
      <c r="M13" s="393">
        <v>628920</v>
      </c>
      <c r="N13" s="393">
        <v>900</v>
      </c>
      <c r="O13" s="393">
        <v>1147430</v>
      </c>
      <c r="P13" s="393">
        <v>1146</v>
      </c>
      <c r="Q13" s="393">
        <v>1244090</v>
      </c>
      <c r="R13" s="393">
        <v>1102</v>
      </c>
      <c r="S13" s="393">
        <v>984782</v>
      </c>
      <c r="T13" s="393">
        <v>754</v>
      </c>
      <c r="U13" s="393">
        <v>962823</v>
      </c>
      <c r="V13" s="393">
        <f>_xlfn.IFNA(VLOOKUP(A13,[3]進出口值表查詢結果!$C$11:$F$68,4,0),-[4]整車!$B$22)</f>
        <v>856</v>
      </c>
      <c r="W13" s="393">
        <f>_xlfn.IFNA(VLOOKUP(A13,[3]進出口值表查詢結果!$C$11:$F$68,3,0),-[4]整車!$B$22)</f>
        <v>955426</v>
      </c>
      <c r="X13" s="393">
        <f>_xlfn.IFNA(VLOOKUP(A13,[5]進出口值表查詢結果!$C$11:$F$68,4,0),-[4]整車!$B$22)</f>
        <v>1391</v>
      </c>
      <c r="Y13" s="393">
        <f>_xlfn.IFNA(VLOOKUP(A13,[5]進出口值表查詢結果!$C$11:$F$68,3,0),-[4]整車!$B$22)</f>
        <v>1781279</v>
      </c>
      <c r="Z13" s="387">
        <f t="shared" si="3"/>
        <v>8376</v>
      </c>
      <c r="AA13" s="387">
        <f t="shared" si="4"/>
        <v>9811419</v>
      </c>
    </row>
    <row r="14" spans="1:27">
      <c r="A14" s="429" t="s">
        <v>231</v>
      </c>
      <c r="B14" s="393">
        <v>524</v>
      </c>
      <c r="C14" s="393">
        <v>127658</v>
      </c>
      <c r="D14" s="393">
        <v>549</v>
      </c>
      <c r="E14" s="393">
        <v>126180</v>
      </c>
      <c r="F14" s="393">
        <v>710</v>
      </c>
      <c r="G14" s="393">
        <v>174742</v>
      </c>
      <c r="H14" s="393">
        <v>864</v>
      </c>
      <c r="I14" s="393">
        <v>362370</v>
      </c>
      <c r="J14" s="394">
        <v>1603</v>
      </c>
      <c r="K14" s="395">
        <v>677515</v>
      </c>
      <c r="L14" s="393">
        <v>1216</v>
      </c>
      <c r="M14" s="393">
        <v>120579</v>
      </c>
      <c r="N14" s="393">
        <v>1021</v>
      </c>
      <c r="O14" s="393">
        <v>611528</v>
      </c>
      <c r="P14" s="393">
        <v>1131</v>
      </c>
      <c r="Q14" s="393">
        <v>586618</v>
      </c>
      <c r="R14" s="393">
        <v>1515</v>
      </c>
      <c r="S14" s="393">
        <v>914097</v>
      </c>
      <c r="T14" s="393">
        <v>818</v>
      </c>
      <c r="U14" s="393">
        <v>265715</v>
      </c>
      <c r="V14" s="393">
        <f>_xlfn.IFNA(VLOOKUP(A14,[3]進出口值表查詢結果!$C$11:$F$68,4,0),-[4]整車!$B$22)</f>
        <v>695</v>
      </c>
      <c r="W14" s="393">
        <f>_xlfn.IFNA(VLOOKUP(A14,[3]進出口值表查詢結果!$C$11:$F$68,3,0),-[4]整車!$B$22)</f>
        <v>379724</v>
      </c>
      <c r="X14" s="393">
        <f>_xlfn.IFNA(VLOOKUP(A14,[5]進出口值表查詢結果!$C$11:$F$68,4,0),-[4]整車!$B$22)</f>
        <v>456</v>
      </c>
      <c r="Y14" s="393">
        <f>_xlfn.IFNA(VLOOKUP(A14,[5]進出口值表查詢結果!$C$11:$F$68,3,0),-[4]整車!$B$22)</f>
        <v>425334</v>
      </c>
      <c r="Z14" s="387">
        <f t="shared" si="3"/>
        <v>11102</v>
      </c>
      <c r="AA14" s="387">
        <f t="shared" si="4"/>
        <v>4772060</v>
      </c>
    </row>
    <row r="15" spans="1:27">
      <c r="A15" s="429" t="s">
        <v>168</v>
      </c>
      <c r="B15" s="393">
        <v>65</v>
      </c>
      <c r="C15" s="393">
        <v>102167</v>
      </c>
      <c r="D15" s="393">
        <v>153</v>
      </c>
      <c r="E15" s="393">
        <v>198502</v>
      </c>
      <c r="F15" s="393">
        <v>171</v>
      </c>
      <c r="G15" s="393">
        <v>186525</v>
      </c>
      <c r="H15" s="393">
        <v>62</v>
      </c>
      <c r="I15" s="393">
        <v>69195</v>
      </c>
      <c r="J15" s="394">
        <v>111</v>
      </c>
      <c r="K15" s="395">
        <v>71668</v>
      </c>
      <c r="L15" s="393">
        <v>156</v>
      </c>
      <c r="M15" s="393">
        <v>125402</v>
      </c>
      <c r="N15" s="393">
        <v>167</v>
      </c>
      <c r="O15" s="393">
        <v>258485</v>
      </c>
      <c r="P15" s="393">
        <v>211</v>
      </c>
      <c r="Q15" s="393">
        <v>238597</v>
      </c>
      <c r="R15" s="393">
        <v>601</v>
      </c>
      <c r="S15" s="393">
        <v>371230</v>
      </c>
      <c r="T15" s="393">
        <v>212</v>
      </c>
      <c r="U15" s="393">
        <v>237659</v>
      </c>
      <c r="V15" s="393">
        <f>_xlfn.IFNA(VLOOKUP(A15,[3]進出口值表查詢結果!$C$11:$F$68,4,0),-[4]整車!$B$22)</f>
        <v>156</v>
      </c>
      <c r="W15" s="393">
        <f>_xlfn.IFNA(VLOOKUP(A15,[3]進出口值表查詢結果!$C$11:$F$68,3,0),-[4]整車!$B$22)</f>
        <v>243778</v>
      </c>
      <c r="X15" s="393">
        <f>_xlfn.IFNA(VLOOKUP(A15,[5]進出口值表查詢結果!$C$11:$F$68,4,0),-[4]整車!$B$22)</f>
        <v>452</v>
      </c>
      <c r="Y15" s="393">
        <f>_xlfn.IFNA(VLOOKUP(A15,[5]進出口值表查詢結果!$C$11:$F$68,3,0),-[4]整車!$B$22)</f>
        <v>279986</v>
      </c>
      <c r="Z15" s="387">
        <f t="shared" si="3"/>
        <v>2517</v>
      </c>
      <c r="AA15" s="387">
        <f t="shared" si="4"/>
        <v>2383194</v>
      </c>
    </row>
    <row r="16" spans="1:27">
      <c r="A16" s="430" t="s">
        <v>174</v>
      </c>
      <c r="B16" s="393">
        <v>1307</v>
      </c>
      <c r="C16" s="393">
        <v>1817059</v>
      </c>
      <c r="D16" s="393">
        <v>1950</v>
      </c>
      <c r="E16" s="393">
        <v>2185577</v>
      </c>
      <c r="F16" s="393">
        <v>2367</v>
      </c>
      <c r="G16" s="393">
        <v>2674246</v>
      </c>
      <c r="H16" s="393">
        <v>2201</v>
      </c>
      <c r="I16" s="393">
        <v>1979400</v>
      </c>
      <c r="J16" s="394">
        <v>2682</v>
      </c>
      <c r="K16" s="395">
        <v>2461078</v>
      </c>
      <c r="L16" s="393">
        <v>2380</v>
      </c>
      <c r="M16" s="393">
        <v>2624768</v>
      </c>
      <c r="N16" s="393">
        <v>2747</v>
      </c>
      <c r="O16" s="393">
        <v>2999359</v>
      </c>
      <c r="P16" s="393">
        <v>3612</v>
      </c>
      <c r="Q16" s="393">
        <v>4516165</v>
      </c>
      <c r="R16" s="393">
        <v>2996</v>
      </c>
      <c r="S16" s="393">
        <v>3713824</v>
      </c>
      <c r="T16" s="393">
        <v>2056</v>
      </c>
      <c r="U16" s="393">
        <v>2891152</v>
      </c>
      <c r="V16" s="393">
        <f>_xlfn.IFNA(VLOOKUP(A16,[3]進出口值表查詢結果!$C$11:$F$68,4,0),-[4]整車!$B$22)</f>
        <v>1790</v>
      </c>
      <c r="W16" s="393">
        <f>_xlfn.IFNA(VLOOKUP(A16,[3]進出口值表查詢結果!$C$11:$F$68,3,0),-[4]整車!$B$22)</f>
        <v>2212342</v>
      </c>
      <c r="X16" s="393">
        <f>_xlfn.IFNA(VLOOKUP(A16,[5]進出口值表查詢結果!$C$11:$F$68,4,0),-[4]整車!$B$22)</f>
        <v>1546</v>
      </c>
      <c r="Y16" s="393">
        <f>_xlfn.IFNA(VLOOKUP(A16,[5]進出口值表查詢結果!$C$11:$F$68,3,0),-[4]整車!$B$22)</f>
        <v>1984044</v>
      </c>
      <c r="Z16" s="387">
        <f t="shared" si="3"/>
        <v>27634</v>
      </c>
      <c r="AA16" s="387">
        <f t="shared" si="4"/>
        <v>32059014</v>
      </c>
    </row>
    <row r="17" spans="1:27">
      <c r="A17" s="429" t="s">
        <v>177</v>
      </c>
      <c r="B17" s="393">
        <v>196</v>
      </c>
      <c r="C17" s="393">
        <v>159614</v>
      </c>
      <c r="D17" s="393">
        <v>25</v>
      </c>
      <c r="E17" s="393">
        <v>14125</v>
      </c>
      <c r="F17" s="393">
        <v>272</v>
      </c>
      <c r="G17" s="393">
        <v>324659</v>
      </c>
      <c r="H17" s="393">
        <v>6</v>
      </c>
      <c r="I17" s="393">
        <v>198</v>
      </c>
      <c r="J17" s="394">
        <v>392</v>
      </c>
      <c r="K17" s="395">
        <v>442301</v>
      </c>
      <c r="L17" s="393">
        <v>213</v>
      </c>
      <c r="M17" s="393">
        <v>334619</v>
      </c>
      <c r="N17" s="393">
        <v>471</v>
      </c>
      <c r="O17" s="393">
        <v>520823</v>
      </c>
      <c r="P17" s="393">
        <v>373</v>
      </c>
      <c r="Q17" s="393">
        <v>455099</v>
      </c>
      <c r="R17" s="393">
        <v>34</v>
      </c>
      <c r="S17" s="393">
        <v>38452</v>
      </c>
      <c r="T17" s="393">
        <v>10</v>
      </c>
      <c r="U17" s="393">
        <v>4200</v>
      </c>
      <c r="V17" s="393">
        <f>_xlfn.IFNA(VLOOKUP(A17,[3]進出口值表查詢結果!$C$11:$F$68,4,0),-[4]整車!$B$22)</f>
        <v>34</v>
      </c>
      <c r="W17" s="393">
        <f>_xlfn.IFNA(VLOOKUP(A17,[3]進出口值表查詢結果!$C$11:$F$68,3,0),-[4]整車!$B$22)</f>
        <v>42910</v>
      </c>
      <c r="X17" s="393">
        <f>_xlfn.IFNA(VLOOKUP(A17,[5]進出口值表查詢結果!$C$11:$F$68,4,0),-[4]整車!$B$22)</f>
        <v>823</v>
      </c>
      <c r="Y17" s="393">
        <f>_xlfn.IFNA(VLOOKUP(A17,[5]進出口值表查詢結果!$C$11:$F$68,3,0),-[4]整車!$B$22)</f>
        <v>958153</v>
      </c>
      <c r="Z17" s="387">
        <f t="shared" si="3"/>
        <v>2849</v>
      </c>
      <c r="AA17" s="387">
        <f t="shared" si="4"/>
        <v>3295153</v>
      </c>
    </row>
    <row r="18" spans="1:27">
      <c r="A18" s="429" t="s">
        <v>179</v>
      </c>
      <c r="B18" s="393">
        <v>246</v>
      </c>
      <c r="C18" s="393">
        <v>218428</v>
      </c>
      <c r="D18" s="393">
        <v>112</v>
      </c>
      <c r="E18" s="393">
        <v>127248</v>
      </c>
      <c r="F18" s="393">
        <v>145</v>
      </c>
      <c r="G18" s="393">
        <v>175938</v>
      </c>
      <c r="H18" s="393">
        <v>76</v>
      </c>
      <c r="I18" s="393">
        <v>84167</v>
      </c>
      <c r="J18" s="394">
        <v>231</v>
      </c>
      <c r="K18" s="395">
        <v>292647</v>
      </c>
      <c r="L18" s="393">
        <v>225</v>
      </c>
      <c r="M18" s="393">
        <v>233311</v>
      </c>
      <c r="N18" s="393">
        <v>442</v>
      </c>
      <c r="O18" s="393">
        <v>515923</v>
      </c>
      <c r="P18" s="393">
        <v>635</v>
      </c>
      <c r="Q18" s="393">
        <v>666047</v>
      </c>
      <c r="R18" s="393">
        <v>372</v>
      </c>
      <c r="S18" s="393">
        <v>415965</v>
      </c>
      <c r="T18" s="393">
        <v>793</v>
      </c>
      <c r="U18" s="393">
        <v>698930</v>
      </c>
      <c r="V18" s="393">
        <f>_xlfn.IFNA(VLOOKUP(A18,[3]進出口值表查詢結果!$C$11:$F$68,4,0),-[4]整車!$B$22)</f>
        <v>332</v>
      </c>
      <c r="W18" s="393">
        <f>_xlfn.IFNA(VLOOKUP(A18,[3]進出口值表查詢結果!$C$11:$F$68,3,0),-[4]整車!$B$22)</f>
        <v>417088</v>
      </c>
      <c r="X18" s="393">
        <f>_xlfn.IFNA(VLOOKUP(A18,[5]進出口值表查詢結果!$C$11:$F$68,4,0),-[4]整車!$B$22)</f>
        <v>830</v>
      </c>
      <c r="Y18" s="393">
        <f>_xlfn.IFNA(VLOOKUP(A18,[5]進出口值表查詢結果!$C$11:$F$68,3,0),-[4]整車!$B$22)</f>
        <v>1167495</v>
      </c>
      <c r="Z18" s="387">
        <f t="shared" si="3"/>
        <v>4439</v>
      </c>
      <c r="AA18" s="387">
        <f t="shared" si="4"/>
        <v>5013187</v>
      </c>
    </row>
    <row r="19" spans="1:27">
      <c r="A19" s="429" t="s">
        <v>178</v>
      </c>
      <c r="B19" s="393">
        <v>38</v>
      </c>
      <c r="C19" s="393">
        <v>34255</v>
      </c>
      <c r="D19" s="393">
        <v>114</v>
      </c>
      <c r="E19" s="393">
        <v>142072</v>
      </c>
      <c r="F19" s="393">
        <v>47</v>
      </c>
      <c r="G19" s="393">
        <v>88748</v>
      </c>
      <c r="H19" s="393">
        <v>116</v>
      </c>
      <c r="I19" s="393">
        <v>179464</v>
      </c>
      <c r="J19" s="394">
        <v>134</v>
      </c>
      <c r="K19" s="395">
        <v>160240</v>
      </c>
      <c r="L19" s="393">
        <v>114</v>
      </c>
      <c r="M19" s="393">
        <v>167091</v>
      </c>
      <c r="N19" s="393">
        <v>103</v>
      </c>
      <c r="O19" s="393">
        <v>156524</v>
      </c>
      <c r="P19" s="393">
        <v>60</v>
      </c>
      <c r="Q19" s="393">
        <v>89867</v>
      </c>
      <c r="R19" s="393">
        <v>291</v>
      </c>
      <c r="S19" s="393">
        <v>452957</v>
      </c>
      <c r="T19" s="393">
        <v>157</v>
      </c>
      <c r="U19" s="393">
        <v>198796</v>
      </c>
      <c r="V19" s="393">
        <f>_xlfn.IFNA(VLOOKUP(A19,[3]進出口值表查詢結果!$C$11:$F$68,4,0),-[4]整車!$B$22)</f>
        <v>161</v>
      </c>
      <c r="W19" s="393">
        <f>_xlfn.IFNA(VLOOKUP(A19,[3]進出口值表查詢結果!$C$11:$F$68,3,0),-[4]整車!$B$22)</f>
        <v>332513</v>
      </c>
      <c r="X19" s="393">
        <f>_xlfn.IFNA(VLOOKUP(A19,[5]進出口值表查詢結果!$C$11:$F$68,4,0),-[4]整車!$B$22)</f>
        <v>82</v>
      </c>
      <c r="Y19" s="393">
        <f>_xlfn.IFNA(VLOOKUP(A19,[5]進出口值表查詢結果!$C$11:$F$68,3,0),-[4]整車!$B$22)</f>
        <v>135445</v>
      </c>
      <c r="Z19" s="387">
        <f t="shared" si="3"/>
        <v>1417</v>
      </c>
      <c r="AA19" s="387">
        <f t="shared" si="4"/>
        <v>2137972</v>
      </c>
    </row>
    <row r="20" spans="1:27">
      <c r="A20" s="429" t="s">
        <v>233</v>
      </c>
      <c r="B20" s="393">
        <v>0</v>
      </c>
      <c r="C20" s="393">
        <v>0</v>
      </c>
      <c r="D20" s="393">
        <v>62</v>
      </c>
      <c r="E20" s="393">
        <v>80913</v>
      </c>
      <c r="F20" s="393">
        <v>0</v>
      </c>
      <c r="G20" s="393"/>
      <c r="H20" s="393">
        <v>0</v>
      </c>
      <c r="I20" s="393">
        <v>0</v>
      </c>
      <c r="J20" s="394">
        <v>14</v>
      </c>
      <c r="K20" s="395">
        <v>18143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/>
      <c r="U20" s="393"/>
      <c r="V20" s="393">
        <f>_xlfn.IFNA(VLOOKUP(A20,[3]進出口值表查詢結果!$C$11:$F$68,4,0),-[4]整車!$B$22)</f>
        <v>0</v>
      </c>
      <c r="W20" s="393">
        <f>_xlfn.IFNA(VLOOKUP(A20,[3]進出口值表查詢結果!$C$11:$F$68,3,0),-[4]整車!$B$22)</f>
        <v>0</v>
      </c>
      <c r="X20" s="393">
        <f>_xlfn.IFNA(VLOOKUP(A20,[5]進出口值表查詢結果!$C$11:$F$68,4,0),-[4]整車!$B$22)</f>
        <v>0</v>
      </c>
      <c r="Y20" s="393">
        <f>_xlfn.IFNA(VLOOKUP(A20,[5]進出口值表查詢結果!$C$11:$F$68,3,0),-[4]整車!$B$22)</f>
        <v>0</v>
      </c>
      <c r="Z20" s="387">
        <f t="shared" si="3"/>
        <v>76</v>
      </c>
      <c r="AA20" s="387">
        <f t="shared" si="4"/>
        <v>99056</v>
      </c>
    </row>
    <row r="21" spans="1:27">
      <c r="A21" s="429" t="s">
        <v>189</v>
      </c>
      <c r="B21" s="393">
        <v>367</v>
      </c>
      <c r="C21" s="393">
        <v>213697</v>
      </c>
      <c r="D21" s="393">
        <v>458</v>
      </c>
      <c r="E21" s="393">
        <v>230710</v>
      </c>
      <c r="F21" s="393">
        <v>165</v>
      </c>
      <c r="G21" s="393">
        <v>82941</v>
      </c>
      <c r="H21" s="393">
        <v>35</v>
      </c>
      <c r="I21" s="393">
        <v>4203</v>
      </c>
      <c r="J21" s="394">
        <v>74</v>
      </c>
      <c r="K21" s="395">
        <v>16703</v>
      </c>
      <c r="L21" s="393">
        <v>938</v>
      </c>
      <c r="M21" s="393">
        <v>178622</v>
      </c>
      <c r="N21" s="393">
        <v>107</v>
      </c>
      <c r="O21" s="393">
        <v>7169</v>
      </c>
      <c r="P21" s="393">
        <v>364</v>
      </c>
      <c r="Q21" s="393">
        <v>13151</v>
      </c>
      <c r="R21" s="393">
        <v>211</v>
      </c>
      <c r="S21" s="393">
        <v>139301</v>
      </c>
      <c r="T21" s="393">
        <v>291</v>
      </c>
      <c r="U21" s="393">
        <v>151421</v>
      </c>
      <c r="V21" s="393">
        <f>_xlfn.IFNA(VLOOKUP(A21,[3]進出口值表查詢結果!$C$11:$F$68,4,0),-[4]整車!$B$22)</f>
        <v>884</v>
      </c>
      <c r="W21" s="393">
        <f>_xlfn.IFNA(VLOOKUP(A21,[3]進出口值表查詢結果!$C$11:$F$68,3,0),-[4]整車!$B$22)</f>
        <v>377477</v>
      </c>
      <c r="X21" s="393">
        <f>_xlfn.IFNA(VLOOKUP(A21,[5]進出口值表查詢結果!$C$11:$F$68,4,0),-[4]整車!$B$22)</f>
        <v>872</v>
      </c>
      <c r="Y21" s="393">
        <f>_xlfn.IFNA(VLOOKUP(A21,[5]進出口值表查詢結果!$C$11:$F$68,3,0),-[4]整車!$B$22)</f>
        <v>486108</v>
      </c>
      <c r="Z21" s="387">
        <f t="shared" si="3"/>
        <v>4766</v>
      </c>
      <c r="AA21" s="387">
        <f t="shared" si="4"/>
        <v>1901503</v>
      </c>
    </row>
    <row r="22" spans="1:27">
      <c r="A22" s="429" t="s">
        <v>234</v>
      </c>
      <c r="B22" s="393">
        <v>0</v>
      </c>
      <c r="C22" s="393">
        <v>0</v>
      </c>
      <c r="D22" s="393"/>
      <c r="E22" s="393"/>
      <c r="F22" s="393">
        <v>0</v>
      </c>
      <c r="G22" s="393"/>
      <c r="H22" s="393">
        <v>0</v>
      </c>
      <c r="I22" s="393">
        <v>0</v>
      </c>
      <c r="J22" s="394">
        <v>0</v>
      </c>
      <c r="K22" s="397" t="s">
        <v>57</v>
      </c>
      <c r="L22" s="393">
        <v>0</v>
      </c>
      <c r="M22" s="393">
        <v>0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/>
      <c r="U22" s="393"/>
      <c r="V22" s="393">
        <f>_xlfn.IFNA(VLOOKUP(A22,[3]進出口值表查詢結果!$C$11:$F$68,4,0),-[4]整車!$B$22)</f>
        <v>0</v>
      </c>
      <c r="W22" s="393">
        <f>_xlfn.IFNA(VLOOKUP(A22,[3]進出口值表查詢結果!$C$11:$F$68,3,0),-[4]整車!$B$22)</f>
        <v>0</v>
      </c>
      <c r="X22" s="393">
        <f>_xlfn.IFNA(VLOOKUP(A22,[5]進出口值表查詢結果!$C$11:$F$68,4,0),-[4]整車!$B$22)</f>
        <v>0</v>
      </c>
      <c r="Y22" s="393">
        <f>_xlfn.IFNA(VLOOKUP(A22,[5]進出口值表查詢結果!$C$11:$F$68,3,0),-[4]整車!$B$22)</f>
        <v>0</v>
      </c>
      <c r="Z22" s="387">
        <f t="shared" si="3"/>
        <v>0</v>
      </c>
      <c r="AA22" s="387">
        <f t="shared" si="4"/>
        <v>0</v>
      </c>
    </row>
    <row r="23" spans="1:27">
      <c r="A23" s="429" t="s">
        <v>176</v>
      </c>
      <c r="B23" s="393">
        <v>4</v>
      </c>
      <c r="C23" s="393">
        <v>12662</v>
      </c>
      <c r="D23" s="393">
        <v>36</v>
      </c>
      <c r="E23" s="393">
        <v>33578</v>
      </c>
      <c r="F23" s="393">
        <v>0</v>
      </c>
      <c r="G23" s="393"/>
      <c r="H23" s="393">
        <v>0</v>
      </c>
      <c r="I23" s="393">
        <v>0</v>
      </c>
      <c r="J23" s="394" t="s">
        <v>57</v>
      </c>
      <c r="K23" s="397" t="s">
        <v>57</v>
      </c>
      <c r="L23" s="393">
        <v>12</v>
      </c>
      <c r="M23" s="393">
        <v>40985</v>
      </c>
      <c r="N23" s="393">
        <v>11</v>
      </c>
      <c r="O23" s="393">
        <v>18898</v>
      </c>
      <c r="P23" s="393">
        <v>15</v>
      </c>
      <c r="Q23" s="393">
        <v>18841</v>
      </c>
      <c r="R23" s="393">
        <v>0</v>
      </c>
      <c r="S23" s="393">
        <v>0</v>
      </c>
      <c r="T23" s="393">
        <v>4</v>
      </c>
      <c r="U23" s="393">
        <v>8709</v>
      </c>
      <c r="V23" s="393">
        <f>_xlfn.IFNA(VLOOKUP(A23,[3]進出口值表查詢結果!$C$11:$F$68,4,0),-[4]整車!$B$22)</f>
        <v>0</v>
      </c>
      <c r="W23" s="393">
        <f>_xlfn.IFNA(VLOOKUP(A23,[3]進出口值表查詢結果!$C$11:$F$68,3,0),-[4]整車!$B$22)</f>
        <v>0</v>
      </c>
      <c r="X23" s="393">
        <f>_xlfn.IFNA(VLOOKUP(A23,[5]進出口值表查詢結果!$C$11:$F$68,4,0),-[4]整車!$B$22)</f>
        <v>23</v>
      </c>
      <c r="Y23" s="393">
        <f>_xlfn.IFNA(VLOOKUP(A23,[5]進出口值表查詢結果!$C$11:$F$68,3,0),-[4]整車!$B$22)</f>
        <v>41742</v>
      </c>
      <c r="Z23" s="387">
        <f t="shared" si="3"/>
        <v>105</v>
      </c>
      <c r="AA23" s="387">
        <f t="shared" si="4"/>
        <v>175415</v>
      </c>
    </row>
    <row r="24" spans="1:27">
      <c r="A24" s="429" t="s">
        <v>235</v>
      </c>
      <c r="B24" s="393">
        <v>0</v>
      </c>
      <c r="C24" s="393">
        <v>0</v>
      </c>
      <c r="D24" s="393"/>
      <c r="E24" s="393"/>
      <c r="F24" s="393">
        <v>0</v>
      </c>
      <c r="G24" s="393"/>
      <c r="H24" s="393">
        <v>0</v>
      </c>
      <c r="I24" s="393">
        <v>0</v>
      </c>
      <c r="J24" s="394">
        <v>1</v>
      </c>
      <c r="K24" s="395">
        <v>2606</v>
      </c>
      <c r="L24" s="393">
        <v>0</v>
      </c>
      <c r="M24" s="387">
        <v>0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/>
      <c r="U24" s="393"/>
      <c r="V24" s="393">
        <f>_xlfn.IFNA(VLOOKUP(A24,[3]進出口值表查詢結果!$C$11:$F$68,4,0),-[4]整車!$B$22)</f>
        <v>0</v>
      </c>
      <c r="W24" s="393">
        <f>_xlfn.IFNA(VLOOKUP(A24,[3]進出口值表查詢結果!$C$11:$F$68,3,0),-[4]整車!$B$22)</f>
        <v>0</v>
      </c>
      <c r="X24" s="393">
        <f>_xlfn.IFNA(VLOOKUP(A24,[5]進出口值表查詢結果!$C$11:$F$68,4,0),-[4]整車!$B$22)</f>
        <v>0</v>
      </c>
      <c r="Y24" s="393">
        <f>_xlfn.IFNA(VLOOKUP(A24,[5]進出口值表查詢結果!$C$11:$F$68,3,0),-[4]整車!$B$22)</f>
        <v>0</v>
      </c>
      <c r="Z24" s="387">
        <f t="shared" si="3"/>
        <v>1</v>
      </c>
      <c r="AA24" s="387">
        <f t="shared" si="4"/>
        <v>2606</v>
      </c>
    </row>
    <row r="25" spans="1:27">
      <c r="A25" s="429" t="s">
        <v>236</v>
      </c>
      <c r="B25" s="393">
        <v>0</v>
      </c>
      <c r="C25" s="393">
        <v>0</v>
      </c>
      <c r="D25" s="393"/>
      <c r="E25" s="393"/>
      <c r="F25" s="393">
        <v>0</v>
      </c>
      <c r="G25" s="393"/>
      <c r="H25" s="393">
        <v>0</v>
      </c>
      <c r="I25" s="393">
        <v>0</v>
      </c>
      <c r="J25" s="394" t="s">
        <v>57</v>
      </c>
      <c r="K25" s="397" t="s">
        <v>57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/>
      <c r="U25" s="393"/>
      <c r="V25" s="393">
        <f>_xlfn.IFNA(VLOOKUP(A25,[3]進出口值表查詢結果!$C$11:$F$68,4,0),-[4]整車!$B$22)</f>
        <v>0</v>
      </c>
      <c r="W25" s="393">
        <f>_xlfn.IFNA(VLOOKUP(A25,[3]進出口值表查詢結果!$C$11:$F$68,3,0),-[4]整車!$B$22)</f>
        <v>0</v>
      </c>
      <c r="X25" s="393">
        <f>_xlfn.IFNA(VLOOKUP(A25,[5]進出口值表查詢結果!$C$11:$F$68,4,0),-[4]整車!$B$22)</f>
        <v>0</v>
      </c>
      <c r="Y25" s="393">
        <f>_xlfn.IFNA(VLOOKUP(A25,[5]進出口值表查詢結果!$C$11:$F$68,3,0),-[4]整車!$B$22)</f>
        <v>0</v>
      </c>
      <c r="Z25" s="387">
        <f t="shared" si="3"/>
        <v>0</v>
      </c>
      <c r="AA25" s="387">
        <f t="shared" si="4"/>
        <v>0</v>
      </c>
    </row>
    <row r="26" spans="1:27">
      <c r="A26" s="429" t="s">
        <v>237</v>
      </c>
      <c r="B26" s="393">
        <v>0</v>
      </c>
      <c r="C26" s="393">
        <v>0</v>
      </c>
      <c r="D26" s="393"/>
      <c r="E26" s="393"/>
      <c r="F26" s="393">
        <v>10</v>
      </c>
      <c r="G26" s="393">
        <v>9226</v>
      </c>
      <c r="H26" s="393">
        <v>0</v>
      </c>
      <c r="I26" s="393">
        <v>0</v>
      </c>
      <c r="J26" s="394" t="s">
        <v>57</v>
      </c>
      <c r="K26" s="397" t="s">
        <v>57</v>
      </c>
      <c r="L26" s="393">
        <v>2</v>
      </c>
      <c r="M26" s="393">
        <v>536</v>
      </c>
      <c r="N26" s="393">
        <v>0</v>
      </c>
      <c r="O26" s="393">
        <v>0</v>
      </c>
      <c r="P26" s="393">
        <v>34</v>
      </c>
      <c r="Q26" s="393">
        <v>17452</v>
      </c>
      <c r="R26" s="393">
        <v>0</v>
      </c>
      <c r="S26" s="393">
        <v>0</v>
      </c>
      <c r="T26" s="393">
        <v>10</v>
      </c>
      <c r="U26" s="393">
        <v>9501</v>
      </c>
      <c r="V26" s="393">
        <f>_xlfn.IFNA(VLOOKUP(A26,[3]進出口值表查詢結果!$C$11:$F$68,4,0),-[4]整車!$B$22)</f>
        <v>0</v>
      </c>
      <c r="W26" s="393">
        <f>_xlfn.IFNA(VLOOKUP(A26,[3]進出口值表查詢結果!$C$11:$F$68,3,0),-[4]整車!$B$22)</f>
        <v>0</v>
      </c>
      <c r="X26" s="393">
        <f>_xlfn.IFNA(VLOOKUP(A26,[5]進出口值表查詢結果!$C$11:$F$68,4,0),-[4]整車!$B$22)</f>
        <v>0</v>
      </c>
      <c r="Y26" s="393">
        <f>_xlfn.IFNA(VLOOKUP(A26,[5]進出口值表查詢結果!$C$11:$F$68,3,0),-[4]整車!$B$22)</f>
        <v>0</v>
      </c>
      <c r="Z26" s="387">
        <f t="shared" si="3"/>
        <v>56</v>
      </c>
      <c r="AA26" s="387">
        <f t="shared" si="4"/>
        <v>36715</v>
      </c>
    </row>
    <row r="27" spans="1:27">
      <c r="A27" s="429" t="s">
        <v>195</v>
      </c>
      <c r="B27" s="393">
        <v>12</v>
      </c>
      <c r="C27" s="393">
        <v>11363</v>
      </c>
      <c r="D27" s="393">
        <v>156</v>
      </c>
      <c r="E27" s="393">
        <v>136343</v>
      </c>
      <c r="F27" s="393">
        <v>53</v>
      </c>
      <c r="G27" s="393">
        <v>48024</v>
      </c>
      <c r="H27" s="393">
        <v>0</v>
      </c>
      <c r="I27" s="393">
        <v>0</v>
      </c>
      <c r="J27" s="394">
        <v>62</v>
      </c>
      <c r="K27" s="395">
        <v>51087</v>
      </c>
      <c r="L27" s="393">
        <v>0</v>
      </c>
      <c r="M27" s="393">
        <v>0</v>
      </c>
      <c r="N27" s="393">
        <v>53</v>
      </c>
      <c r="O27" s="393">
        <v>53415</v>
      </c>
      <c r="P27" s="393">
        <v>125</v>
      </c>
      <c r="Q27" s="393">
        <v>148830</v>
      </c>
      <c r="R27" s="393">
        <v>20</v>
      </c>
      <c r="S27" s="393">
        <v>19056</v>
      </c>
      <c r="T27" s="393">
        <v>26</v>
      </c>
      <c r="U27" s="393">
        <v>35077</v>
      </c>
      <c r="V27" s="393">
        <f>_xlfn.IFNA(VLOOKUP(A27,[3]進出口值表查詢結果!$C$11:$F$68,4,0),-[4]整車!$B$22)</f>
        <v>6</v>
      </c>
      <c r="W27" s="393">
        <f>_xlfn.IFNA(VLOOKUP(A27,[3]進出口值表查詢結果!$C$11:$F$68,3,0),-[4]整車!$B$22)</f>
        <v>6932</v>
      </c>
      <c r="X27" s="393">
        <f>_xlfn.IFNA(VLOOKUP(A27,[5]進出口值表查詢結果!$C$11:$F$68,4,0),-[4]整車!$B$22)</f>
        <v>211</v>
      </c>
      <c r="Y27" s="393">
        <f>_xlfn.IFNA(VLOOKUP(A27,[5]進出口值表查詢結果!$C$11:$F$68,3,0),-[4]整車!$B$22)</f>
        <v>156683</v>
      </c>
      <c r="Z27" s="387">
        <f t="shared" si="3"/>
        <v>724</v>
      </c>
      <c r="AA27" s="387">
        <f t="shared" si="4"/>
        <v>666810</v>
      </c>
    </row>
    <row r="28" spans="1:27">
      <c r="A28" s="429" t="s">
        <v>238</v>
      </c>
      <c r="B28" s="393">
        <v>0</v>
      </c>
      <c r="C28" s="393">
        <v>0</v>
      </c>
      <c r="D28" s="393"/>
      <c r="E28" s="393"/>
      <c r="F28" s="393">
        <v>0</v>
      </c>
      <c r="G28" s="393"/>
      <c r="H28" s="393">
        <v>0</v>
      </c>
      <c r="I28" s="393">
        <v>0</v>
      </c>
      <c r="J28" s="394" t="s">
        <v>57</v>
      </c>
      <c r="K28" s="397" t="s">
        <v>57</v>
      </c>
      <c r="L28" s="393">
        <v>0</v>
      </c>
      <c r="M28" s="393">
        <v>0</v>
      </c>
      <c r="N28" s="393">
        <v>0</v>
      </c>
      <c r="O28" s="393">
        <v>0</v>
      </c>
      <c r="P28" s="393">
        <v>0</v>
      </c>
      <c r="Q28" s="393">
        <v>0</v>
      </c>
      <c r="R28" s="393">
        <v>0</v>
      </c>
      <c r="S28" s="393">
        <v>0</v>
      </c>
      <c r="T28" s="393"/>
      <c r="U28" s="393"/>
      <c r="V28" s="393">
        <f>_xlfn.IFNA(VLOOKUP(A28,[3]進出口值表查詢結果!$C$11:$F$68,4,0),-[4]整車!$B$22)</f>
        <v>0</v>
      </c>
      <c r="W28" s="393">
        <f>_xlfn.IFNA(VLOOKUP(A28,[3]進出口值表查詢結果!$C$11:$F$68,3,0),-[4]整車!$B$22)</f>
        <v>0</v>
      </c>
      <c r="X28" s="393">
        <f>_xlfn.IFNA(VLOOKUP(A28,[5]進出口值表查詢結果!$C$11:$F$68,4,0),-[4]整車!$B$22)</f>
        <v>0</v>
      </c>
      <c r="Y28" s="393">
        <f>_xlfn.IFNA(VLOOKUP(A28,[5]進出口值表查詢結果!$C$11:$F$68,3,0),-[4]整車!$B$22)</f>
        <v>0</v>
      </c>
      <c r="Z28" s="387">
        <f t="shared" si="3"/>
        <v>0</v>
      </c>
      <c r="AA28" s="387">
        <f t="shared" si="4"/>
        <v>0</v>
      </c>
    </row>
    <row r="29" spans="1:27">
      <c r="A29" s="429" t="s">
        <v>165</v>
      </c>
      <c r="B29" s="393">
        <v>832</v>
      </c>
      <c r="C29" s="393">
        <v>601299</v>
      </c>
      <c r="D29" s="393">
        <v>1474</v>
      </c>
      <c r="E29" s="393">
        <v>1335375</v>
      </c>
      <c r="F29" s="393">
        <v>2575</v>
      </c>
      <c r="G29" s="393">
        <v>2824860</v>
      </c>
      <c r="H29" s="393">
        <v>1590</v>
      </c>
      <c r="I29" s="393">
        <v>2035410</v>
      </c>
      <c r="J29" s="394">
        <v>1368</v>
      </c>
      <c r="K29" s="397">
        <v>1650049</v>
      </c>
      <c r="L29" s="393">
        <v>3338</v>
      </c>
      <c r="M29" s="393">
        <v>3123497</v>
      </c>
      <c r="N29" s="393">
        <v>2847</v>
      </c>
      <c r="O29" s="393">
        <v>2378126</v>
      </c>
      <c r="P29" s="393">
        <v>2606</v>
      </c>
      <c r="Q29" s="393">
        <v>3061333</v>
      </c>
      <c r="R29" s="393">
        <v>1944</v>
      </c>
      <c r="S29" s="393">
        <v>1677516</v>
      </c>
      <c r="T29" s="393">
        <v>2095</v>
      </c>
      <c r="U29" s="393">
        <v>2093220</v>
      </c>
      <c r="V29" s="393">
        <f>_xlfn.IFNA(VLOOKUP(A29,[3]進出口值表查詢結果!$C$11:$F$68,4,0),-[4]整車!$B$22)</f>
        <v>2168</v>
      </c>
      <c r="W29" s="393">
        <f>_xlfn.IFNA(VLOOKUP(A29,[3]進出口值表查詢結果!$C$11:$F$68,3,0),-[4]整車!$B$22)</f>
        <v>2387001</v>
      </c>
      <c r="X29" s="393">
        <f>_xlfn.IFNA(VLOOKUP(A29,[5]進出口值表查詢結果!$C$11:$F$68,4,0),-[4]整車!$B$22)</f>
        <v>3104</v>
      </c>
      <c r="Y29" s="393">
        <f>_xlfn.IFNA(VLOOKUP(A29,[5]進出口值表查詢結果!$C$11:$F$68,3,0),-[4]整車!$B$22)</f>
        <v>3401926</v>
      </c>
      <c r="Z29" s="387">
        <f t="shared" si="3"/>
        <v>25941</v>
      </c>
      <c r="AA29" s="387">
        <f t="shared" si="4"/>
        <v>26569612</v>
      </c>
    </row>
    <row r="30" spans="1:27">
      <c r="A30" s="431" t="s">
        <v>240</v>
      </c>
      <c r="B30" s="387">
        <v>0</v>
      </c>
      <c r="C30" s="387">
        <v>0</v>
      </c>
      <c r="D30" s="387"/>
      <c r="E30" s="387"/>
      <c r="F30" s="387">
        <v>0</v>
      </c>
      <c r="G30" s="387"/>
      <c r="H30" s="387">
        <v>0</v>
      </c>
      <c r="I30" s="387">
        <v>0</v>
      </c>
      <c r="J30" s="380" t="s">
        <v>57</v>
      </c>
      <c r="K30" s="397" t="s">
        <v>57</v>
      </c>
      <c r="L30" s="387">
        <v>0</v>
      </c>
      <c r="M30" s="387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/>
      <c r="U30" s="387"/>
      <c r="V30" s="393">
        <f>_xlfn.IFNA(VLOOKUP(A30,[3]進出口值表查詢結果!$C$11:$F$68,4,0),-[4]整車!$B$22)</f>
        <v>0</v>
      </c>
      <c r="W30" s="393">
        <f>_xlfn.IFNA(VLOOKUP(A30,[3]進出口值表查詢結果!$C$11:$F$68,3,0),-[4]整車!$B$22)</f>
        <v>0</v>
      </c>
      <c r="X30" s="393">
        <f>_xlfn.IFNA(VLOOKUP(A30,[5]進出口值表查詢結果!$C$11:$F$68,4,0),-[4]整車!$B$22)</f>
        <v>0</v>
      </c>
      <c r="Y30" s="393">
        <f>_xlfn.IFNA(VLOOKUP(A30,[5]進出口值表查詢結果!$C$11:$F$68,3,0),-[4]整車!$B$22)</f>
        <v>0</v>
      </c>
      <c r="Z30" s="387">
        <f t="shared" si="3"/>
        <v>0</v>
      </c>
      <c r="AA30" s="387">
        <f t="shared" si="4"/>
        <v>0</v>
      </c>
    </row>
    <row r="31" spans="1:27">
      <c r="A31" s="429" t="s">
        <v>241</v>
      </c>
      <c r="B31" s="387">
        <v>0</v>
      </c>
      <c r="C31" s="387">
        <v>0</v>
      </c>
      <c r="D31" s="393"/>
      <c r="E31" s="393"/>
      <c r="F31" s="393">
        <v>0</v>
      </c>
      <c r="G31" s="393"/>
      <c r="H31" s="393">
        <v>0</v>
      </c>
      <c r="I31" s="393">
        <v>0</v>
      </c>
      <c r="J31" s="394"/>
      <c r="K31" s="397" t="s">
        <v>57</v>
      </c>
      <c r="L31" s="393">
        <v>0</v>
      </c>
      <c r="M31" s="393">
        <v>0</v>
      </c>
      <c r="N31" s="393">
        <v>0</v>
      </c>
      <c r="O31" s="393">
        <v>0</v>
      </c>
      <c r="P31" s="387">
        <v>0</v>
      </c>
      <c r="Q31" s="387">
        <v>0</v>
      </c>
      <c r="R31" s="387">
        <v>0</v>
      </c>
      <c r="S31" s="387">
        <v>0</v>
      </c>
      <c r="T31" s="393"/>
      <c r="U31" s="393"/>
      <c r="V31" s="393">
        <f>_xlfn.IFNA(VLOOKUP(A31,[3]進出口值表查詢結果!$C$11:$F$68,4,0),-[4]整車!$B$22)</f>
        <v>0</v>
      </c>
      <c r="W31" s="393">
        <f>_xlfn.IFNA(VLOOKUP(A31,[3]進出口值表查詢結果!$C$11:$F$68,3,0),-[4]整車!$B$22)</f>
        <v>0</v>
      </c>
      <c r="X31" s="393">
        <f>_xlfn.IFNA(VLOOKUP(A31,[5]進出口值表查詢結果!$C$11:$F$68,4,0),-[4]整車!$B$22)</f>
        <v>0</v>
      </c>
      <c r="Y31" s="393">
        <f>_xlfn.IFNA(VLOOKUP(A31,[5]進出口值表查詢結果!$C$11:$F$68,3,0),-[4]整車!$B$22)</f>
        <v>0</v>
      </c>
      <c r="Z31" s="387">
        <f t="shared" si="3"/>
        <v>0</v>
      </c>
      <c r="AA31" s="387">
        <f t="shared" si="4"/>
        <v>0</v>
      </c>
    </row>
    <row r="32" spans="1:27">
      <c r="A32" s="429" t="s">
        <v>242</v>
      </c>
      <c r="B32" s="387">
        <v>0</v>
      </c>
      <c r="C32" s="387">
        <v>0</v>
      </c>
      <c r="D32" s="393"/>
      <c r="E32" s="393"/>
      <c r="F32" s="393">
        <v>0</v>
      </c>
      <c r="G32" s="393"/>
      <c r="H32" s="393">
        <v>2</v>
      </c>
      <c r="I32" s="393">
        <v>3147</v>
      </c>
      <c r="J32" s="394" t="s">
        <v>57</v>
      </c>
      <c r="K32" s="397" t="s">
        <v>57</v>
      </c>
      <c r="L32" s="393">
        <v>0</v>
      </c>
      <c r="M32" s="393">
        <v>0</v>
      </c>
      <c r="N32" s="393">
        <v>9</v>
      </c>
      <c r="O32" s="393">
        <v>14807</v>
      </c>
      <c r="P32" s="387">
        <v>0</v>
      </c>
      <c r="Q32" s="387">
        <v>0</v>
      </c>
      <c r="R32" s="387">
        <v>0</v>
      </c>
      <c r="S32" s="387">
        <v>0</v>
      </c>
      <c r="T32" s="393"/>
      <c r="U32" s="393"/>
      <c r="V32" s="393">
        <f>_xlfn.IFNA(VLOOKUP(A32,[3]進出口值表查詢結果!$C$11:$F$68,4,0),-[4]整車!$B$22)</f>
        <v>0</v>
      </c>
      <c r="W32" s="393">
        <f>_xlfn.IFNA(VLOOKUP(A32,[3]進出口值表查詢結果!$C$11:$F$68,3,0),-[4]整車!$B$22)</f>
        <v>0</v>
      </c>
      <c r="X32" s="393">
        <f>_xlfn.IFNA(VLOOKUP(A32,[5]進出口值表查詢結果!$C$11:$F$68,4,0),-[4]整車!$B$22)</f>
        <v>12</v>
      </c>
      <c r="Y32" s="393">
        <f>_xlfn.IFNA(VLOOKUP(A32,[5]進出口值表查詢結果!$C$11:$F$68,3,0),-[4]整車!$B$22)</f>
        <v>16410</v>
      </c>
      <c r="Z32" s="387">
        <f t="shared" si="3"/>
        <v>23</v>
      </c>
      <c r="AA32" s="387">
        <f t="shared" si="4"/>
        <v>34364</v>
      </c>
    </row>
    <row r="33" spans="1:27">
      <c r="A33" s="429" t="s">
        <v>243</v>
      </c>
      <c r="B33" s="387">
        <v>0</v>
      </c>
      <c r="C33" s="387">
        <v>0</v>
      </c>
      <c r="D33" s="393">
        <v>65</v>
      </c>
      <c r="E33" s="393">
        <v>100633</v>
      </c>
      <c r="F33" s="387">
        <v>430</v>
      </c>
      <c r="G33" s="393">
        <v>75772</v>
      </c>
      <c r="H33" s="393">
        <v>89</v>
      </c>
      <c r="I33" s="393">
        <v>94535</v>
      </c>
      <c r="J33" s="394" t="s">
        <v>57</v>
      </c>
      <c r="K33" s="397" t="s">
        <v>57</v>
      </c>
      <c r="L33" s="393">
        <v>0</v>
      </c>
      <c r="M33" s="393">
        <v>0</v>
      </c>
      <c r="N33" s="393">
        <v>0</v>
      </c>
      <c r="O33" s="393">
        <v>0</v>
      </c>
      <c r="P33" s="387">
        <v>0</v>
      </c>
      <c r="Q33" s="387">
        <v>0</v>
      </c>
      <c r="R33" s="387">
        <v>0</v>
      </c>
      <c r="S33" s="387">
        <v>0</v>
      </c>
      <c r="T33" s="393"/>
      <c r="U33" s="393"/>
      <c r="V33" s="393">
        <f>_xlfn.IFNA(VLOOKUP(A33,[3]進出口值表查詢結果!$C$11:$F$68,4,0),-[4]整車!$B$22)</f>
        <v>0</v>
      </c>
      <c r="W33" s="393">
        <f>_xlfn.IFNA(VLOOKUP(A33,[3]進出口值表查詢結果!$C$11:$F$68,3,0),-[4]整車!$B$22)</f>
        <v>0</v>
      </c>
      <c r="X33" s="393">
        <f>_xlfn.IFNA(VLOOKUP(A33,[5]進出口值表查詢結果!$C$11:$F$68,4,0),-[4]整車!$B$22)</f>
        <v>36</v>
      </c>
      <c r="Y33" s="393">
        <f>_xlfn.IFNA(VLOOKUP(A33,[5]進出口值表查詢結果!$C$11:$F$68,3,0),-[4]整車!$B$22)</f>
        <v>41708</v>
      </c>
      <c r="Z33" s="393">
        <f t="shared" si="3"/>
        <v>620</v>
      </c>
      <c r="AA33" s="393">
        <f t="shared" si="4"/>
        <v>312648</v>
      </c>
    </row>
    <row r="34" spans="1:27">
      <c r="A34" s="429" t="s">
        <v>244</v>
      </c>
      <c r="B34" s="387">
        <v>0</v>
      </c>
      <c r="C34" s="387">
        <v>0</v>
      </c>
      <c r="D34" s="393"/>
      <c r="E34" s="393"/>
      <c r="F34" s="393">
        <v>0</v>
      </c>
      <c r="G34" s="393"/>
      <c r="H34" s="393">
        <v>0</v>
      </c>
      <c r="I34" s="393">
        <v>0</v>
      </c>
      <c r="J34" s="394" t="s">
        <v>57</v>
      </c>
      <c r="K34" s="397" t="s">
        <v>57</v>
      </c>
      <c r="L34" s="393">
        <v>200</v>
      </c>
      <c r="M34" s="393">
        <v>26608</v>
      </c>
      <c r="N34" s="393">
        <v>0</v>
      </c>
      <c r="O34" s="393">
        <v>0</v>
      </c>
      <c r="P34" s="387">
        <v>0</v>
      </c>
      <c r="Q34" s="387">
        <v>0</v>
      </c>
      <c r="R34" s="387">
        <v>0</v>
      </c>
      <c r="S34" s="387">
        <v>0</v>
      </c>
      <c r="T34" s="393"/>
      <c r="U34" s="393"/>
      <c r="V34" s="393">
        <f>_xlfn.IFNA(VLOOKUP(A34,[3]進出口值表查詢結果!$C$11:$F$68,4,0),-[4]整車!$B$22)</f>
        <v>0</v>
      </c>
      <c r="W34" s="393">
        <f>_xlfn.IFNA(VLOOKUP(A34,[3]進出口值表查詢結果!$C$11:$F$68,3,0),-[4]整車!$B$22)</f>
        <v>0</v>
      </c>
      <c r="X34" s="393">
        <f>_xlfn.IFNA(VLOOKUP(A34,[5]進出口值表查詢結果!$C$11:$F$68,4,0),-[4]整車!$B$22)</f>
        <v>0</v>
      </c>
      <c r="Y34" s="393">
        <f>_xlfn.IFNA(VLOOKUP(A34,[5]進出口值表查詢結果!$C$11:$F$68,3,0),-[4]整車!$B$22)</f>
        <v>0</v>
      </c>
      <c r="Z34" s="393">
        <f t="shared" si="3"/>
        <v>200</v>
      </c>
      <c r="AA34" s="393">
        <f t="shared" si="4"/>
        <v>26608</v>
      </c>
    </row>
    <row r="35" spans="1:27">
      <c r="A35" s="386"/>
      <c r="B35" s="387"/>
      <c r="C35" s="387"/>
      <c r="D35" s="387"/>
      <c r="E35" s="387"/>
      <c r="F35" s="387"/>
      <c r="G35" s="387"/>
      <c r="H35" s="387"/>
      <c r="I35" s="387"/>
      <c r="J35" s="380"/>
      <c r="K35" s="381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</row>
    <row r="36" spans="1:27">
      <c r="A36" s="399" t="s">
        <v>138</v>
      </c>
      <c r="B36" s="400">
        <f t="shared" ref="B36:Y36" si="5">B38+B68+B75</f>
        <v>79424</v>
      </c>
      <c r="C36" s="400">
        <f t="shared" si="5"/>
        <v>35612604</v>
      </c>
      <c r="D36" s="400">
        <f t="shared" si="5"/>
        <v>64213</v>
      </c>
      <c r="E36" s="400">
        <f t="shared" si="5"/>
        <v>30491608</v>
      </c>
      <c r="F36" s="400">
        <f t="shared" si="5"/>
        <v>54696</v>
      </c>
      <c r="G36" s="400">
        <f t="shared" si="5"/>
        <v>29542744</v>
      </c>
      <c r="H36" s="400">
        <f t="shared" si="5"/>
        <v>39009</v>
      </c>
      <c r="I36" s="400">
        <f t="shared" si="5"/>
        <v>19973565</v>
      </c>
      <c r="J36" s="401">
        <f t="shared" si="5"/>
        <v>44931</v>
      </c>
      <c r="K36" s="402">
        <f>K38+K68+K75</f>
        <v>28357229</v>
      </c>
      <c r="L36" s="400">
        <f t="shared" si="5"/>
        <v>51038</v>
      </c>
      <c r="M36" s="400">
        <f t="shared" si="5"/>
        <v>32305965</v>
      </c>
      <c r="N36" s="400">
        <f t="shared" si="5"/>
        <v>44856</v>
      </c>
      <c r="O36" s="400">
        <f t="shared" si="5"/>
        <v>35121669</v>
      </c>
      <c r="P36" s="400">
        <f t="shared" si="5"/>
        <v>69496</v>
      </c>
      <c r="Q36" s="400">
        <f t="shared" si="5"/>
        <v>46505146</v>
      </c>
      <c r="R36" s="400">
        <f t="shared" si="5"/>
        <v>46124</v>
      </c>
      <c r="S36" s="400">
        <f t="shared" si="5"/>
        <v>32297052</v>
      </c>
      <c r="T36" s="400">
        <f t="shared" si="5"/>
        <v>63488</v>
      </c>
      <c r="U36" s="400">
        <f t="shared" si="5"/>
        <v>38464858</v>
      </c>
      <c r="V36" s="400">
        <f>V38+V68+V75</f>
        <v>52331</v>
      </c>
      <c r="W36" s="400">
        <f>W38+W68+W75</f>
        <v>31078138</v>
      </c>
      <c r="X36" s="400">
        <f t="shared" si="5"/>
        <v>64845</v>
      </c>
      <c r="Y36" s="400">
        <f t="shared" si="5"/>
        <v>39655701</v>
      </c>
      <c r="Z36" s="400">
        <f>SUM(B36,D36,F36,H36,J36,L36,N36,P36,R36,T36,V36,X36)</f>
        <v>674451</v>
      </c>
      <c r="AA36" s="400">
        <f>SUM(C36,E36,G36,I36,K36,M36,O36,Q36,S36,U36,W36,Y36)</f>
        <v>399406279</v>
      </c>
    </row>
    <row r="37" spans="1:27">
      <c r="A37" s="386"/>
      <c r="B37" s="387"/>
      <c r="C37" s="387"/>
      <c r="D37" s="387"/>
      <c r="E37" s="387"/>
      <c r="F37" s="387"/>
      <c r="G37" s="387"/>
      <c r="H37" s="387"/>
      <c r="I37" s="387"/>
      <c r="J37" s="380"/>
      <c r="K37" s="381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</row>
    <row r="38" spans="1:27">
      <c r="A38" s="403" t="s">
        <v>8</v>
      </c>
      <c r="B38" s="404">
        <f t="shared" ref="B38:Y38" si="6">SUM(B39:B66)</f>
        <v>71602</v>
      </c>
      <c r="C38" s="404">
        <f t="shared" si="6"/>
        <v>31042061</v>
      </c>
      <c r="D38" s="404">
        <f t="shared" si="6"/>
        <v>57938</v>
      </c>
      <c r="E38" s="404">
        <f t="shared" si="6"/>
        <v>27066923</v>
      </c>
      <c r="F38" s="404">
        <f t="shared" si="6"/>
        <v>50036</v>
      </c>
      <c r="G38" s="404">
        <f t="shared" si="6"/>
        <v>26756451</v>
      </c>
      <c r="H38" s="404">
        <f t="shared" si="6"/>
        <v>35898</v>
      </c>
      <c r="I38" s="404">
        <f t="shared" si="6"/>
        <v>18239616</v>
      </c>
      <c r="J38" s="405">
        <f t="shared" si="6"/>
        <v>42641</v>
      </c>
      <c r="K38" s="406">
        <f>SUM(K39:K66)</f>
        <v>26690377</v>
      </c>
      <c r="L38" s="404">
        <f t="shared" si="6"/>
        <v>48143</v>
      </c>
      <c r="M38" s="404">
        <f t="shared" si="6"/>
        <v>30331535</v>
      </c>
      <c r="N38" s="404">
        <f t="shared" si="6"/>
        <v>41659</v>
      </c>
      <c r="O38" s="404">
        <f t="shared" si="6"/>
        <v>32356018</v>
      </c>
      <c r="P38" s="404">
        <f t="shared" si="6"/>
        <v>67372</v>
      </c>
      <c r="Q38" s="404">
        <f t="shared" si="6"/>
        <v>44304841</v>
      </c>
      <c r="R38" s="404">
        <f t="shared" si="6"/>
        <v>44242</v>
      </c>
      <c r="S38" s="404">
        <f t="shared" si="6"/>
        <v>30263800</v>
      </c>
      <c r="T38" s="404">
        <f t="shared" si="6"/>
        <v>58319</v>
      </c>
      <c r="U38" s="404">
        <f t="shared" si="6"/>
        <v>35452809</v>
      </c>
      <c r="V38" s="404">
        <f>SUM(V39:V66)</f>
        <v>49253</v>
      </c>
      <c r="W38" s="404">
        <f>SUM(W39:W66)</f>
        <v>28348880</v>
      </c>
      <c r="X38" s="404">
        <f t="shared" si="6"/>
        <v>58138</v>
      </c>
      <c r="Y38" s="404">
        <f t="shared" si="6"/>
        <v>33913506</v>
      </c>
      <c r="Z38" s="404">
        <f t="shared" ref="Z38:Z66" si="7">SUM(B38,D38,F38,H38,J38,L38,N38,P38,R38,T38,V38,X38)</f>
        <v>625241</v>
      </c>
      <c r="AA38" s="404">
        <f t="shared" ref="AA38:AA66" si="8">SUM(C38,E38,G38,I38,K38,M38,O38,Q38,S38,U38,W38,Y38)</f>
        <v>364766817</v>
      </c>
    </row>
    <row r="39" spans="1:27">
      <c r="A39" s="429" t="s">
        <v>158</v>
      </c>
      <c r="B39" s="393">
        <v>9455</v>
      </c>
      <c r="C39" s="393">
        <v>8098805</v>
      </c>
      <c r="D39" s="393">
        <v>5899</v>
      </c>
      <c r="E39" s="393">
        <v>4489009</v>
      </c>
      <c r="F39" s="393">
        <v>11184</v>
      </c>
      <c r="G39" s="393">
        <v>11101791</v>
      </c>
      <c r="H39" s="393">
        <v>7475</v>
      </c>
      <c r="I39" s="393">
        <v>8873601</v>
      </c>
      <c r="J39" s="394">
        <v>12869</v>
      </c>
      <c r="K39" s="395">
        <v>13913534</v>
      </c>
      <c r="L39" s="393">
        <v>14682</v>
      </c>
      <c r="M39" s="393">
        <v>14178313</v>
      </c>
      <c r="N39" s="393">
        <v>14082</v>
      </c>
      <c r="O39" s="393">
        <v>14946790</v>
      </c>
      <c r="P39" s="393">
        <v>17288</v>
      </c>
      <c r="Q39" s="393">
        <v>20932370</v>
      </c>
      <c r="R39" s="393">
        <v>13841</v>
      </c>
      <c r="S39" s="393">
        <v>14623372</v>
      </c>
      <c r="T39" s="393">
        <v>14781</v>
      </c>
      <c r="U39" s="393">
        <v>14961515</v>
      </c>
      <c r="V39" s="393">
        <f>_xlfn.IFNA(VLOOKUP(A39,[3]進出口值表查詢結果!$C$11:$F$68,4,0),-[4]整車!$B$22)</f>
        <v>14525</v>
      </c>
      <c r="W39" s="393">
        <f>_xlfn.IFNA(VLOOKUP(A39,[3]進出口值表查詢結果!$C$11:$F$68,3,0),-[4]整車!$B$22)</f>
        <v>13590883</v>
      </c>
      <c r="X39" s="393">
        <f>_xlfn.IFNA(VLOOKUP(A39,[5]進出口值表查詢結果!$C$11:$F$68,4,0),-[4]整車!$B$22)</f>
        <v>15792</v>
      </c>
      <c r="Y39" s="393">
        <f>_xlfn.IFNA(VLOOKUP(A39,[5]進出口值表查詢結果!$C$11:$F$68,3,0),-[4]整車!$B$22)</f>
        <v>15201155</v>
      </c>
      <c r="Z39" s="387">
        <f t="shared" si="7"/>
        <v>151873</v>
      </c>
      <c r="AA39" s="387">
        <f t="shared" si="8"/>
        <v>154911138</v>
      </c>
    </row>
    <row r="40" spans="1:27">
      <c r="A40" s="429" t="s">
        <v>161</v>
      </c>
      <c r="B40" s="393">
        <v>6408</v>
      </c>
      <c r="C40" s="393">
        <v>3502900</v>
      </c>
      <c r="D40" s="393">
        <v>12057</v>
      </c>
      <c r="E40" s="393">
        <v>3128315</v>
      </c>
      <c r="F40" s="393">
        <v>8271</v>
      </c>
      <c r="G40" s="393">
        <v>2563956</v>
      </c>
      <c r="H40" s="393">
        <v>4864</v>
      </c>
      <c r="I40" s="393">
        <v>1321695</v>
      </c>
      <c r="J40" s="394">
        <v>2458</v>
      </c>
      <c r="K40" s="395">
        <v>672571</v>
      </c>
      <c r="L40" s="393">
        <v>2556</v>
      </c>
      <c r="M40" s="393">
        <v>1168366</v>
      </c>
      <c r="N40" s="393">
        <v>4316</v>
      </c>
      <c r="O40" s="393">
        <v>1533943</v>
      </c>
      <c r="P40" s="393">
        <v>4965</v>
      </c>
      <c r="Q40" s="393">
        <v>2104096</v>
      </c>
      <c r="R40" s="393">
        <v>3366</v>
      </c>
      <c r="S40" s="393">
        <v>1847351</v>
      </c>
      <c r="T40" s="393">
        <v>3654</v>
      </c>
      <c r="U40" s="393">
        <v>1456075</v>
      </c>
      <c r="V40" s="393">
        <f>_xlfn.IFNA(VLOOKUP(A40,[3]進出口值表查詢結果!$C$11:$F$68,4,0),-[4]整車!$B$22)</f>
        <v>5797</v>
      </c>
      <c r="W40" s="393">
        <f>_xlfn.IFNA(VLOOKUP(A40,[3]進出口值表查詢結果!$C$11:$F$68,3,0),-[4]整車!$B$22)</f>
        <v>1411961</v>
      </c>
      <c r="X40" s="393">
        <f>_xlfn.IFNA(VLOOKUP(A40,[5]進出口值表查詢結果!$C$11:$F$68,4,0),-[4]整車!$B$22)</f>
        <v>5920</v>
      </c>
      <c r="Y40" s="393">
        <f>_xlfn.IFNA(VLOOKUP(A40,[5]進出口值表查詢結果!$C$11:$F$68,3,0),-[4]整車!$B$22)</f>
        <v>1991602</v>
      </c>
      <c r="Z40" s="387">
        <f t="shared" si="7"/>
        <v>64632</v>
      </c>
      <c r="AA40" s="387">
        <f t="shared" si="8"/>
        <v>22702831</v>
      </c>
    </row>
    <row r="41" spans="1:27">
      <c r="A41" s="429" t="s">
        <v>175</v>
      </c>
      <c r="B41" s="393">
        <v>1316</v>
      </c>
      <c r="C41" s="393">
        <v>717427</v>
      </c>
      <c r="D41" s="393">
        <v>911</v>
      </c>
      <c r="E41" s="393">
        <v>709326</v>
      </c>
      <c r="F41" s="393">
        <v>1777</v>
      </c>
      <c r="G41" s="393">
        <v>1217722</v>
      </c>
      <c r="H41" s="393">
        <v>547</v>
      </c>
      <c r="I41" s="393">
        <v>1236471</v>
      </c>
      <c r="J41" s="394">
        <v>504</v>
      </c>
      <c r="K41" s="395">
        <v>997393</v>
      </c>
      <c r="L41" s="393">
        <v>1828</v>
      </c>
      <c r="M41" s="393">
        <v>1782072</v>
      </c>
      <c r="N41" s="393">
        <v>858</v>
      </c>
      <c r="O41" s="393">
        <v>1473021</v>
      </c>
      <c r="P41" s="393">
        <v>1248</v>
      </c>
      <c r="Q41" s="393">
        <v>1567705</v>
      </c>
      <c r="R41" s="393">
        <v>1489</v>
      </c>
      <c r="S41" s="393">
        <v>1445890</v>
      </c>
      <c r="T41" s="393">
        <v>1319</v>
      </c>
      <c r="U41" s="393">
        <v>1108193</v>
      </c>
      <c r="V41" s="393">
        <f>_xlfn.IFNA(VLOOKUP(A41,[3]進出口值表查詢結果!$C$11:$F$68,4,0),-[4]整車!$B$22)</f>
        <v>1769</v>
      </c>
      <c r="W41" s="393">
        <f>_xlfn.IFNA(VLOOKUP(A41,[3]進出口值表查詢結果!$C$11:$F$68,3,0),-[4]整車!$B$22)</f>
        <v>798510</v>
      </c>
      <c r="X41" s="393">
        <f>_xlfn.IFNA(VLOOKUP(A41,[5]進出口值表查詢結果!$C$11:$F$68,4,0),-[4]整車!$B$22)</f>
        <v>2665</v>
      </c>
      <c r="Y41" s="393">
        <f>_xlfn.IFNA(VLOOKUP(A41,[5]進出口值表查詢結果!$C$11:$F$68,3,0),-[4]整車!$B$22)</f>
        <v>1213680</v>
      </c>
      <c r="Z41" s="387">
        <f t="shared" si="7"/>
        <v>16231</v>
      </c>
      <c r="AA41" s="387">
        <f t="shared" si="8"/>
        <v>14267410</v>
      </c>
    </row>
    <row r="42" spans="1:27">
      <c r="A42" s="429" t="s">
        <v>159</v>
      </c>
      <c r="B42" s="393">
        <v>17706</v>
      </c>
      <c r="C42" s="393">
        <v>5035525</v>
      </c>
      <c r="D42" s="393">
        <v>6240</v>
      </c>
      <c r="E42" s="393">
        <v>3784977</v>
      </c>
      <c r="F42" s="393">
        <v>9566</v>
      </c>
      <c r="G42" s="393">
        <v>2935879</v>
      </c>
      <c r="H42" s="393">
        <v>6503</v>
      </c>
      <c r="I42" s="393">
        <v>3044684</v>
      </c>
      <c r="J42" s="394">
        <v>5112</v>
      </c>
      <c r="K42" s="395">
        <v>3224993</v>
      </c>
      <c r="L42" s="393">
        <v>13471</v>
      </c>
      <c r="M42" s="393">
        <v>4417423</v>
      </c>
      <c r="N42" s="393">
        <v>11009</v>
      </c>
      <c r="O42" s="393">
        <v>4729278</v>
      </c>
      <c r="P42" s="393">
        <v>33998</v>
      </c>
      <c r="Q42" s="393">
        <v>11641642</v>
      </c>
      <c r="R42" s="393">
        <v>15962</v>
      </c>
      <c r="S42" s="393">
        <v>6253943</v>
      </c>
      <c r="T42" s="393">
        <v>18510</v>
      </c>
      <c r="U42" s="393">
        <v>8270668</v>
      </c>
      <c r="V42" s="393">
        <f>_xlfn.IFNA(VLOOKUP(A42,[3]進出口值表查詢結果!$C$11:$F$68,4,0),-[4]整車!$B$22)</f>
        <v>12194</v>
      </c>
      <c r="W42" s="393">
        <f>_xlfn.IFNA(VLOOKUP(A42,[3]進出口值表查詢結果!$C$11:$F$68,3,0),-[4]整車!$B$22)</f>
        <v>5955460</v>
      </c>
      <c r="X42" s="393">
        <f>_xlfn.IFNA(VLOOKUP(A42,[5]進出口值表查詢結果!$C$11:$F$68,4,0),-[4]整車!$B$22)</f>
        <v>14217</v>
      </c>
      <c r="Y42" s="393">
        <f>_xlfn.IFNA(VLOOKUP(A42,[5]進出口值表查詢結果!$C$11:$F$68,3,0),-[4]整車!$B$22)</f>
        <v>5372669</v>
      </c>
      <c r="Z42" s="387">
        <f t="shared" si="7"/>
        <v>164488</v>
      </c>
      <c r="AA42" s="387">
        <f t="shared" si="8"/>
        <v>64667141</v>
      </c>
    </row>
    <row r="43" spans="1:27">
      <c r="A43" s="429" t="s">
        <v>167</v>
      </c>
      <c r="B43" s="393">
        <v>1251</v>
      </c>
      <c r="C43" s="393">
        <v>1143718</v>
      </c>
      <c r="D43" s="393">
        <v>1214</v>
      </c>
      <c r="E43" s="393">
        <v>1514756</v>
      </c>
      <c r="F43" s="393">
        <v>1275</v>
      </c>
      <c r="G43" s="393">
        <v>1300366</v>
      </c>
      <c r="H43" s="393">
        <v>85</v>
      </c>
      <c r="I43" s="393">
        <v>106062</v>
      </c>
      <c r="J43" s="394">
        <v>889</v>
      </c>
      <c r="K43" s="395">
        <v>1214599</v>
      </c>
      <c r="L43" s="393">
        <v>1601</v>
      </c>
      <c r="M43" s="393">
        <v>1668970</v>
      </c>
      <c r="N43" s="393">
        <v>925</v>
      </c>
      <c r="O43" s="393">
        <v>1104904</v>
      </c>
      <c r="P43" s="393">
        <v>519</v>
      </c>
      <c r="Q43" s="393">
        <v>835276</v>
      </c>
      <c r="R43" s="393">
        <v>1150</v>
      </c>
      <c r="S43" s="393">
        <v>1209512</v>
      </c>
      <c r="T43" s="393">
        <v>2343</v>
      </c>
      <c r="U43" s="393">
        <v>2166095</v>
      </c>
      <c r="V43" s="393">
        <f>_xlfn.IFNA(VLOOKUP(A43,[3]進出口值表查詢結果!$C$11:$F$68,4,0),-[4]整車!$B$22)</f>
        <v>1094</v>
      </c>
      <c r="W43" s="393">
        <f>_xlfn.IFNA(VLOOKUP(A43,[3]進出口值表查詢結果!$C$11:$F$68,3,0),-[4]整車!$B$22)</f>
        <v>1193068</v>
      </c>
      <c r="X43" s="393">
        <f>_xlfn.IFNA(VLOOKUP(A43,[5]進出口值表查詢結果!$C$11:$F$68,4,0),-[4]整車!$B$22)</f>
        <v>680</v>
      </c>
      <c r="Y43" s="393">
        <f>_xlfn.IFNA(VLOOKUP(A43,[5]進出口值表查詢結果!$C$11:$F$68,3,0),-[4]整車!$B$22)</f>
        <v>895521</v>
      </c>
      <c r="Z43" s="387">
        <f t="shared" si="7"/>
        <v>13026</v>
      </c>
      <c r="AA43" s="387">
        <f t="shared" si="8"/>
        <v>14352847</v>
      </c>
    </row>
    <row r="44" spans="1:27">
      <c r="A44" s="392" t="s">
        <v>248</v>
      </c>
      <c r="B44" s="393">
        <v>1462</v>
      </c>
      <c r="C44" s="393">
        <v>1150648</v>
      </c>
      <c r="D44" s="393">
        <v>1170</v>
      </c>
      <c r="E44" s="393">
        <v>1065890</v>
      </c>
      <c r="F44" s="393">
        <v>328</v>
      </c>
      <c r="G44" s="393">
        <v>441720</v>
      </c>
      <c r="H44" s="393">
        <v>198</v>
      </c>
      <c r="I44" s="393">
        <v>604272</v>
      </c>
      <c r="J44" s="394">
        <v>824</v>
      </c>
      <c r="K44" s="395">
        <v>1298798</v>
      </c>
      <c r="L44" s="393">
        <v>1079</v>
      </c>
      <c r="M44" s="393">
        <v>1208211</v>
      </c>
      <c r="N44" s="393">
        <v>807</v>
      </c>
      <c r="O44" s="393">
        <v>1002195</v>
      </c>
      <c r="P44" s="393">
        <v>796</v>
      </c>
      <c r="Q44" s="393">
        <v>1264047</v>
      </c>
      <c r="R44" s="393">
        <v>605</v>
      </c>
      <c r="S44" s="393">
        <v>956624</v>
      </c>
      <c r="T44" s="393">
        <v>1343</v>
      </c>
      <c r="U44" s="393">
        <v>1450743</v>
      </c>
      <c r="V44" s="393">
        <f>_xlfn.IFNA(VLOOKUP(A44,[3]進出口值表查詢結果!$C$11:$F$68,4,0),-[4]整車!$B$22)</f>
        <v>1030</v>
      </c>
      <c r="W44" s="393">
        <f>_xlfn.IFNA(VLOOKUP(A44,[3]進出口值表查詢結果!$C$11:$F$68,3,0),-[4]整車!$B$22)</f>
        <v>1221871</v>
      </c>
      <c r="X44" s="393">
        <f>_xlfn.IFNA(VLOOKUP(A44,[5]進出口值表查詢結果!$C$11:$F$68,4,0),-[4]整車!$B$22)</f>
        <v>1914</v>
      </c>
      <c r="Y44" s="393">
        <f>_xlfn.IFNA(VLOOKUP(A44,[5]進出口值表查詢結果!$C$11:$F$68,3,0),-[4]整車!$B$22)</f>
        <v>2462982</v>
      </c>
      <c r="Z44" s="387">
        <f t="shared" si="7"/>
        <v>11556</v>
      </c>
      <c r="AA44" s="387">
        <f t="shared" si="8"/>
        <v>14128001</v>
      </c>
    </row>
    <row r="45" spans="1:27">
      <c r="A45" s="429" t="s">
        <v>185</v>
      </c>
      <c r="B45" s="393">
        <v>8259</v>
      </c>
      <c r="C45" s="393">
        <v>7055116</v>
      </c>
      <c r="D45" s="393">
        <v>7827</v>
      </c>
      <c r="E45" s="393">
        <v>8311625</v>
      </c>
      <c r="F45" s="393">
        <v>5451</v>
      </c>
      <c r="G45" s="393">
        <v>4815102</v>
      </c>
      <c r="H45" s="393">
        <v>1437</v>
      </c>
      <c r="I45" s="393">
        <v>897615</v>
      </c>
      <c r="J45" s="394">
        <v>6587</v>
      </c>
      <c r="K45" s="395">
        <v>3549849</v>
      </c>
      <c r="L45" s="393">
        <v>5956</v>
      </c>
      <c r="M45" s="393">
        <v>4372019</v>
      </c>
      <c r="N45" s="393">
        <v>6178</v>
      </c>
      <c r="O45" s="393">
        <v>5869574</v>
      </c>
      <c r="P45" s="393">
        <v>5911</v>
      </c>
      <c r="Q45" s="393">
        <v>4858793</v>
      </c>
      <c r="R45" s="393">
        <v>4741</v>
      </c>
      <c r="S45" s="393">
        <v>2750680</v>
      </c>
      <c r="T45" s="393">
        <v>8165</v>
      </c>
      <c r="U45" s="393">
        <v>3665783</v>
      </c>
      <c r="V45" s="393">
        <f>_xlfn.IFNA(VLOOKUP(A45,[3]進出口值表查詢結果!$C$11:$F$68,4,0),-[4]整車!$B$22)</f>
        <v>4599</v>
      </c>
      <c r="W45" s="393">
        <f>_xlfn.IFNA(VLOOKUP(A45,[3]進出口值表查詢結果!$C$11:$F$68,3,0),-[4]整車!$B$22)</f>
        <v>2448875</v>
      </c>
      <c r="X45" s="393">
        <f>_xlfn.IFNA(VLOOKUP(A45,[5]進出口值表查詢結果!$C$11:$F$68,4,0),-[4]整車!$B$22)</f>
        <v>6519</v>
      </c>
      <c r="Y45" s="393">
        <f>_xlfn.IFNA(VLOOKUP(A45,[5]進出口值表查詢結果!$C$11:$F$68,3,0),-[4]整車!$B$22)</f>
        <v>4708366</v>
      </c>
      <c r="Z45" s="387">
        <f t="shared" si="7"/>
        <v>71630</v>
      </c>
      <c r="AA45" s="387">
        <f t="shared" si="8"/>
        <v>53303397</v>
      </c>
    </row>
    <row r="46" spans="1:27">
      <c r="A46" s="429" t="s">
        <v>162</v>
      </c>
      <c r="B46" s="393">
        <v>2698</v>
      </c>
      <c r="C46" s="393">
        <v>337022</v>
      </c>
      <c r="D46" s="393">
        <v>4227</v>
      </c>
      <c r="E46" s="393">
        <v>590807</v>
      </c>
      <c r="F46" s="393">
        <v>1385</v>
      </c>
      <c r="G46" s="393">
        <v>364355</v>
      </c>
      <c r="H46" s="393">
        <v>2867</v>
      </c>
      <c r="I46" s="393">
        <v>160451</v>
      </c>
      <c r="J46" s="394">
        <v>493</v>
      </c>
      <c r="K46" s="395">
        <v>68059</v>
      </c>
      <c r="L46" s="393">
        <v>3511</v>
      </c>
      <c r="M46" s="393">
        <v>345274</v>
      </c>
      <c r="N46" s="407">
        <v>616</v>
      </c>
      <c r="O46" s="407">
        <v>145435</v>
      </c>
      <c r="P46" s="393">
        <v>252</v>
      </c>
      <c r="Q46" s="393">
        <v>50525</v>
      </c>
      <c r="R46" s="393">
        <v>1078</v>
      </c>
      <c r="S46" s="393">
        <v>229756</v>
      </c>
      <c r="T46" s="393">
        <v>2600</v>
      </c>
      <c r="U46" s="393">
        <v>425508</v>
      </c>
      <c r="V46" s="393">
        <f>_xlfn.IFNA(VLOOKUP(A46,[3]進出口值表查詢結果!$C$11:$F$68,4,0),-[4]整車!$B$22)</f>
        <v>2376</v>
      </c>
      <c r="W46" s="393">
        <f>_xlfn.IFNA(VLOOKUP(A46,[3]進出口值表查詢結果!$C$11:$F$68,3,0),-[4]整車!$B$22)</f>
        <v>357540</v>
      </c>
      <c r="X46" s="393">
        <f>_xlfn.IFNA(VLOOKUP(A46,[5]進出口值表查詢結果!$C$11:$F$68,4,0),-[4]整車!$B$22)</f>
        <v>3399</v>
      </c>
      <c r="Y46" s="393">
        <f>_xlfn.IFNA(VLOOKUP(A46,[5]進出口值表查詢結果!$C$11:$F$68,3,0),-[4]整車!$B$22)</f>
        <v>252100</v>
      </c>
      <c r="Z46" s="387">
        <f t="shared" si="7"/>
        <v>25502</v>
      </c>
      <c r="AA46" s="387">
        <f t="shared" si="8"/>
        <v>3326832</v>
      </c>
    </row>
    <row r="47" spans="1:27">
      <c r="A47" s="429" t="s">
        <v>188</v>
      </c>
      <c r="B47" s="393">
        <v>0</v>
      </c>
      <c r="C47" s="393">
        <v>0</v>
      </c>
      <c r="D47" s="393"/>
      <c r="E47" s="393"/>
      <c r="F47" s="393">
        <v>0</v>
      </c>
      <c r="G47" s="393"/>
      <c r="H47" s="393">
        <v>0</v>
      </c>
      <c r="I47" s="393">
        <v>0</v>
      </c>
      <c r="J47" s="394">
        <v>17</v>
      </c>
      <c r="K47" s="395">
        <v>30939</v>
      </c>
      <c r="L47" s="393">
        <v>0</v>
      </c>
      <c r="M47" s="393">
        <v>0</v>
      </c>
      <c r="N47" s="393">
        <v>0</v>
      </c>
      <c r="O47" s="393">
        <v>0</v>
      </c>
      <c r="P47" s="393">
        <v>0</v>
      </c>
      <c r="Q47" s="393">
        <v>0</v>
      </c>
      <c r="R47" s="393">
        <v>0</v>
      </c>
      <c r="S47" s="393">
        <v>0</v>
      </c>
      <c r="T47" s="393"/>
      <c r="U47" s="393"/>
      <c r="V47" s="393">
        <f>_xlfn.IFNA(VLOOKUP(A47,[3]進出口值表查詢結果!$C$11:$F$68,4,0),-[4]整車!$B$22)</f>
        <v>13</v>
      </c>
      <c r="W47" s="393">
        <f>_xlfn.IFNA(VLOOKUP(A47,[3]進出口值表查詢結果!$C$11:$F$68,3,0),-[4]整車!$B$22)</f>
        <v>30641</v>
      </c>
      <c r="X47" s="393">
        <f>_xlfn.IFNA(VLOOKUP(A47,[5]進出口值表查詢結果!$C$11:$F$68,4,0),-[4]整車!$B$22)</f>
        <v>0</v>
      </c>
      <c r="Y47" s="393">
        <f>_xlfn.IFNA(VLOOKUP(A47,[5]進出口值表查詢結果!$C$11:$F$68,3,0),-[4]整車!$B$22)</f>
        <v>0</v>
      </c>
      <c r="Z47" s="387">
        <f t="shared" si="7"/>
        <v>30</v>
      </c>
      <c r="AA47" s="387">
        <f t="shared" si="8"/>
        <v>61580</v>
      </c>
    </row>
    <row r="48" spans="1:27">
      <c r="A48" s="429" t="s">
        <v>251</v>
      </c>
      <c r="B48" s="393">
        <v>1496</v>
      </c>
      <c r="C48" s="393">
        <v>75974</v>
      </c>
      <c r="D48" s="393">
        <v>887</v>
      </c>
      <c r="E48" s="393">
        <v>76782</v>
      </c>
      <c r="F48" s="393">
        <v>282</v>
      </c>
      <c r="G48" s="393">
        <v>34683</v>
      </c>
      <c r="H48" s="393">
        <v>243</v>
      </c>
      <c r="I48" s="393">
        <v>59854</v>
      </c>
      <c r="J48" s="394">
        <v>2854</v>
      </c>
      <c r="K48" s="395">
        <v>111627</v>
      </c>
      <c r="L48" s="393">
        <v>292</v>
      </c>
      <c r="M48" s="393">
        <v>40717</v>
      </c>
      <c r="N48" s="407">
        <v>50</v>
      </c>
      <c r="O48" s="407">
        <v>7437</v>
      </c>
      <c r="P48" s="393">
        <v>0</v>
      </c>
      <c r="Q48" s="393">
        <v>0</v>
      </c>
      <c r="R48" s="393">
        <v>63</v>
      </c>
      <c r="S48" s="393">
        <v>7337</v>
      </c>
      <c r="T48" s="393">
        <v>110</v>
      </c>
      <c r="U48" s="393">
        <v>19242</v>
      </c>
      <c r="V48" s="393">
        <f>_xlfn.IFNA(VLOOKUP(A48,[3]進出口值表查詢結果!$C$11:$F$68,4,0),-[4]整車!$B$22)</f>
        <v>2810</v>
      </c>
      <c r="W48" s="393">
        <f>_xlfn.IFNA(VLOOKUP(A48,[3]進出口值表查詢結果!$C$11:$F$68,3,0),-[4]整車!$B$22)</f>
        <v>115217</v>
      </c>
      <c r="X48" s="393">
        <f>_xlfn.IFNA(VLOOKUP(A48,[5]進出口值表查詢結果!$C$11:$F$68,4,0),-[4]整車!$B$22)</f>
        <v>233</v>
      </c>
      <c r="Y48" s="393">
        <f>_xlfn.IFNA(VLOOKUP(A48,[5]進出口值表查詢結果!$C$11:$F$68,3,0),-[4]整車!$B$22)</f>
        <v>49405</v>
      </c>
      <c r="Z48" s="387">
        <f t="shared" si="7"/>
        <v>9320</v>
      </c>
      <c r="AA48" s="387">
        <f t="shared" si="8"/>
        <v>598275</v>
      </c>
    </row>
    <row r="49" spans="1:27">
      <c r="A49" s="429" t="s">
        <v>191</v>
      </c>
      <c r="B49" s="393">
        <v>0</v>
      </c>
      <c r="C49" s="393">
        <v>0</v>
      </c>
      <c r="D49" s="393"/>
      <c r="E49" s="393"/>
      <c r="F49" s="393">
        <v>0</v>
      </c>
      <c r="G49" s="393"/>
      <c r="H49" s="393">
        <v>0</v>
      </c>
      <c r="I49" s="393">
        <v>0</v>
      </c>
      <c r="J49" s="394" t="s">
        <v>57</v>
      </c>
      <c r="K49" s="397" t="s">
        <v>57</v>
      </c>
      <c r="L49" s="393">
        <v>0</v>
      </c>
      <c r="M49" s="393">
        <v>0</v>
      </c>
      <c r="N49" s="393">
        <v>0</v>
      </c>
      <c r="O49" s="393">
        <v>0</v>
      </c>
      <c r="P49" s="393">
        <v>1103</v>
      </c>
      <c r="Q49" s="393">
        <v>149812</v>
      </c>
      <c r="R49" s="393">
        <v>0</v>
      </c>
      <c r="S49" s="393">
        <v>0</v>
      </c>
      <c r="T49" s="393">
        <v>1020</v>
      </c>
      <c r="U49" s="393">
        <v>82719</v>
      </c>
      <c r="V49" s="393">
        <f>_xlfn.IFNA(VLOOKUP(A49,[3]進出口值表查詢結果!$C$11:$F$68,4,0),-[4]整車!$B$22)</f>
        <v>250</v>
      </c>
      <c r="W49" s="393">
        <f>_xlfn.IFNA(VLOOKUP(A49,[3]進出口值表查詢結果!$C$11:$F$68,3,0),-[4]整車!$B$22)</f>
        <v>40485</v>
      </c>
      <c r="X49" s="393">
        <f>_xlfn.IFNA(VLOOKUP(A49,[5]進出口值表查詢結果!$C$11:$F$68,4,0),-[4]整車!$B$22)</f>
        <v>0</v>
      </c>
      <c r="Y49" s="393">
        <f>_xlfn.IFNA(VLOOKUP(A49,[5]進出口值表查詢結果!$C$11:$F$68,3,0),-[4]整車!$B$22)</f>
        <v>0</v>
      </c>
      <c r="Z49" s="387">
        <f t="shared" si="7"/>
        <v>2373</v>
      </c>
      <c r="AA49" s="387">
        <f t="shared" si="8"/>
        <v>273016</v>
      </c>
    </row>
    <row r="50" spans="1:27">
      <c r="A50" s="429" t="s">
        <v>252</v>
      </c>
      <c r="B50" s="393">
        <v>0</v>
      </c>
      <c r="C50" s="393">
        <v>0</v>
      </c>
      <c r="D50" s="393"/>
      <c r="E50" s="393"/>
      <c r="F50" s="393">
        <v>41</v>
      </c>
      <c r="G50" s="393">
        <v>46233</v>
      </c>
      <c r="H50" s="393">
        <v>0</v>
      </c>
      <c r="I50" s="393">
        <v>0</v>
      </c>
      <c r="J50" s="394">
        <v>78</v>
      </c>
      <c r="K50" s="397">
        <v>136719</v>
      </c>
      <c r="L50" s="393">
        <v>73</v>
      </c>
      <c r="M50" s="393">
        <v>111226</v>
      </c>
      <c r="N50" s="407">
        <v>42</v>
      </c>
      <c r="O50" s="407">
        <v>82995</v>
      </c>
      <c r="P50" s="393">
        <v>76</v>
      </c>
      <c r="Q50" s="393">
        <v>189800</v>
      </c>
      <c r="R50" s="393">
        <v>3</v>
      </c>
      <c r="S50" s="393">
        <v>18037</v>
      </c>
      <c r="T50" s="393"/>
      <c r="U50" s="393"/>
      <c r="V50" s="393">
        <f>_xlfn.IFNA(VLOOKUP(A50,[3]進出口值表查詢結果!$C$11:$F$68,4,0),-[4]整車!$B$22)</f>
        <v>0</v>
      </c>
      <c r="W50" s="393">
        <f>_xlfn.IFNA(VLOOKUP(A50,[3]進出口值表查詢結果!$C$11:$F$68,3,0),-[4]整車!$B$22)</f>
        <v>0</v>
      </c>
      <c r="X50" s="393">
        <f>_xlfn.IFNA(VLOOKUP(A50,[5]進出口值表查詢結果!$C$11:$F$68,4,0),-[4]整車!$B$22)</f>
        <v>0</v>
      </c>
      <c r="Y50" s="393">
        <f>_xlfn.IFNA(VLOOKUP(A50,[5]進出口值表查詢結果!$C$11:$F$68,3,0),-[4]整車!$B$22)</f>
        <v>0</v>
      </c>
      <c r="Z50" s="387">
        <f t="shared" si="7"/>
        <v>313</v>
      </c>
      <c r="AA50" s="387">
        <f t="shared" si="8"/>
        <v>585010</v>
      </c>
    </row>
    <row r="51" spans="1:27">
      <c r="A51" s="429" t="s">
        <v>183</v>
      </c>
      <c r="B51" s="393">
        <v>201</v>
      </c>
      <c r="C51" s="393">
        <v>272709</v>
      </c>
      <c r="D51" s="393"/>
      <c r="E51" s="393"/>
      <c r="F51" s="393">
        <v>0</v>
      </c>
      <c r="G51" s="393"/>
      <c r="H51" s="393">
        <v>32</v>
      </c>
      <c r="I51" s="393">
        <v>33620</v>
      </c>
      <c r="J51" s="394">
        <v>101</v>
      </c>
      <c r="K51" s="397">
        <v>102138</v>
      </c>
      <c r="L51" s="393">
        <v>63</v>
      </c>
      <c r="M51" s="393">
        <v>100302</v>
      </c>
      <c r="N51" s="407">
        <v>9</v>
      </c>
      <c r="O51" s="407">
        <v>13320</v>
      </c>
      <c r="P51" s="393">
        <v>0</v>
      </c>
      <c r="Q51" s="393">
        <v>0</v>
      </c>
      <c r="R51" s="393">
        <v>78</v>
      </c>
      <c r="S51" s="393">
        <v>157745</v>
      </c>
      <c r="T51" s="393"/>
      <c r="U51" s="393"/>
      <c r="V51" s="393">
        <f>_xlfn.IFNA(VLOOKUP(A51,[3]進出口值表查詢結果!$C$11:$F$68,4,0),-[4]整車!$B$22)</f>
        <v>149</v>
      </c>
      <c r="W51" s="393">
        <f>_xlfn.IFNA(VLOOKUP(A51,[3]進出口值表查詢結果!$C$11:$F$68,3,0),-[4]整車!$B$22)</f>
        <v>101179</v>
      </c>
      <c r="X51" s="393">
        <f>_xlfn.IFNA(VLOOKUP(A51,[5]進出口值表查詢結果!$C$11:$F$68,4,0),-[4]整車!$B$22)</f>
        <v>177</v>
      </c>
      <c r="Y51" s="393">
        <f>_xlfn.IFNA(VLOOKUP(A51,[5]進出口值表查詢結果!$C$11:$F$68,3,0),-[4]整車!$B$22)</f>
        <v>208957</v>
      </c>
      <c r="Z51" s="387">
        <f t="shared" si="7"/>
        <v>810</v>
      </c>
      <c r="AA51" s="387">
        <f t="shared" si="8"/>
        <v>989970</v>
      </c>
    </row>
    <row r="52" spans="1:27">
      <c r="A52" s="429" t="s">
        <v>254</v>
      </c>
      <c r="B52" s="393">
        <v>14850</v>
      </c>
      <c r="C52" s="393">
        <v>1819825</v>
      </c>
      <c r="D52" s="393">
        <v>10994</v>
      </c>
      <c r="E52" s="393">
        <v>1791539</v>
      </c>
      <c r="F52" s="393">
        <v>5163</v>
      </c>
      <c r="G52" s="393">
        <v>792431</v>
      </c>
      <c r="H52" s="393">
        <v>8731</v>
      </c>
      <c r="I52" s="393">
        <v>1291818</v>
      </c>
      <c r="J52" s="394">
        <v>8229</v>
      </c>
      <c r="K52" s="395">
        <v>909253</v>
      </c>
      <c r="L52" s="393">
        <v>1974</v>
      </c>
      <c r="M52" s="393">
        <v>362668</v>
      </c>
      <c r="N52" s="407">
        <v>1030</v>
      </c>
      <c r="O52" s="407">
        <v>144084</v>
      </c>
      <c r="P52" s="393">
        <v>637</v>
      </c>
      <c r="Q52" s="393">
        <v>148186</v>
      </c>
      <c r="R52" s="393">
        <v>0</v>
      </c>
      <c r="S52" s="393">
        <v>0</v>
      </c>
      <c r="T52" s="393">
        <v>492</v>
      </c>
      <c r="U52" s="393">
        <v>276110</v>
      </c>
      <c r="V52" s="393">
        <f>_xlfn.IFNA(VLOOKUP(A52,[3]進出口值表查詢結果!$C$11:$F$68,4,0),-[4]整車!$B$22)</f>
        <v>373</v>
      </c>
      <c r="W52" s="393">
        <f>_xlfn.IFNA(VLOOKUP(A52,[3]進出口值表查詢結果!$C$11:$F$68,3,0),-[4]整車!$B$22)</f>
        <v>210711</v>
      </c>
      <c r="X52" s="393">
        <f>_xlfn.IFNA(VLOOKUP(A52,[5]進出口值表查詢結果!$C$11:$F$68,4,0),-[4]整車!$B$22)</f>
        <v>255</v>
      </c>
      <c r="Y52" s="393">
        <f>_xlfn.IFNA(VLOOKUP(A52,[5]進出口值表查詢結果!$C$11:$F$68,3,0),-[4]整車!$B$22)</f>
        <v>121134</v>
      </c>
      <c r="Z52" s="387">
        <f t="shared" si="7"/>
        <v>52728</v>
      </c>
      <c r="AA52" s="387">
        <f t="shared" si="8"/>
        <v>7867759</v>
      </c>
    </row>
    <row r="53" spans="1:27">
      <c r="A53" s="429" t="s">
        <v>166</v>
      </c>
      <c r="B53" s="393">
        <v>415</v>
      </c>
      <c r="C53" s="393">
        <v>138854</v>
      </c>
      <c r="D53" s="393">
        <v>347</v>
      </c>
      <c r="E53" s="393">
        <v>89541</v>
      </c>
      <c r="F53" s="393">
        <v>168</v>
      </c>
      <c r="G53" s="393">
        <v>63590</v>
      </c>
      <c r="H53" s="393">
        <v>91</v>
      </c>
      <c r="I53" s="393">
        <v>41073</v>
      </c>
      <c r="J53" s="394" t="s">
        <v>57</v>
      </c>
      <c r="K53" s="397" t="s">
        <v>57</v>
      </c>
      <c r="L53" s="393">
        <v>192</v>
      </c>
      <c r="M53" s="393">
        <v>38137</v>
      </c>
      <c r="N53" s="407">
        <v>565</v>
      </c>
      <c r="O53" s="407">
        <v>326470</v>
      </c>
      <c r="P53" s="393">
        <v>55</v>
      </c>
      <c r="Q53" s="393">
        <v>37445</v>
      </c>
      <c r="R53" s="393">
        <v>12</v>
      </c>
      <c r="S53" s="393">
        <v>17120</v>
      </c>
      <c r="T53" s="393">
        <v>3</v>
      </c>
      <c r="U53" s="393">
        <v>1549</v>
      </c>
      <c r="V53" s="393">
        <f>_xlfn.IFNA(VLOOKUP(A53,[3]進出口值表查詢結果!$C$11:$F$68,4,0),-[4]整車!$B$22)</f>
        <v>6</v>
      </c>
      <c r="W53" s="393">
        <f>_xlfn.IFNA(VLOOKUP(A53,[3]進出口值表查詢結果!$C$11:$F$68,3,0),-[4]整車!$B$22)</f>
        <v>1837</v>
      </c>
      <c r="X53" s="393">
        <f>_xlfn.IFNA(VLOOKUP(A53,[5]進出口值表查詢結果!$C$11:$F$68,4,0),-[4]整車!$B$22)</f>
        <v>0</v>
      </c>
      <c r="Y53" s="393">
        <f>_xlfn.IFNA(VLOOKUP(A53,[5]進出口值表查詢結果!$C$11:$F$68,3,0),-[4]整車!$B$22)</f>
        <v>0</v>
      </c>
      <c r="Z53" s="387">
        <f t="shared" si="7"/>
        <v>1854</v>
      </c>
      <c r="AA53" s="387">
        <f t="shared" si="8"/>
        <v>755616</v>
      </c>
    </row>
    <row r="54" spans="1:27">
      <c r="A54" s="429" t="s">
        <v>173</v>
      </c>
      <c r="B54" s="393">
        <v>2701</v>
      </c>
      <c r="C54" s="393">
        <v>1013330</v>
      </c>
      <c r="D54" s="393">
        <v>526</v>
      </c>
      <c r="E54" s="393">
        <v>174316</v>
      </c>
      <c r="F54" s="393">
        <v>871</v>
      </c>
      <c r="G54" s="393">
        <v>261235</v>
      </c>
      <c r="H54" s="393">
        <v>560</v>
      </c>
      <c r="I54" s="393">
        <v>111328</v>
      </c>
      <c r="J54" s="394">
        <v>122</v>
      </c>
      <c r="K54" s="397">
        <v>126429</v>
      </c>
      <c r="L54" s="393">
        <v>437</v>
      </c>
      <c r="M54" s="393">
        <v>340350</v>
      </c>
      <c r="N54" s="407">
        <v>995</v>
      </c>
      <c r="O54" s="407">
        <v>812171</v>
      </c>
      <c r="P54" s="393">
        <v>393</v>
      </c>
      <c r="Q54" s="393">
        <v>427618</v>
      </c>
      <c r="R54" s="393">
        <v>1762</v>
      </c>
      <c r="S54" s="393">
        <v>731590</v>
      </c>
      <c r="T54" s="393">
        <v>2871</v>
      </c>
      <c r="U54" s="393">
        <v>1163960</v>
      </c>
      <c r="V54" s="393">
        <f>_xlfn.IFNA(VLOOKUP(A54,[3]進出口值表查詢結果!$C$11:$F$68,4,0),-[4]整車!$B$22)</f>
        <v>2077</v>
      </c>
      <c r="W54" s="393">
        <f>_xlfn.IFNA(VLOOKUP(A54,[3]進出口值表查詢結果!$C$11:$F$68,3,0),-[4]整車!$B$22)</f>
        <v>695253</v>
      </c>
      <c r="X54" s="393">
        <f>_xlfn.IFNA(VLOOKUP(A54,[5]進出口值表查詢結果!$C$11:$F$68,4,0),-[4]整車!$B$22)</f>
        <v>2420</v>
      </c>
      <c r="Y54" s="393">
        <f>_xlfn.IFNA(VLOOKUP(A54,[5]進出口值表查詢結果!$C$11:$F$68,3,0),-[4]整車!$B$22)</f>
        <v>651295</v>
      </c>
      <c r="Z54" s="387">
        <f t="shared" si="7"/>
        <v>15735</v>
      </c>
      <c r="AA54" s="387">
        <f t="shared" si="8"/>
        <v>6508875</v>
      </c>
    </row>
    <row r="55" spans="1:27">
      <c r="A55" s="429" t="s">
        <v>163</v>
      </c>
      <c r="B55" s="393">
        <v>184</v>
      </c>
      <c r="C55" s="393">
        <v>65445</v>
      </c>
      <c r="D55" s="393">
        <v>384</v>
      </c>
      <c r="E55" s="393">
        <v>270420</v>
      </c>
      <c r="F55" s="393">
        <v>117</v>
      </c>
      <c r="G55" s="393">
        <v>125456</v>
      </c>
      <c r="H55" s="393">
        <v>125</v>
      </c>
      <c r="I55" s="393">
        <v>79330</v>
      </c>
      <c r="J55" s="394">
        <v>112</v>
      </c>
      <c r="K55" s="397">
        <v>53759</v>
      </c>
      <c r="L55" s="393">
        <v>191</v>
      </c>
      <c r="M55" s="393">
        <v>102112</v>
      </c>
      <c r="N55" s="407">
        <v>97</v>
      </c>
      <c r="O55" s="407">
        <v>124577</v>
      </c>
      <c r="P55" s="393">
        <v>96</v>
      </c>
      <c r="Q55" s="393">
        <v>91901</v>
      </c>
      <c r="R55" s="393">
        <v>1</v>
      </c>
      <c r="S55" s="393">
        <v>4144</v>
      </c>
      <c r="T55" s="393">
        <v>262</v>
      </c>
      <c r="U55" s="393">
        <v>270569</v>
      </c>
      <c r="V55" s="393">
        <f>_xlfn.IFNA(VLOOKUP(A55,[3]進出口值表查詢結果!$C$11:$F$68,4,0),-[4]整車!$B$22)</f>
        <v>124</v>
      </c>
      <c r="W55" s="393">
        <f>_xlfn.IFNA(VLOOKUP(A55,[3]進出口值表查詢結果!$C$11:$F$68,3,0),-[4]整車!$B$22)</f>
        <v>163570</v>
      </c>
      <c r="X55" s="393">
        <f>_xlfn.IFNA(VLOOKUP(A55,[5]進出口值表查詢結果!$C$11:$F$68,4,0),-[4]整車!$B$22)</f>
        <v>2983</v>
      </c>
      <c r="Y55" s="393">
        <f>_xlfn.IFNA(VLOOKUP(A55,[5]進出口值表查詢結果!$C$11:$F$68,3,0),-[4]整車!$B$22)</f>
        <v>600700</v>
      </c>
      <c r="Z55" s="387">
        <f t="shared" si="7"/>
        <v>4676</v>
      </c>
      <c r="AA55" s="387">
        <f t="shared" si="8"/>
        <v>1951983</v>
      </c>
    </row>
    <row r="56" spans="1:27">
      <c r="A56" s="429" t="s">
        <v>169</v>
      </c>
      <c r="B56" s="393">
        <v>1004</v>
      </c>
      <c r="C56" s="393">
        <v>51950</v>
      </c>
      <c r="D56" s="393">
        <v>726</v>
      </c>
      <c r="E56" s="393">
        <v>56062</v>
      </c>
      <c r="F56" s="393">
        <v>1874</v>
      </c>
      <c r="G56" s="393">
        <v>133920</v>
      </c>
      <c r="H56" s="393">
        <v>806</v>
      </c>
      <c r="I56" s="393">
        <v>75224</v>
      </c>
      <c r="J56" s="394" t="s">
        <v>57</v>
      </c>
      <c r="K56" s="397" t="s">
        <v>57</v>
      </c>
      <c r="L56" s="393">
        <v>52</v>
      </c>
      <c r="M56" s="393">
        <v>5931</v>
      </c>
      <c r="N56" s="393">
        <v>0</v>
      </c>
      <c r="O56" s="393">
        <v>0</v>
      </c>
      <c r="P56" s="393">
        <v>0</v>
      </c>
      <c r="Q56" s="393">
        <v>0</v>
      </c>
      <c r="R56" s="393">
        <v>0</v>
      </c>
      <c r="S56" s="393">
        <v>0</v>
      </c>
      <c r="T56" s="393">
        <v>70</v>
      </c>
      <c r="U56" s="393">
        <v>11429</v>
      </c>
      <c r="V56" s="393">
        <f>_xlfn.IFNA(VLOOKUP(A56,[3]進出口值表查詢結果!$C$11:$F$68,4,0),-[4]整車!$B$22)</f>
        <v>13</v>
      </c>
      <c r="W56" s="393">
        <f>_xlfn.IFNA(VLOOKUP(A56,[3]進出口值表查詢結果!$C$11:$F$68,3,0),-[4]整車!$B$22)</f>
        <v>1698</v>
      </c>
      <c r="X56" s="393">
        <f>_xlfn.IFNA(VLOOKUP(A56,[5]進出口值表查詢結果!$C$11:$F$68,4,0),-[4]整車!$B$22)</f>
        <v>55</v>
      </c>
      <c r="Y56" s="393">
        <f>_xlfn.IFNA(VLOOKUP(A56,[5]進出口值表查詢結果!$C$11:$F$68,3,0),-[4]整車!$B$22)</f>
        <v>5808</v>
      </c>
      <c r="Z56" s="387">
        <f t="shared" si="7"/>
        <v>4600</v>
      </c>
      <c r="AA56" s="387">
        <f t="shared" si="8"/>
        <v>342022</v>
      </c>
    </row>
    <row r="57" spans="1:27">
      <c r="A57" s="429" t="s">
        <v>260</v>
      </c>
      <c r="B57" s="393">
        <v>0</v>
      </c>
      <c r="C57" s="393">
        <v>0</v>
      </c>
      <c r="D57" s="393">
        <v>40</v>
      </c>
      <c r="E57" s="393">
        <v>6163</v>
      </c>
      <c r="F57" s="393">
        <v>0</v>
      </c>
      <c r="G57" s="393"/>
      <c r="H57" s="393">
        <v>0</v>
      </c>
      <c r="I57" s="393">
        <v>0</v>
      </c>
      <c r="J57" s="394" t="s">
        <v>57</v>
      </c>
      <c r="K57" s="397" t="s">
        <v>57</v>
      </c>
      <c r="L57" s="393">
        <v>0</v>
      </c>
      <c r="M57" s="393">
        <v>0</v>
      </c>
      <c r="N57" s="393">
        <v>0</v>
      </c>
      <c r="O57" s="393">
        <v>0</v>
      </c>
      <c r="P57" s="393">
        <v>0</v>
      </c>
      <c r="Q57" s="393">
        <v>0</v>
      </c>
      <c r="R57" s="393">
        <v>0</v>
      </c>
      <c r="S57" s="393">
        <v>0</v>
      </c>
      <c r="T57" s="393"/>
      <c r="U57" s="393"/>
      <c r="V57" s="393">
        <f>_xlfn.IFNA(VLOOKUP(A57,[3]進出口值表查詢結果!$C$11:$F$68,4,0),-[4]整車!$B$22)</f>
        <v>0</v>
      </c>
      <c r="W57" s="393">
        <f>_xlfn.IFNA(VLOOKUP(A57,[3]進出口值表查詢結果!$C$11:$F$68,3,0),-[4]整車!$B$22)</f>
        <v>0</v>
      </c>
      <c r="X57" s="393">
        <f>_xlfn.IFNA(VLOOKUP(A57,[5]進出口值表查詢結果!$C$11:$F$68,4,0),-[4]整車!$B$22)</f>
        <v>0</v>
      </c>
      <c r="Y57" s="393">
        <f>_xlfn.IFNA(VLOOKUP(A57,[5]進出口值表查詢結果!$C$11:$F$68,3,0),-[4]整車!$B$22)</f>
        <v>0</v>
      </c>
      <c r="Z57" s="387">
        <f t="shared" si="7"/>
        <v>40</v>
      </c>
      <c r="AA57" s="387">
        <f t="shared" si="8"/>
        <v>6163</v>
      </c>
    </row>
    <row r="58" spans="1:27">
      <c r="A58" s="432" t="s">
        <v>262</v>
      </c>
      <c r="B58" s="393">
        <v>696</v>
      </c>
      <c r="C58" s="393">
        <v>253916</v>
      </c>
      <c r="D58" s="393">
        <v>1323</v>
      </c>
      <c r="E58" s="393">
        <v>281646</v>
      </c>
      <c r="F58" s="393">
        <v>898</v>
      </c>
      <c r="G58" s="393">
        <v>263987</v>
      </c>
      <c r="H58" s="393">
        <v>276</v>
      </c>
      <c r="I58" s="393">
        <v>95595</v>
      </c>
      <c r="J58" s="394">
        <v>767</v>
      </c>
      <c r="K58" s="397">
        <v>158803</v>
      </c>
      <c r="L58" s="393">
        <v>0</v>
      </c>
      <c r="M58" s="393">
        <v>0</v>
      </c>
      <c r="N58" s="407">
        <v>80</v>
      </c>
      <c r="O58" s="407">
        <v>39824</v>
      </c>
      <c r="P58" s="393">
        <v>0</v>
      </c>
      <c r="Q58" s="393">
        <v>0</v>
      </c>
      <c r="R58" s="393">
        <v>0</v>
      </c>
      <c r="S58" s="393">
        <v>0</v>
      </c>
      <c r="T58" s="393">
        <v>169</v>
      </c>
      <c r="U58" s="393">
        <v>44957</v>
      </c>
      <c r="V58" s="393">
        <f>_xlfn.IFNA(VLOOKUP(A58,[3]進出口值表查詢結果!$C$11:$F$68,4,0),-[4]整車!$B$22)</f>
        <v>0</v>
      </c>
      <c r="W58" s="393">
        <f>_xlfn.IFNA(VLOOKUP(A58,[3]進出口值表查詢結果!$C$11:$F$68,3,0),-[4]整車!$B$22)</f>
        <v>0</v>
      </c>
      <c r="X58" s="393">
        <f>_xlfn.IFNA(VLOOKUP(A58,[5]進出口值表查詢結果!$C$11:$F$68,4,0),-[4]整車!$B$22)</f>
        <v>0</v>
      </c>
      <c r="Y58" s="393">
        <f>_xlfn.IFNA(VLOOKUP(A58,[5]進出口值表查詢結果!$C$11:$F$68,3,0),-[4]整車!$B$22)</f>
        <v>0</v>
      </c>
      <c r="Z58" s="387">
        <f t="shared" si="7"/>
        <v>4209</v>
      </c>
      <c r="AA58" s="387">
        <f t="shared" si="8"/>
        <v>1138728</v>
      </c>
    </row>
    <row r="59" spans="1:27">
      <c r="A59" s="433" t="s">
        <v>17</v>
      </c>
      <c r="B59" s="393">
        <v>0</v>
      </c>
      <c r="C59" s="393">
        <v>0</v>
      </c>
      <c r="D59" s="393"/>
      <c r="E59" s="393"/>
      <c r="F59" s="393">
        <v>0</v>
      </c>
      <c r="G59" s="393"/>
      <c r="H59" s="393">
        <v>0</v>
      </c>
      <c r="I59" s="393">
        <v>0</v>
      </c>
      <c r="J59" s="394">
        <v>50</v>
      </c>
      <c r="K59" s="397">
        <v>5012</v>
      </c>
      <c r="L59" s="393">
        <v>0</v>
      </c>
      <c r="M59" s="393">
        <v>0</v>
      </c>
      <c r="N59" s="393">
        <v>0</v>
      </c>
      <c r="O59" s="393">
        <v>0</v>
      </c>
      <c r="P59" s="393">
        <v>0</v>
      </c>
      <c r="Q59" s="393">
        <v>0</v>
      </c>
      <c r="R59" s="393">
        <v>0</v>
      </c>
      <c r="S59" s="393">
        <v>0</v>
      </c>
      <c r="T59" s="393">
        <v>440</v>
      </c>
      <c r="U59" s="393">
        <v>55250</v>
      </c>
      <c r="V59" s="393">
        <f>_xlfn.IFNA(VLOOKUP(A59,[3]進出口值表查詢結果!$C$11:$F$68,4,0),-[4]整車!$B$22)</f>
        <v>0</v>
      </c>
      <c r="W59" s="393">
        <f>_xlfn.IFNA(VLOOKUP(A59,[3]進出口值表查詢結果!$C$11:$F$68,3,0),-[4]整車!$B$22)</f>
        <v>0</v>
      </c>
      <c r="X59" s="393">
        <f>_xlfn.IFNA(VLOOKUP(A59,[5]進出口值表查詢結果!$C$11:$F$68,4,0),-[4]整車!$B$22)</f>
        <v>0</v>
      </c>
      <c r="Y59" s="393">
        <f>_xlfn.IFNA(VLOOKUP(A59,[5]進出口值表查詢結果!$C$11:$F$68,3,0),-[4]整車!$B$22)</f>
        <v>0</v>
      </c>
      <c r="Z59" s="387">
        <f t="shared" si="7"/>
        <v>490</v>
      </c>
      <c r="AA59" s="387">
        <f t="shared" si="8"/>
        <v>60262</v>
      </c>
    </row>
    <row r="60" spans="1:27">
      <c r="A60" s="429" t="s">
        <v>265</v>
      </c>
      <c r="B60" s="393">
        <v>0</v>
      </c>
      <c r="C60" s="393">
        <v>0</v>
      </c>
      <c r="D60" s="393">
        <v>523</v>
      </c>
      <c r="E60" s="393">
        <v>150033</v>
      </c>
      <c r="F60" s="393">
        <v>813</v>
      </c>
      <c r="G60" s="393">
        <v>183637</v>
      </c>
      <c r="H60" s="393">
        <v>317</v>
      </c>
      <c r="I60" s="393">
        <v>63199</v>
      </c>
      <c r="J60" s="394" t="s">
        <v>57</v>
      </c>
      <c r="K60" s="397" t="s">
        <v>57</v>
      </c>
      <c r="L60" s="393">
        <v>160</v>
      </c>
      <c r="M60" s="393">
        <v>66421</v>
      </c>
      <c r="N60" s="393">
        <v>0</v>
      </c>
      <c r="O60" s="393">
        <v>0</v>
      </c>
      <c r="P60" s="393">
        <v>0</v>
      </c>
      <c r="Q60" s="393">
        <v>0</v>
      </c>
      <c r="R60" s="393">
        <v>0</v>
      </c>
      <c r="S60" s="393">
        <v>0</v>
      </c>
      <c r="T60" s="393"/>
      <c r="U60" s="393"/>
      <c r="V60" s="393">
        <f>_xlfn.IFNA(VLOOKUP(A60,[3]進出口值表查詢結果!$C$11:$F$68,4,0),-[4]整車!$B$22)</f>
        <v>0</v>
      </c>
      <c r="W60" s="393">
        <f>_xlfn.IFNA(VLOOKUP(A60,[3]進出口值表查詢結果!$C$11:$F$68,3,0),-[4]整車!$B$22)</f>
        <v>0</v>
      </c>
      <c r="X60" s="393">
        <f>_xlfn.IFNA(VLOOKUP(A60,[5]進出口值表查詢結果!$C$11:$F$68,4,0),-[4]整車!$B$22)</f>
        <v>0</v>
      </c>
      <c r="Y60" s="393">
        <f>_xlfn.IFNA(VLOOKUP(A60,[5]進出口值表查詢結果!$C$11:$F$68,3,0),-[4]整車!$B$22)</f>
        <v>0</v>
      </c>
      <c r="Z60" s="387">
        <f t="shared" si="7"/>
        <v>1813</v>
      </c>
      <c r="AA60" s="387">
        <f t="shared" si="8"/>
        <v>463290</v>
      </c>
    </row>
    <row r="61" spans="1:27">
      <c r="A61" s="392" t="s">
        <v>266</v>
      </c>
      <c r="B61" s="393">
        <v>1370</v>
      </c>
      <c r="C61" s="393">
        <v>251116</v>
      </c>
      <c r="D61" s="393">
        <v>1982</v>
      </c>
      <c r="E61" s="393">
        <v>436276</v>
      </c>
      <c r="F61" s="393">
        <v>324</v>
      </c>
      <c r="G61" s="393">
        <v>53469</v>
      </c>
      <c r="H61" s="393">
        <v>496</v>
      </c>
      <c r="I61" s="393">
        <v>109871</v>
      </c>
      <c r="J61" s="394">
        <v>113</v>
      </c>
      <c r="K61" s="408">
        <v>38322</v>
      </c>
      <c r="L61" s="393">
        <v>0</v>
      </c>
      <c r="M61" s="393">
        <v>0</v>
      </c>
      <c r="N61" s="393">
        <v>0</v>
      </c>
      <c r="O61" s="393">
        <v>0</v>
      </c>
      <c r="P61" s="393">
        <v>0</v>
      </c>
      <c r="Q61" s="393">
        <v>0</v>
      </c>
      <c r="R61" s="393">
        <v>0</v>
      </c>
      <c r="S61" s="393">
        <v>0</v>
      </c>
      <c r="T61" s="393"/>
      <c r="U61" s="393"/>
      <c r="V61" s="393">
        <f>_xlfn.IFNA(VLOOKUP(A61,[3]進出口值表查詢結果!$C$11:$F$68,4,0),-[4]整車!$B$22)</f>
        <v>0</v>
      </c>
      <c r="W61" s="393">
        <f>_xlfn.IFNA(VLOOKUP(A61,[3]進出口值表查詢結果!$C$11:$F$68,3,0),-[4]整車!$B$22)</f>
        <v>0</v>
      </c>
      <c r="X61" s="393">
        <f>_xlfn.IFNA(VLOOKUP(A61,[5]進出口值表查詢結果!$C$11:$F$68,4,0),-[4]整車!$B$22)</f>
        <v>214</v>
      </c>
      <c r="Y61" s="393">
        <f>_xlfn.IFNA(VLOOKUP(A61,[5]進出口值表查詢結果!$C$11:$F$68,3,0),-[4]整車!$B$22)</f>
        <v>33520</v>
      </c>
      <c r="Z61" s="387">
        <f t="shared" si="7"/>
        <v>4499</v>
      </c>
      <c r="AA61" s="387">
        <f t="shared" si="8"/>
        <v>922574</v>
      </c>
    </row>
    <row r="62" spans="1:27">
      <c r="A62" s="429" t="s">
        <v>268</v>
      </c>
      <c r="B62" s="393">
        <v>70</v>
      </c>
      <c r="C62" s="393">
        <v>43452</v>
      </c>
      <c r="D62" s="393">
        <v>261</v>
      </c>
      <c r="E62" s="393">
        <v>64456</v>
      </c>
      <c r="F62" s="393">
        <v>18</v>
      </c>
      <c r="G62" s="393">
        <v>17756</v>
      </c>
      <c r="H62" s="393">
        <v>0</v>
      </c>
      <c r="I62" s="393">
        <v>0</v>
      </c>
      <c r="J62" s="394" t="s">
        <v>57</v>
      </c>
      <c r="K62" s="397" t="s">
        <v>57</v>
      </c>
      <c r="L62" s="393">
        <v>25</v>
      </c>
      <c r="M62" s="393">
        <v>23023</v>
      </c>
      <c r="N62" s="393">
        <v>0</v>
      </c>
      <c r="O62" s="393">
        <v>0</v>
      </c>
      <c r="P62" s="393">
        <v>0</v>
      </c>
      <c r="Q62" s="393">
        <v>0</v>
      </c>
      <c r="R62" s="393">
        <v>0</v>
      </c>
      <c r="S62" s="393">
        <v>0</v>
      </c>
      <c r="T62" s="393"/>
      <c r="U62" s="393"/>
      <c r="V62" s="393">
        <f>_xlfn.IFNA(VLOOKUP(A62,[3]進出口值表查詢結果!$C$11:$F$68,4,0),-[4]整車!$B$22)</f>
        <v>1</v>
      </c>
      <c r="W62" s="393">
        <f>_xlfn.IFNA(VLOOKUP(A62,[3]進出口值表查詢結果!$C$11:$F$68,3,0),-[4]整車!$B$22)</f>
        <v>3951</v>
      </c>
      <c r="X62" s="393">
        <f>_xlfn.IFNA(VLOOKUP(A62,[5]進出口值表查詢結果!$C$11:$F$68,4,0),-[4]整車!$B$22)</f>
        <v>355</v>
      </c>
      <c r="Y62" s="393">
        <f>_xlfn.IFNA(VLOOKUP(A62,[5]進出口值表查詢結果!$C$11:$F$68,3,0),-[4]整車!$B$22)</f>
        <v>93772</v>
      </c>
      <c r="Z62" s="387">
        <f t="shared" si="7"/>
        <v>730</v>
      </c>
      <c r="AA62" s="387">
        <f t="shared" si="8"/>
        <v>246410</v>
      </c>
    </row>
    <row r="63" spans="1:27">
      <c r="A63" s="432" t="s">
        <v>404</v>
      </c>
      <c r="B63" s="393">
        <v>0</v>
      </c>
      <c r="C63" s="393">
        <v>0</v>
      </c>
      <c r="D63" s="393"/>
      <c r="E63" s="393"/>
      <c r="F63" s="393">
        <v>80</v>
      </c>
      <c r="G63" s="393">
        <v>11981</v>
      </c>
      <c r="H63" s="393">
        <v>125</v>
      </c>
      <c r="I63" s="393">
        <v>14310</v>
      </c>
      <c r="J63" s="394">
        <v>100</v>
      </c>
      <c r="K63" s="397">
        <v>16037</v>
      </c>
      <c r="L63" s="393">
        <v>0</v>
      </c>
      <c r="M63" s="393">
        <v>0</v>
      </c>
      <c r="N63" s="393">
        <v>0</v>
      </c>
      <c r="O63" s="393">
        <v>0</v>
      </c>
      <c r="P63" s="393">
        <v>0</v>
      </c>
      <c r="Q63" s="393">
        <v>0</v>
      </c>
      <c r="R63" s="393">
        <v>0</v>
      </c>
      <c r="S63" s="393">
        <v>0</v>
      </c>
      <c r="T63" s="393">
        <v>125</v>
      </c>
      <c r="U63" s="393">
        <v>16317</v>
      </c>
      <c r="V63" s="393">
        <f>_xlfn.IFNA(VLOOKUP(A63,[3]進出口值表查詢結果!$C$11:$F$68,4,0),-[4]整車!$B$22)</f>
        <v>0</v>
      </c>
      <c r="W63" s="393">
        <f>_xlfn.IFNA(VLOOKUP(A63,[3]進出口值表查詢結果!$C$11:$F$68,3,0),-[4]整車!$B$22)</f>
        <v>0</v>
      </c>
      <c r="X63" s="393">
        <f>_xlfn.IFNA(VLOOKUP(A63,[5]進出口值表查詢結果!$C$11:$F$68,4,0),-[4]整車!$B$22)</f>
        <v>340</v>
      </c>
      <c r="Y63" s="393">
        <f>_xlfn.IFNA(VLOOKUP(A63,[5]進出口值表查詢結果!$C$11:$F$68,3,0),-[4]整車!$B$22)</f>
        <v>50840</v>
      </c>
      <c r="Z63" s="387">
        <f t="shared" si="7"/>
        <v>770</v>
      </c>
      <c r="AA63" s="387">
        <f t="shared" si="8"/>
        <v>109485</v>
      </c>
    </row>
    <row r="64" spans="1:27">
      <c r="A64" s="429" t="s">
        <v>187</v>
      </c>
      <c r="B64" s="393">
        <v>44</v>
      </c>
      <c r="C64" s="393">
        <v>6265</v>
      </c>
      <c r="D64" s="393"/>
      <c r="E64" s="393"/>
      <c r="F64" s="393">
        <v>0</v>
      </c>
      <c r="G64" s="393"/>
      <c r="H64" s="393">
        <v>0</v>
      </c>
      <c r="I64" s="393">
        <v>0</v>
      </c>
      <c r="J64" s="394">
        <v>74</v>
      </c>
      <c r="K64" s="397">
        <v>8920</v>
      </c>
      <c r="L64" s="393">
        <v>0</v>
      </c>
      <c r="M64" s="393">
        <v>0</v>
      </c>
      <c r="N64" s="393">
        <v>0</v>
      </c>
      <c r="O64" s="393">
        <v>0</v>
      </c>
      <c r="P64" s="393">
        <v>35</v>
      </c>
      <c r="Q64" s="393">
        <v>5625</v>
      </c>
      <c r="R64" s="393">
        <v>45</v>
      </c>
      <c r="S64" s="393">
        <v>4959</v>
      </c>
      <c r="T64" s="393">
        <v>42</v>
      </c>
      <c r="U64" s="393">
        <v>6127</v>
      </c>
      <c r="V64" s="393">
        <f>_xlfn.IFNA(VLOOKUP(A64,[3]進出口值表查詢結果!$C$11:$F$68,4,0),-[4]整車!$B$22)</f>
        <v>0</v>
      </c>
      <c r="W64" s="393">
        <f>_xlfn.IFNA(VLOOKUP(A64,[3]進出口值表查詢結果!$C$11:$F$68,3,0),-[4]整車!$B$22)</f>
        <v>0</v>
      </c>
      <c r="X64" s="393">
        <f>_xlfn.IFNA(VLOOKUP(A64,[5]進出口值表查詢結果!$C$11:$F$68,4,0),-[4]整車!$B$22)</f>
        <v>0</v>
      </c>
      <c r="Y64" s="393">
        <f>_xlfn.IFNA(VLOOKUP(A64,[5]進出口值表查詢結果!$C$11:$F$68,3,0),-[4]整車!$B$22)</f>
        <v>0</v>
      </c>
      <c r="Z64" s="387">
        <f t="shared" si="7"/>
        <v>240</v>
      </c>
      <c r="AA64" s="387">
        <f t="shared" si="8"/>
        <v>31896</v>
      </c>
    </row>
    <row r="65" spans="1:27">
      <c r="A65" s="429" t="s">
        <v>182</v>
      </c>
      <c r="B65" s="393">
        <v>0</v>
      </c>
      <c r="C65" s="393">
        <v>0</v>
      </c>
      <c r="D65" s="393"/>
      <c r="E65" s="393"/>
      <c r="F65" s="393">
        <v>20</v>
      </c>
      <c r="G65" s="393">
        <v>7667</v>
      </c>
      <c r="H65" s="393">
        <v>0</v>
      </c>
      <c r="I65" s="393">
        <v>0</v>
      </c>
      <c r="J65" s="394">
        <v>53</v>
      </c>
      <c r="K65" s="397">
        <v>6883</v>
      </c>
      <c r="L65" s="393">
        <v>0</v>
      </c>
      <c r="M65" s="393">
        <v>0</v>
      </c>
      <c r="N65" s="393">
        <v>0</v>
      </c>
      <c r="O65" s="393">
        <v>0</v>
      </c>
      <c r="P65" s="393">
        <v>0</v>
      </c>
      <c r="Q65" s="393">
        <v>0</v>
      </c>
      <c r="R65" s="393">
        <v>46</v>
      </c>
      <c r="S65" s="393">
        <v>5740</v>
      </c>
      <c r="T65" s="393"/>
      <c r="U65" s="393"/>
      <c r="V65" s="393">
        <f>_xlfn.IFNA(VLOOKUP(A65,[3]進出口值表查詢結果!$C$11:$F$68,4,0),-[4]整車!$B$22)</f>
        <v>53</v>
      </c>
      <c r="W65" s="393">
        <f>_xlfn.IFNA(VLOOKUP(A65,[3]進出口值表查詢結果!$C$11:$F$68,3,0),-[4]整車!$B$22)</f>
        <v>6170</v>
      </c>
      <c r="X65" s="393">
        <f>_xlfn.IFNA(VLOOKUP(A65,[5]進出口值表查詢結果!$C$11:$F$68,4,0),-[4]整車!$B$22)</f>
        <v>0</v>
      </c>
      <c r="Y65" s="393">
        <f>_xlfn.IFNA(VLOOKUP(A65,[5]進出口值表查詢結果!$C$11:$F$68,3,0),-[4]整車!$B$22)</f>
        <v>0</v>
      </c>
      <c r="Z65" s="387">
        <f t="shared" si="7"/>
        <v>172</v>
      </c>
      <c r="AA65" s="387">
        <f t="shared" si="8"/>
        <v>26460</v>
      </c>
    </row>
    <row r="66" spans="1:27">
      <c r="A66" s="429" t="s">
        <v>272</v>
      </c>
      <c r="B66" s="393">
        <v>16</v>
      </c>
      <c r="C66" s="393">
        <v>8064</v>
      </c>
      <c r="D66" s="393">
        <v>400</v>
      </c>
      <c r="E66" s="393">
        <v>74984</v>
      </c>
      <c r="F66" s="393">
        <v>130</v>
      </c>
      <c r="G66" s="393">
        <v>19515</v>
      </c>
      <c r="H66" s="393">
        <v>120</v>
      </c>
      <c r="I66" s="393">
        <v>19543</v>
      </c>
      <c r="J66" s="394">
        <v>235</v>
      </c>
      <c r="K66" s="397">
        <v>45740</v>
      </c>
      <c r="L66" s="393">
        <v>0</v>
      </c>
      <c r="M66" s="393">
        <v>0</v>
      </c>
      <c r="N66" s="393">
        <v>0</v>
      </c>
      <c r="O66" s="393">
        <v>0</v>
      </c>
      <c r="P66" s="393">
        <v>0</v>
      </c>
      <c r="Q66" s="393">
        <v>0</v>
      </c>
      <c r="R66" s="393">
        <v>0</v>
      </c>
      <c r="S66" s="393">
        <v>0</v>
      </c>
      <c r="T66" s="393"/>
      <c r="U66" s="393"/>
      <c r="V66" s="393">
        <f>_xlfn.IFNA(VLOOKUP(A66,[3]進出口值表查詢結果!$C$11:$F$68,4,0),-[4]整車!$B$22)</f>
        <v>0</v>
      </c>
      <c r="W66" s="393">
        <f>_xlfn.IFNA(VLOOKUP(A66,[3]進出口值表查詢結果!$C$11:$F$68,3,0),-[4]整車!$B$22)</f>
        <v>0</v>
      </c>
      <c r="X66" s="393">
        <f>_xlfn.IFNA(VLOOKUP(A66,[5]進出口值表查詢結果!$C$11:$F$68,4,0),-[4]整車!$B$22)</f>
        <v>0</v>
      </c>
      <c r="Y66" s="393">
        <f>_xlfn.IFNA(VLOOKUP(A66,[5]進出口值表查詢結果!$C$11:$F$68,3,0),-[4]整車!$B$22)</f>
        <v>0</v>
      </c>
      <c r="Z66" s="387">
        <f t="shared" si="7"/>
        <v>901</v>
      </c>
      <c r="AA66" s="387">
        <f t="shared" si="8"/>
        <v>167846</v>
      </c>
    </row>
    <row r="67" spans="1:27">
      <c r="A67" s="396"/>
      <c r="B67" s="393"/>
      <c r="C67" s="393"/>
      <c r="D67" s="393"/>
      <c r="E67" s="393"/>
      <c r="F67" s="393"/>
      <c r="G67" s="393"/>
      <c r="H67" s="393"/>
      <c r="I67" s="393"/>
      <c r="J67" s="394"/>
      <c r="K67" s="395"/>
      <c r="L67" s="393"/>
      <c r="M67" s="393"/>
      <c r="N67" s="393"/>
      <c r="O67" s="393"/>
      <c r="P67" s="393"/>
      <c r="Q67" s="393"/>
      <c r="R67" s="393"/>
      <c r="S67" s="393"/>
      <c r="T67" s="393"/>
      <c r="U67" s="393"/>
      <c r="V67" s="393"/>
      <c r="W67" s="393"/>
      <c r="X67" s="393"/>
      <c r="Y67" s="393"/>
      <c r="Z67" s="387"/>
      <c r="AA67" s="387"/>
    </row>
    <row r="68" spans="1:27">
      <c r="A68" s="409" t="s">
        <v>19</v>
      </c>
      <c r="B68" s="410">
        <f t="shared" ref="B68:G68" si="9">SUM(B69:B73)</f>
        <v>6047</v>
      </c>
      <c r="C68" s="410">
        <f t="shared" si="9"/>
        <v>3779240</v>
      </c>
      <c r="D68" s="410">
        <f t="shared" si="9"/>
        <v>4374</v>
      </c>
      <c r="E68" s="410">
        <f t="shared" si="9"/>
        <v>2793538</v>
      </c>
      <c r="F68" s="410">
        <f t="shared" si="9"/>
        <v>3335</v>
      </c>
      <c r="G68" s="410">
        <f t="shared" si="9"/>
        <v>1866843</v>
      </c>
      <c r="H68" s="410">
        <f>SUM(H69:H73)</f>
        <v>2480</v>
      </c>
      <c r="I68" s="410">
        <f>SUM(I69:I73)</f>
        <v>1512983</v>
      </c>
      <c r="J68" s="411">
        <f t="shared" ref="J68:O68" si="10">SUM(J69:J73)</f>
        <v>1816</v>
      </c>
      <c r="K68" s="412">
        <f t="shared" si="10"/>
        <v>1480084</v>
      </c>
      <c r="L68" s="410">
        <f t="shared" si="10"/>
        <v>1849</v>
      </c>
      <c r="M68" s="410">
        <f t="shared" si="10"/>
        <v>1617191</v>
      </c>
      <c r="N68" s="410">
        <f t="shared" si="10"/>
        <v>1838</v>
      </c>
      <c r="O68" s="410">
        <f t="shared" si="10"/>
        <v>1928770</v>
      </c>
      <c r="P68" s="410">
        <f>SUM(P69:P73)</f>
        <v>1960</v>
      </c>
      <c r="Q68" s="410">
        <f>SUM(Q69:Q73)</f>
        <v>1999119</v>
      </c>
      <c r="R68" s="410">
        <f t="shared" ref="R68:Y68" si="11">SUM(R69:R73)</f>
        <v>1097</v>
      </c>
      <c r="S68" s="410">
        <f t="shared" si="11"/>
        <v>1708965</v>
      </c>
      <c r="T68" s="410">
        <f t="shared" si="11"/>
        <v>2389</v>
      </c>
      <c r="U68" s="410">
        <f t="shared" si="11"/>
        <v>2156903</v>
      </c>
      <c r="V68" s="410">
        <f>SUM(V69:V73)</f>
        <v>1149</v>
      </c>
      <c r="W68" s="410">
        <f>SUM(W69:W73)</f>
        <v>1843745</v>
      </c>
      <c r="X68" s="410">
        <f t="shared" si="11"/>
        <v>3615</v>
      </c>
      <c r="Y68" s="410">
        <f t="shared" si="11"/>
        <v>4337331</v>
      </c>
      <c r="Z68" s="404">
        <f t="shared" ref="Z68:AA73" si="12">SUM(B68,D68,F68,H68,J68,L68,N68,P68,R68,T68,V68,X68)</f>
        <v>31949</v>
      </c>
      <c r="AA68" s="404">
        <f t="shared" si="12"/>
        <v>27024712</v>
      </c>
    </row>
    <row r="69" spans="1:27">
      <c r="A69" s="429" t="s">
        <v>180</v>
      </c>
      <c r="B69" s="393">
        <v>1857</v>
      </c>
      <c r="C69" s="393">
        <v>2017794</v>
      </c>
      <c r="D69" s="393">
        <v>1373</v>
      </c>
      <c r="E69" s="393">
        <v>1011526</v>
      </c>
      <c r="F69" s="393">
        <v>425</v>
      </c>
      <c r="G69" s="393">
        <v>428146</v>
      </c>
      <c r="H69" s="393">
        <v>671</v>
      </c>
      <c r="I69" s="393">
        <v>699536</v>
      </c>
      <c r="J69" s="394">
        <v>587</v>
      </c>
      <c r="K69" s="395">
        <v>1041998</v>
      </c>
      <c r="L69" s="393">
        <v>1055</v>
      </c>
      <c r="M69" s="393">
        <v>1243264</v>
      </c>
      <c r="N69" s="407">
        <v>947</v>
      </c>
      <c r="O69" s="407">
        <v>1493476</v>
      </c>
      <c r="P69" s="393">
        <v>1258</v>
      </c>
      <c r="Q69" s="393">
        <v>1726838</v>
      </c>
      <c r="R69" s="393">
        <v>988</v>
      </c>
      <c r="S69" s="393">
        <v>1565929</v>
      </c>
      <c r="T69" s="393">
        <v>2202</v>
      </c>
      <c r="U69" s="393">
        <v>2043237</v>
      </c>
      <c r="V69" s="393">
        <f>_xlfn.IFNA(VLOOKUP(A69,[3]進出口值表查詢結果!$C$11:$F$68,4,0),-[4]整車!$B$22)</f>
        <v>835</v>
      </c>
      <c r="W69" s="393">
        <f>_xlfn.IFNA(VLOOKUP(A69,[3]進出口值表查詢結果!$C$11:$F$68,3,0),-[4]整車!$B$22)</f>
        <v>1325166</v>
      </c>
      <c r="X69" s="393">
        <f>_xlfn.IFNA(VLOOKUP(A69,[5]進出口值表查詢結果!$C$11:$F$68,4,0),-[4]整車!$B$22)</f>
        <v>2736</v>
      </c>
      <c r="Y69" s="393">
        <f>_xlfn.IFNA(VLOOKUP(A69,[5]進出口值表查詢結果!$C$11:$F$68,3,0),-[4]整車!$B$22)</f>
        <v>3402098</v>
      </c>
      <c r="Z69" s="387">
        <f t="shared" si="12"/>
        <v>14934</v>
      </c>
      <c r="AA69" s="387">
        <f t="shared" si="12"/>
        <v>17999008</v>
      </c>
    </row>
    <row r="70" spans="1:27">
      <c r="A70" s="429" t="s">
        <v>273</v>
      </c>
      <c r="B70" s="393">
        <v>4127</v>
      </c>
      <c r="C70" s="393">
        <v>1691969</v>
      </c>
      <c r="D70" s="393">
        <v>2950</v>
      </c>
      <c r="E70" s="393">
        <v>1716256</v>
      </c>
      <c r="F70" s="393">
        <v>2760</v>
      </c>
      <c r="G70" s="393">
        <v>1417688</v>
      </c>
      <c r="H70" s="393">
        <v>1808</v>
      </c>
      <c r="I70" s="393">
        <v>811327</v>
      </c>
      <c r="J70" s="394">
        <v>1210</v>
      </c>
      <c r="K70" s="395">
        <v>402504</v>
      </c>
      <c r="L70" s="393">
        <v>780</v>
      </c>
      <c r="M70" s="393">
        <v>350268</v>
      </c>
      <c r="N70" s="407">
        <v>875</v>
      </c>
      <c r="O70" s="407">
        <v>407876</v>
      </c>
      <c r="P70" s="393">
        <v>700</v>
      </c>
      <c r="Q70" s="393">
        <v>267943</v>
      </c>
      <c r="R70" s="393">
        <v>108</v>
      </c>
      <c r="S70" s="393">
        <v>140862</v>
      </c>
      <c r="T70" s="393">
        <v>186</v>
      </c>
      <c r="U70" s="393">
        <v>111463</v>
      </c>
      <c r="V70" s="393">
        <f>_xlfn.IFNA(VLOOKUP(A70,[3]進出口值表查詢結果!$C$11:$F$68,4,0),-[4]整車!$B$22)</f>
        <v>314</v>
      </c>
      <c r="W70" s="393">
        <f>_xlfn.IFNA(VLOOKUP(A70,[3]進出口值表查詢結果!$C$11:$F$68,3,0),-[4]整車!$B$22)</f>
        <v>518579</v>
      </c>
      <c r="X70" s="393">
        <f>_xlfn.IFNA(VLOOKUP(A70,[5]進出口值表查詢結果!$C$11:$F$68,4,0),-[4]整車!$B$22)</f>
        <v>838</v>
      </c>
      <c r="Y70" s="393">
        <f>_xlfn.IFNA(VLOOKUP(A70,[5]進出口值表查詢結果!$C$11:$F$68,3,0),-[4]整車!$B$22)</f>
        <v>906262</v>
      </c>
      <c r="Z70" s="387">
        <f t="shared" si="12"/>
        <v>16656</v>
      </c>
      <c r="AA70" s="387">
        <f t="shared" si="12"/>
        <v>8742997</v>
      </c>
    </row>
    <row r="71" spans="1:27">
      <c r="A71" s="429" t="s">
        <v>274</v>
      </c>
      <c r="B71" s="393">
        <v>63</v>
      </c>
      <c r="C71" s="393">
        <v>69477</v>
      </c>
      <c r="D71" s="393">
        <v>51</v>
      </c>
      <c r="E71" s="393">
        <v>65756</v>
      </c>
      <c r="F71" s="393">
        <v>150</v>
      </c>
      <c r="G71" s="393">
        <v>21009</v>
      </c>
      <c r="H71" s="393">
        <v>1</v>
      </c>
      <c r="I71" s="393">
        <v>2120</v>
      </c>
      <c r="J71" s="394">
        <v>19</v>
      </c>
      <c r="K71" s="395">
        <v>35582</v>
      </c>
      <c r="L71" s="393">
        <v>14</v>
      </c>
      <c r="M71" s="393">
        <v>23659</v>
      </c>
      <c r="N71" s="407">
        <v>16</v>
      </c>
      <c r="O71" s="407">
        <v>27418</v>
      </c>
      <c r="P71" s="393">
        <v>2</v>
      </c>
      <c r="Q71" s="393">
        <v>4338</v>
      </c>
      <c r="R71" s="393">
        <v>1</v>
      </c>
      <c r="S71" s="393">
        <v>2174</v>
      </c>
      <c r="T71" s="393">
        <v>1</v>
      </c>
      <c r="U71" s="393">
        <v>2203</v>
      </c>
      <c r="V71" s="393">
        <f>_xlfn.IFNA(VLOOKUP(A71,[3]進出口值表查詢結果!$C$11:$F$68,4,0),-[4]整車!$B$22)</f>
        <v>0</v>
      </c>
      <c r="W71" s="393">
        <f>_xlfn.IFNA(VLOOKUP(A71,[3]進出口值表查詢結果!$C$11:$F$68,3,0),-[4]整車!$B$22)</f>
        <v>0</v>
      </c>
      <c r="X71" s="393">
        <f>_xlfn.IFNA(VLOOKUP(A71,[5]進出口值表查詢結果!$C$11:$F$68,4,0),-[4]整車!$B$22)</f>
        <v>41</v>
      </c>
      <c r="Y71" s="393">
        <f>_xlfn.IFNA(VLOOKUP(A71,[5]進出口值表查詢結果!$C$11:$F$68,3,0),-[4]整車!$B$22)</f>
        <v>28971</v>
      </c>
      <c r="Z71" s="387">
        <f t="shared" si="12"/>
        <v>359</v>
      </c>
      <c r="AA71" s="387">
        <f t="shared" si="12"/>
        <v>282707</v>
      </c>
    </row>
    <row r="72" spans="1:27">
      <c r="A72" s="429" t="s">
        <v>276</v>
      </c>
      <c r="B72" s="393">
        <v>0</v>
      </c>
      <c r="C72" s="393">
        <v>0</v>
      </c>
      <c r="D72" s="393"/>
      <c r="E72" s="393"/>
      <c r="F72" s="393">
        <v>0</v>
      </c>
      <c r="G72" s="393"/>
      <c r="H72" s="393">
        <v>0</v>
      </c>
      <c r="I72" s="393">
        <v>0</v>
      </c>
      <c r="J72" s="394" t="s">
        <v>57</v>
      </c>
      <c r="K72" s="397" t="s">
        <v>57</v>
      </c>
      <c r="L72" s="393">
        <v>0</v>
      </c>
      <c r="M72" s="393">
        <v>0</v>
      </c>
      <c r="N72" s="393">
        <v>0</v>
      </c>
      <c r="O72" s="393">
        <v>0</v>
      </c>
      <c r="P72" s="393">
        <v>0</v>
      </c>
      <c r="Q72" s="393">
        <v>0</v>
      </c>
      <c r="R72" s="393">
        <v>0</v>
      </c>
      <c r="S72" s="393">
        <v>0</v>
      </c>
      <c r="T72" s="393"/>
      <c r="U72" s="393"/>
      <c r="V72" s="393">
        <f>_xlfn.IFNA(VLOOKUP(A72,[3]進出口值表查詢結果!$C$11:$F$68,4,0),-[4]整車!$B$22)</f>
        <v>0</v>
      </c>
      <c r="W72" s="393">
        <f>_xlfn.IFNA(VLOOKUP(A72,[3]進出口值表查詢結果!$C$11:$F$68,3,0),-[4]整車!$B$22)</f>
        <v>0</v>
      </c>
      <c r="X72" s="393">
        <f>_xlfn.IFNA(VLOOKUP(A72,[5]進出口值表查詢結果!$C$11:$F$68,4,0),-[4]整車!$B$22)</f>
        <v>0</v>
      </c>
      <c r="Y72" s="393">
        <f>_xlfn.IFNA(VLOOKUP(A72,[5]進出口值表查詢結果!$C$11:$F$68,3,0),-[4]整車!$B$22)</f>
        <v>0</v>
      </c>
      <c r="Z72" s="387">
        <f t="shared" si="12"/>
        <v>0</v>
      </c>
      <c r="AA72" s="387">
        <f t="shared" si="12"/>
        <v>0</v>
      </c>
    </row>
    <row r="73" spans="1:27">
      <c r="A73" s="429" t="s">
        <v>275</v>
      </c>
      <c r="B73" s="393">
        <v>0</v>
      </c>
      <c r="C73" s="393">
        <v>0</v>
      </c>
      <c r="D73" s="393"/>
      <c r="E73" s="393"/>
      <c r="F73" s="393">
        <v>0</v>
      </c>
      <c r="G73" s="393"/>
      <c r="H73" s="393">
        <v>0</v>
      </c>
      <c r="I73" s="393">
        <v>0</v>
      </c>
      <c r="J73" s="394" t="s">
        <v>57</v>
      </c>
      <c r="K73" s="397" t="s">
        <v>57</v>
      </c>
      <c r="L73" s="393">
        <v>0</v>
      </c>
      <c r="M73" s="393">
        <v>0</v>
      </c>
      <c r="N73" s="393">
        <v>0</v>
      </c>
      <c r="O73" s="393">
        <v>0</v>
      </c>
      <c r="P73" s="393">
        <v>0</v>
      </c>
      <c r="Q73" s="393">
        <v>0</v>
      </c>
      <c r="R73" s="393">
        <v>0</v>
      </c>
      <c r="S73" s="393">
        <v>0</v>
      </c>
      <c r="T73" s="393"/>
      <c r="U73" s="393"/>
      <c r="V73" s="393">
        <f>_xlfn.IFNA(VLOOKUP(A73,[3]進出口值表查詢結果!$C$11:$F$68,4,0),-[4]整車!$B$22)</f>
        <v>0</v>
      </c>
      <c r="W73" s="393">
        <f>_xlfn.IFNA(VLOOKUP(A73,[3]進出口值表查詢結果!$C$11:$F$68,3,0),-[4]整車!$B$22)</f>
        <v>0</v>
      </c>
      <c r="X73" s="393">
        <f>_xlfn.IFNA(VLOOKUP(A73,[5]進出口值表查詢結果!$C$11:$F$68,4,0),-[4]整車!$B$22)</f>
        <v>0</v>
      </c>
      <c r="Y73" s="393">
        <f>_xlfn.IFNA(VLOOKUP(A73,[5]進出口值表查詢結果!$C$11:$F$68,3,0),-[4]整車!$B$22)</f>
        <v>0</v>
      </c>
      <c r="Z73" s="387">
        <f t="shared" si="12"/>
        <v>0</v>
      </c>
      <c r="AA73" s="387">
        <f t="shared" si="12"/>
        <v>0</v>
      </c>
    </row>
    <row r="74" spans="1:27">
      <c r="A74" s="396"/>
      <c r="B74" s="393"/>
      <c r="C74" s="393"/>
      <c r="D74" s="393"/>
      <c r="E74" s="393"/>
      <c r="F74" s="393"/>
      <c r="G74" s="393"/>
      <c r="H74" s="393"/>
      <c r="I74" s="393"/>
      <c r="J74" s="394"/>
      <c r="K74" s="395"/>
      <c r="L74" s="393"/>
      <c r="M74" s="393"/>
      <c r="N74" s="393"/>
      <c r="O74" s="393"/>
      <c r="P74" s="393"/>
      <c r="Q74" s="393"/>
      <c r="R74" s="393"/>
      <c r="S74" s="393"/>
      <c r="T74" s="393"/>
      <c r="U74" s="393"/>
      <c r="V74" s="393"/>
      <c r="W74" s="393"/>
      <c r="X74" s="393"/>
      <c r="Y74" s="393"/>
      <c r="Z74" s="387"/>
      <c r="AA74" s="387"/>
    </row>
    <row r="75" spans="1:27">
      <c r="A75" s="409" t="s">
        <v>139</v>
      </c>
      <c r="B75" s="410">
        <f t="shared" ref="B75:Y75" si="13">SUM(B76:B83)</f>
        <v>1775</v>
      </c>
      <c r="C75" s="410">
        <f t="shared" si="13"/>
        <v>791303</v>
      </c>
      <c r="D75" s="410">
        <f t="shared" si="13"/>
        <v>1901</v>
      </c>
      <c r="E75" s="410">
        <f t="shared" si="13"/>
        <v>631147</v>
      </c>
      <c r="F75" s="410">
        <f t="shared" si="13"/>
        <v>1325</v>
      </c>
      <c r="G75" s="410">
        <f t="shared" si="13"/>
        <v>919450</v>
      </c>
      <c r="H75" s="410">
        <f t="shared" si="13"/>
        <v>631</v>
      </c>
      <c r="I75" s="410">
        <f>SUM(I76:I83)</f>
        <v>220966</v>
      </c>
      <c r="J75" s="411">
        <f t="shared" si="13"/>
        <v>474</v>
      </c>
      <c r="K75" s="412">
        <f>SUM(K76:K83)</f>
        <v>186768</v>
      </c>
      <c r="L75" s="410">
        <f t="shared" si="13"/>
        <v>1046</v>
      </c>
      <c r="M75" s="410">
        <f t="shared" si="13"/>
        <v>357239</v>
      </c>
      <c r="N75" s="410">
        <f t="shared" si="13"/>
        <v>1359</v>
      </c>
      <c r="O75" s="410">
        <f t="shared" si="13"/>
        <v>836881</v>
      </c>
      <c r="P75" s="410">
        <f t="shared" si="13"/>
        <v>164</v>
      </c>
      <c r="Q75" s="410">
        <f t="shared" si="13"/>
        <v>201186</v>
      </c>
      <c r="R75" s="410">
        <f t="shared" si="13"/>
        <v>785</v>
      </c>
      <c r="S75" s="410">
        <f t="shared" si="13"/>
        <v>324287</v>
      </c>
      <c r="T75" s="410">
        <f t="shared" si="13"/>
        <v>2780</v>
      </c>
      <c r="U75" s="410">
        <f t="shared" si="13"/>
        <v>855146</v>
      </c>
      <c r="V75" s="410">
        <f>SUM(V76:V83)</f>
        <v>1929</v>
      </c>
      <c r="W75" s="410">
        <f>SUM(W76:W83)</f>
        <v>885513</v>
      </c>
      <c r="X75" s="410">
        <f t="shared" si="13"/>
        <v>3092</v>
      </c>
      <c r="Y75" s="410">
        <f t="shared" si="13"/>
        <v>1404864</v>
      </c>
      <c r="Z75" s="404">
        <f t="shared" ref="Z75:Z83" si="14">SUM(B75,D75,F75,H75,J75,L75,N75,P75,R75,T75,V75,X75)</f>
        <v>17261</v>
      </c>
      <c r="AA75" s="404">
        <f t="shared" ref="AA75:AA83" si="15">SUM(C75,E75,G75,I75,K75,M75,O75,Q75,S75,U75,W75,Y75)</f>
        <v>7614750</v>
      </c>
    </row>
    <row r="76" spans="1:27">
      <c r="A76" s="429" t="s">
        <v>278</v>
      </c>
      <c r="B76" s="393">
        <v>1579</v>
      </c>
      <c r="C76" s="393">
        <v>669877</v>
      </c>
      <c r="D76" s="393">
        <v>1436</v>
      </c>
      <c r="E76" s="393">
        <v>495570</v>
      </c>
      <c r="F76" s="393">
        <v>931</v>
      </c>
      <c r="G76" s="393">
        <v>702788</v>
      </c>
      <c r="H76" s="393">
        <v>631</v>
      </c>
      <c r="I76" s="393">
        <v>220966</v>
      </c>
      <c r="J76" s="394">
        <v>324</v>
      </c>
      <c r="K76" s="408">
        <v>164549</v>
      </c>
      <c r="L76" s="393">
        <v>815</v>
      </c>
      <c r="M76" s="393">
        <v>323962</v>
      </c>
      <c r="N76" s="407">
        <v>822</v>
      </c>
      <c r="O76" s="407">
        <v>518255</v>
      </c>
      <c r="P76" s="393">
        <v>119</v>
      </c>
      <c r="Q76" s="393">
        <v>179634</v>
      </c>
      <c r="R76" s="393">
        <v>495</v>
      </c>
      <c r="S76" s="393">
        <v>221230</v>
      </c>
      <c r="T76" s="393">
        <v>2780</v>
      </c>
      <c r="U76" s="393">
        <v>855146</v>
      </c>
      <c r="V76" s="393">
        <f>_xlfn.IFNA(VLOOKUP(A76,[3]進出口值表查詢結果!$C$11:$F$68,4,0),-[4]整車!$B$22)</f>
        <v>1812</v>
      </c>
      <c r="W76" s="393">
        <f>_xlfn.IFNA(VLOOKUP(A76,[3]進出口值表查詢結果!$C$11:$F$68,3,0),-[4]整車!$B$22)</f>
        <v>779724</v>
      </c>
      <c r="X76" s="393">
        <f>_xlfn.IFNA(VLOOKUP(A76,[5]進出口值表查詢結果!$C$11:$F$68,4,0),-[4]整車!$B$22)</f>
        <v>2631</v>
      </c>
      <c r="Y76" s="393">
        <f>_xlfn.IFNA(VLOOKUP(A76,[5]進出口值表查詢結果!$C$11:$F$68,3,0),-[4]整車!$B$22)</f>
        <v>1193493</v>
      </c>
      <c r="Z76" s="387">
        <f t="shared" si="14"/>
        <v>14375</v>
      </c>
      <c r="AA76" s="387">
        <f t="shared" si="15"/>
        <v>6325194</v>
      </c>
    </row>
    <row r="77" spans="1:27">
      <c r="A77" s="429" t="s">
        <v>279</v>
      </c>
      <c r="B77" s="393">
        <v>0</v>
      </c>
      <c r="C77" s="393">
        <v>0</v>
      </c>
      <c r="D77" s="393"/>
      <c r="E77" s="393"/>
      <c r="F77" s="393">
        <v>0</v>
      </c>
      <c r="G77" s="393"/>
      <c r="H77" s="393">
        <v>0</v>
      </c>
      <c r="I77" s="393">
        <v>0</v>
      </c>
      <c r="J77" s="394" t="s">
        <v>57</v>
      </c>
      <c r="K77" s="397" t="s">
        <v>57</v>
      </c>
      <c r="L77" s="393">
        <v>0</v>
      </c>
      <c r="M77" s="393">
        <v>0</v>
      </c>
      <c r="N77" s="393">
        <v>0</v>
      </c>
      <c r="O77" s="393">
        <v>0</v>
      </c>
      <c r="P77" s="393">
        <v>0</v>
      </c>
      <c r="Q77" s="393">
        <v>0</v>
      </c>
      <c r="R77" s="393">
        <v>0</v>
      </c>
      <c r="S77" s="393">
        <v>0</v>
      </c>
      <c r="T77" s="393"/>
      <c r="U77" s="393"/>
      <c r="V77" s="393">
        <f>_xlfn.IFNA(VLOOKUP(A77,[3]進出口值表查詢結果!$C$11:$F$68,4,0),-[4]整車!$B$22)</f>
        <v>0</v>
      </c>
      <c r="W77" s="393">
        <f>_xlfn.IFNA(VLOOKUP(A77,[3]進出口值表查詢結果!$C$11:$F$68,3,0),-[4]整車!$B$22)</f>
        <v>0</v>
      </c>
      <c r="X77" s="393">
        <f>_xlfn.IFNA(VLOOKUP(A77,[5]進出口值表查詢結果!$C$11:$F$68,4,0),-[4]整車!$B$22)</f>
        <v>0</v>
      </c>
      <c r="Y77" s="393">
        <f>_xlfn.IFNA(VLOOKUP(A77,[5]進出口值表查詢結果!$C$11:$F$68,3,0),-[4]整車!$B$22)</f>
        <v>0</v>
      </c>
      <c r="Z77" s="387">
        <f t="shared" si="14"/>
        <v>0</v>
      </c>
      <c r="AA77" s="387">
        <f t="shared" si="15"/>
        <v>0</v>
      </c>
    </row>
    <row r="78" spans="1:27">
      <c r="A78" s="429" t="s">
        <v>280</v>
      </c>
      <c r="B78" s="393"/>
      <c r="C78" s="393"/>
      <c r="D78" s="393"/>
      <c r="E78" s="393"/>
      <c r="F78" s="393">
        <v>0</v>
      </c>
      <c r="G78" s="393"/>
      <c r="H78" s="393">
        <v>0</v>
      </c>
      <c r="I78" s="393">
        <v>0</v>
      </c>
      <c r="J78" s="394" t="s">
        <v>57</v>
      </c>
      <c r="K78" s="397" t="s">
        <v>57</v>
      </c>
      <c r="L78" s="393">
        <v>0</v>
      </c>
      <c r="M78" s="393">
        <v>0</v>
      </c>
      <c r="N78" s="393">
        <v>0</v>
      </c>
      <c r="O78" s="393">
        <v>0</v>
      </c>
      <c r="P78" s="393">
        <v>0</v>
      </c>
      <c r="Q78" s="393">
        <v>0</v>
      </c>
      <c r="R78" s="393">
        <v>0</v>
      </c>
      <c r="S78" s="393">
        <v>0</v>
      </c>
      <c r="T78" s="393"/>
      <c r="U78" s="393"/>
      <c r="V78" s="393">
        <f>_xlfn.IFNA(VLOOKUP(A78,[3]進出口值表查詢結果!$C$11:$F$68,4,0),-[4]整車!$B$22)</f>
        <v>0</v>
      </c>
      <c r="W78" s="393">
        <f>_xlfn.IFNA(VLOOKUP(A78,[3]進出口值表查詢結果!$C$11:$F$68,3,0),-[4]整車!$B$22)</f>
        <v>0</v>
      </c>
      <c r="X78" s="393">
        <f>_xlfn.IFNA(VLOOKUP(A78,[5]進出口值表查詢結果!$C$11:$F$68,4,0),-[4]整車!$B$22)</f>
        <v>0</v>
      </c>
      <c r="Y78" s="393">
        <f>_xlfn.IFNA(VLOOKUP(A78,[5]進出口值表查詢結果!$C$11:$F$68,3,0),-[4]整車!$B$22)</f>
        <v>0</v>
      </c>
      <c r="Z78" s="387">
        <f t="shared" si="14"/>
        <v>0</v>
      </c>
      <c r="AA78" s="387">
        <f t="shared" si="15"/>
        <v>0</v>
      </c>
    </row>
    <row r="79" spans="1:27">
      <c r="A79" s="429" t="s">
        <v>281</v>
      </c>
      <c r="B79" s="393"/>
      <c r="C79" s="393"/>
      <c r="D79" s="393"/>
      <c r="E79" s="393"/>
      <c r="F79" s="393">
        <v>0</v>
      </c>
      <c r="G79" s="393"/>
      <c r="H79" s="393">
        <v>0</v>
      </c>
      <c r="I79" s="393">
        <v>0</v>
      </c>
      <c r="J79" s="394" t="s">
        <v>57</v>
      </c>
      <c r="K79" s="397" t="s">
        <v>57</v>
      </c>
      <c r="L79" s="393">
        <v>0</v>
      </c>
      <c r="M79" s="393">
        <v>0</v>
      </c>
      <c r="N79" s="393">
        <v>0</v>
      </c>
      <c r="O79" s="393">
        <v>0</v>
      </c>
      <c r="P79" s="393">
        <v>0</v>
      </c>
      <c r="Q79" s="393">
        <v>0</v>
      </c>
      <c r="R79" s="393">
        <v>0</v>
      </c>
      <c r="S79" s="393">
        <v>0</v>
      </c>
      <c r="T79" s="393"/>
      <c r="U79" s="393"/>
      <c r="V79" s="393">
        <f>_xlfn.IFNA(VLOOKUP(A79,[3]進出口值表查詢結果!$C$11:$F$68,4,0),-[4]整車!$B$22)</f>
        <v>0</v>
      </c>
      <c r="W79" s="393">
        <f>_xlfn.IFNA(VLOOKUP(A79,[3]進出口值表查詢結果!$C$11:$F$68,3,0),-[4]整車!$B$22)</f>
        <v>0</v>
      </c>
      <c r="X79" s="393">
        <f>_xlfn.IFNA(VLOOKUP(A79,[5]進出口值表查詢結果!$C$11:$F$68,4,0),-[4]整車!$B$22)</f>
        <v>0</v>
      </c>
      <c r="Y79" s="393">
        <f>_xlfn.IFNA(VLOOKUP(A79,[5]進出口值表查詢結果!$C$11:$F$68,3,0),-[4]整車!$B$22)</f>
        <v>0</v>
      </c>
      <c r="Z79" s="387">
        <f t="shared" si="14"/>
        <v>0</v>
      </c>
      <c r="AA79" s="387">
        <f t="shared" si="15"/>
        <v>0</v>
      </c>
    </row>
    <row r="80" spans="1:27">
      <c r="A80" s="429" t="s">
        <v>283</v>
      </c>
      <c r="B80" s="393">
        <v>196</v>
      </c>
      <c r="C80" s="393">
        <v>121426</v>
      </c>
      <c r="D80" s="393">
        <v>465</v>
      </c>
      <c r="E80" s="393">
        <v>135577</v>
      </c>
      <c r="F80" s="393">
        <v>339</v>
      </c>
      <c r="G80" s="393">
        <v>203320</v>
      </c>
      <c r="H80" s="393">
        <v>0</v>
      </c>
      <c r="I80" s="393">
        <v>0</v>
      </c>
      <c r="J80" s="394">
        <v>150</v>
      </c>
      <c r="K80" s="408">
        <v>22219</v>
      </c>
      <c r="L80" s="393">
        <v>231</v>
      </c>
      <c r="M80" s="393">
        <v>33277</v>
      </c>
      <c r="N80" s="407">
        <v>537</v>
      </c>
      <c r="O80" s="407">
        <v>318626</v>
      </c>
      <c r="P80" s="393">
        <v>0</v>
      </c>
      <c r="Q80" s="393">
        <v>0</v>
      </c>
      <c r="R80" s="393">
        <v>290</v>
      </c>
      <c r="S80" s="393">
        <v>103057</v>
      </c>
      <c r="T80" s="393"/>
      <c r="U80" s="393"/>
      <c r="V80" s="393">
        <f>_xlfn.IFNA(VLOOKUP(A80,[3]進出口值表查詢結果!$C$11:$F$68,4,0),-[4]整車!$B$22)</f>
        <v>117</v>
      </c>
      <c r="W80" s="393">
        <f>_xlfn.IFNA(VLOOKUP(A80,[3]進出口值表查詢結果!$C$11:$F$68,3,0),-[4]整車!$B$22)</f>
        <v>105789</v>
      </c>
      <c r="X80" s="393">
        <f>_xlfn.IFNA(VLOOKUP(A80,[5]進出口值表查詢結果!$C$11:$F$68,4,0),-[4]整車!$B$22)</f>
        <v>461</v>
      </c>
      <c r="Y80" s="393">
        <f>_xlfn.IFNA(VLOOKUP(A80,[5]進出口值表查詢結果!$C$11:$F$68,3,0),-[4]整車!$B$22)</f>
        <v>211371</v>
      </c>
      <c r="Z80" s="387">
        <f t="shared" si="14"/>
        <v>2786</v>
      </c>
      <c r="AA80" s="387">
        <f t="shared" si="15"/>
        <v>1254662</v>
      </c>
    </row>
    <row r="81" spans="1:27">
      <c r="A81" s="429" t="s">
        <v>285</v>
      </c>
      <c r="B81" s="393"/>
      <c r="C81" s="393"/>
      <c r="D81" s="393"/>
      <c r="E81" s="393"/>
      <c r="F81" s="393">
        <v>55</v>
      </c>
      <c r="G81" s="393">
        <v>13342</v>
      </c>
      <c r="H81" s="393">
        <v>0</v>
      </c>
      <c r="I81" s="393">
        <v>0</v>
      </c>
      <c r="J81" s="394" t="s">
        <v>57</v>
      </c>
      <c r="K81" s="397" t="s">
        <v>57</v>
      </c>
      <c r="L81" s="393">
        <v>0</v>
      </c>
      <c r="M81" s="393">
        <v>0</v>
      </c>
      <c r="N81" s="393">
        <v>0</v>
      </c>
      <c r="O81" s="393">
        <v>0</v>
      </c>
      <c r="P81" s="393">
        <v>45</v>
      </c>
      <c r="Q81" s="393">
        <v>21552</v>
      </c>
      <c r="R81" s="393">
        <v>0</v>
      </c>
      <c r="S81" s="393">
        <v>0</v>
      </c>
      <c r="T81" s="393"/>
      <c r="U81" s="393"/>
      <c r="V81" s="393">
        <f>_xlfn.IFNA(VLOOKUP(A81,[3]進出口值表查詢結果!$C$11:$F$68,4,0),-[4]整車!$B$22)</f>
        <v>0</v>
      </c>
      <c r="W81" s="393">
        <f>_xlfn.IFNA(VLOOKUP(A81,[3]進出口值表查詢結果!$C$11:$F$68,3,0),-[4]整車!$B$22)</f>
        <v>0</v>
      </c>
      <c r="X81" s="393">
        <f>_xlfn.IFNA(VLOOKUP(A81,[5]進出口值表查詢結果!$C$11:$F$68,4,0),-[4]整車!$B$22)</f>
        <v>0</v>
      </c>
      <c r="Y81" s="393">
        <f>_xlfn.IFNA(VLOOKUP(A81,[5]進出口值表查詢結果!$C$11:$F$68,3,0),-[4]整車!$B$22)</f>
        <v>0</v>
      </c>
      <c r="Z81" s="387">
        <f t="shared" si="14"/>
        <v>100</v>
      </c>
      <c r="AA81" s="387">
        <f t="shared" si="15"/>
        <v>34894</v>
      </c>
    </row>
    <row r="82" spans="1:27">
      <c r="A82" s="398" t="s">
        <v>284</v>
      </c>
      <c r="B82" s="393"/>
      <c r="C82" s="393"/>
      <c r="D82" s="393"/>
      <c r="E82" s="393"/>
      <c r="F82" s="393">
        <v>0</v>
      </c>
      <c r="G82" s="393"/>
      <c r="H82" s="393">
        <v>0</v>
      </c>
      <c r="I82" s="393">
        <v>0</v>
      </c>
      <c r="J82" s="394" t="s">
        <v>57</v>
      </c>
      <c r="K82" s="397" t="s">
        <v>57</v>
      </c>
      <c r="L82" s="393">
        <v>0</v>
      </c>
      <c r="M82" s="393">
        <v>0</v>
      </c>
      <c r="N82" s="393">
        <v>0</v>
      </c>
      <c r="O82" s="393">
        <v>0</v>
      </c>
      <c r="P82" s="393">
        <v>0</v>
      </c>
      <c r="Q82" s="393">
        <v>0</v>
      </c>
      <c r="R82" s="393">
        <v>0</v>
      </c>
      <c r="S82" s="393">
        <v>0</v>
      </c>
      <c r="T82" s="393"/>
      <c r="U82" s="393"/>
      <c r="V82" s="393">
        <f>_xlfn.IFNA(VLOOKUP(A82,[3]進出口值表查詢結果!$C$11:$F$68,4,0),-[4]整車!$B$22)</f>
        <v>0</v>
      </c>
      <c r="W82" s="393">
        <f>_xlfn.IFNA(VLOOKUP(A82,[3]進出口值表查詢結果!$C$11:$F$68,3,0),-[4]整車!$B$22)</f>
        <v>0</v>
      </c>
      <c r="X82" s="393">
        <f>_xlfn.IFNA(VLOOKUP(A82,[5]進出口值表查詢結果!$C$11:$F$68,4,0),-[4]整車!$B$22)</f>
        <v>0</v>
      </c>
      <c r="Y82" s="393">
        <f>_xlfn.IFNA(VLOOKUP(A82,[5]進出口值表查詢結果!$C$11:$F$68,3,0),-[4]整車!$B$22)</f>
        <v>0</v>
      </c>
      <c r="Z82" s="387">
        <f t="shared" si="14"/>
        <v>0</v>
      </c>
      <c r="AA82" s="387">
        <f t="shared" si="15"/>
        <v>0</v>
      </c>
    </row>
    <row r="83" spans="1:27">
      <c r="A83" s="398" t="s">
        <v>286</v>
      </c>
      <c r="B83" s="393"/>
      <c r="C83" s="393"/>
      <c r="D83" s="393"/>
      <c r="E83" s="393"/>
      <c r="F83" s="393">
        <v>0</v>
      </c>
      <c r="G83" s="393"/>
      <c r="H83" s="393">
        <v>0</v>
      </c>
      <c r="I83" s="393">
        <v>0</v>
      </c>
      <c r="J83" s="394" t="s">
        <v>57</v>
      </c>
      <c r="K83" s="397">
        <v>0</v>
      </c>
      <c r="L83" s="393">
        <v>0</v>
      </c>
      <c r="M83" s="393">
        <v>0</v>
      </c>
      <c r="N83" s="393">
        <v>0</v>
      </c>
      <c r="O83" s="393">
        <v>0</v>
      </c>
      <c r="P83" s="393">
        <v>0</v>
      </c>
      <c r="Q83" s="393">
        <v>0</v>
      </c>
      <c r="R83" s="393">
        <v>0</v>
      </c>
      <c r="S83" s="393">
        <v>0</v>
      </c>
      <c r="T83" s="393">
        <v>0</v>
      </c>
      <c r="U83" s="393">
        <v>0</v>
      </c>
      <c r="V83" s="393">
        <f>_xlfn.IFNA(VLOOKUP(A83,[3]進出口值表查詢結果!$C$11:$F$68,4,0),-[4]整車!$B$22)</f>
        <v>0</v>
      </c>
      <c r="W83" s="393">
        <f>_xlfn.IFNA(VLOOKUP(A83,[3]進出口值表查詢結果!$C$11:$F$68,3,0),-[4]整車!$B$22)</f>
        <v>0</v>
      </c>
      <c r="X83" s="393">
        <f>_xlfn.IFNA(VLOOKUP(A83,[5]進出口值表查詢結果!$C$11:$F$68,4,0),-[4]整車!$B$22)</f>
        <v>0</v>
      </c>
      <c r="Y83" s="393">
        <f>_xlfn.IFNA(VLOOKUP(A83,[5]進出口值表查詢結果!$C$11:$F$68,3,0),-[4]整車!$B$22)</f>
        <v>0</v>
      </c>
      <c r="Z83" s="387">
        <f t="shared" si="14"/>
        <v>0</v>
      </c>
      <c r="AA83" s="387">
        <f t="shared" si="15"/>
        <v>0</v>
      </c>
    </row>
    <row r="84" spans="1:27">
      <c r="A84" s="396"/>
      <c r="B84" s="393"/>
      <c r="C84" s="393"/>
      <c r="D84" s="393"/>
      <c r="E84" s="393"/>
      <c r="F84" s="393"/>
      <c r="G84" s="393"/>
      <c r="H84" s="393"/>
      <c r="I84" s="393"/>
      <c r="J84" s="394"/>
      <c r="K84" s="395"/>
      <c r="L84" s="393"/>
      <c r="M84" s="393"/>
      <c r="N84" s="393"/>
      <c r="O84" s="393"/>
      <c r="P84" s="393"/>
      <c r="Q84" s="393"/>
      <c r="R84" s="393"/>
      <c r="S84" s="393"/>
      <c r="T84" s="393"/>
      <c r="U84" s="393"/>
      <c r="V84" s="393"/>
      <c r="W84" s="393"/>
      <c r="X84" s="393"/>
      <c r="Y84" s="393"/>
      <c r="Z84" s="387"/>
      <c r="AA84" s="387"/>
    </row>
    <row r="85" spans="1:27">
      <c r="A85" s="413" t="s">
        <v>45</v>
      </c>
      <c r="B85" s="414">
        <f t="shared" ref="B85:Y85" si="16">SUM(B86:B95)</f>
        <v>4580</v>
      </c>
      <c r="C85" s="414">
        <f t="shared" si="16"/>
        <v>4189345</v>
      </c>
      <c r="D85" s="414">
        <f t="shared" si="16"/>
        <v>4981</v>
      </c>
      <c r="E85" s="414">
        <f t="shared" si="16"/>
        <v>3563822</v>
      </c>
      <c r="F85" s="414">
        <f t="shared" si="16"/>
        <v>4938</v>
      </c>
      <c r="G85" s="414">
        <f t="shared" si="16"/>
        <v>4345204</v>
      </c>
      <c r="H85" s="414">
        <f t="shared" si="16"/>
        <v>4040</v>
      </c>
      <c r="I85" s="414">
        <f t="shared" si="16"/>
        <v>2474863</v>
      </c>
      <c r="J85" s="415">
        <f t="shared" si="16"/>
        <v>3564</v>
      </c>
      <c r="K85" s="416">
        <f>SUM(K86:K95)</f>
        <v>3664756</v>
      </c>
      <c r="L85" s="414">
        <f t="shared" si="16"/>
        <v>6992</v>
      </c>
      <c r="M85" s="414">
        <f t="shared" si="16"/>
        <v>7057607</v>
      </c>
      <c r="N85" s="414">
        <f t="shared" si="16"/>
        <v>9419</v>
      </c>
      <c r="O85" s="414">
        <f t="shared" si="16"/>
        <v>9080258</v>
      </c>
      <c r="P85" s="414">
        <f t="shared" si="16"/>
        <v>18596</v>
      </c>
      <c r="Q85" s="414">
        <f t="shared" si="16"/>
        <v>13272347</v>
      </c>
      <c r="R85" s="414">
        <f t="shared" si="16"/>
        <v>16559</v>
      </c>
      <c r="S85" s="414">
        <f t="shared" si="16"/>
        <v>10409447</v>
      </c>
      <c r="T85" s="414">
        <f t="shared" si="16"/>
        <v>9960</v>
      </c>
      <c r="U85" s="414">
        <f t="shared" si="16"/>
        <v>6716352</v>
      </c>
      <c r="V85" s="414">
        <f>SUM(V86:V95)</f>
        <v>10701</v>
      </c>
      <c r="W85" s="414">
        <f>SUM(W86:W95)</f>
        <v>9725369</v>
      </c>
      <c r="X85" s="414">
        <f t="shared" si="16"/>
        <v>14699</v>
      </c>
      <c r="Y85" s="414">
        <f t="shared" si="16"/>
        <v>10190062</v>
      </c>
      <c r="Z85" s="400">
        <f t="shared" ref="Z85:Z95" si="17">SUM(B85,D85,F85,H85,J85,L85,N85,P85,R85,T85,V85,X85)</f>
        <v>109029</v>
      </c>
      <c r="AA85" s="400">
        <f t="shared" ref="AA85:AA95" si="18">SUM(C85,E85,G85,I85,K85,M85,O85,Q85,S85,U85,W85,Y85)</f>
        <v>84689432</v>
      </c>
    </row>
    <row r="86" spans="1:27">
      <c r="A86" s="429" t="s">
        <v>172</v>
      </c>
      <c r="B86" s="393">
        <v>4150</v>
      </c>
      <c r="C86" s="393">
        <v>3694908</v>
      </c>
      <c r="D86" s="393">
        <v>4032</v>
      </c>
      <c r="E86" s="393">
        <v>2636975</v>
      </c>
      <c r="F86" s="393">
        <v>4087</v>
      </c>
      <c r="G86" s="393">
        <v>3599502</v>
      </c>
      <c r="H86" s="393">
        <v>3562</v>
      </c>
      <c r="I86" s="393">
        <v>1835676</v>
      </c>
      <c r="J86" s="394">
        <v>2839</v>
      </c>
      <c r="K86" s="395">
        <v>2636423</v>
      </c>
      <c r="L86" s="393">
        <v>5737</v>
      </c>
      <c r="M86" s="393">
        <v>5468499</v>
      </c>
      <c r="N86" s="407">
        <v>7440</v>
      </c>
      <c r="O86" s="407">
        <v>6804533</v>
      </c>
      <c r="P86" s="393">
        <v>15662</v>
      </c>
      <c r="Q86" s="393">
        <v>10198676</v>
      </c>
      <c r="R86" s="393">
        <v>14530</v>
      </c>
      <c r="S86" s="393">
        <v>8126261</v>
      </c>
      <c r="T86" s="393">
        <v>8369</v>
      </c>
      <c r="U86" s="393">
        <v>5188023</v>
      </c>
      <c r="V86" s="393">
        <f>_xlfn.IFNA(VLOOKUP(A86,[3]進出口值表查詢結果!$C$11:$F$68,4,0),-[4]整車!$B$22)</f>
        <v>8737</v>
      </c>
      <c r="W86" s="393">
        <f>_xlfn.IFNA(VLOOKUP(A86,[3]進出口值表查詢結果!$C$11:$F$68,3,0),-[4]整車!$B$22)</f>
        <v>7518300</v>
      </c>
      <c r="X86" s="393">
        <f>_xlfn.IFNA(VLOOKUP(A86,[5]進出口值表查詢結果!$C$11:$F$68,4,0),-[4]整車!$B$22)</f>
        <v>12512</v>
      </c>
      <c r="Y86" s="393">
        <f>_xlfn.IFNA(VLOOKUP(A86,[5]進出口值表查詢結果!$C$11:$F$68,3,0),-[4]整車!$B$22)</f>
        <v>8168473</v>
      </c>
      <c r="Z86" s="387">
        <f t="shared" si="17"/>
        <v>91657</v>
      </c>
      <c r="AA86" s="387">
        <f t="shared" si="18"/>
        <v>65876249</v>
      </c>
    </row>
    <row r="87" spans="1:27">
      <c r="A87" s="429" t="s">
        <v>287</v>
      </c>
      <c r="B87" s="393"/>
      <c r="C87" s="393"/>
      <c r="D87" s="393"/>
      <c r="E87" s="393"/>
      <c r="F87" s="393">
        <v>0</v>
      </c>
      <c r="G87" s="393"/>
      <c r="H87" s="393">
        <v>0</v>
      </c>
      <c r="I87" s="393">
        <v>0</v>
      </c>
      <c r="J87" s="394">
        <v>0</v>
      </c>
      <c r="K87" s="397">
        <v>0</v>
      </c>
      <c r="L87" s="393">
        <v>0</v>
      </c>
      <c r="M87" s="393">
        <v>0</v>
      </c>
      <c r="N87" s="393">
        <v>0</v>
      </c>
      <c r="O87" s="393">
        <v>0</v>
      </c>
      <c r="P87" s="393">
        <v>0</v>
      </c>
      <c r="Q87" s="393">
        <v>0</v>
      </c>
      <c r="R87" s="393">
        <v>0</v>
      </c>
      <c r="S87" s="393">
        <v>0</v>
      </c>
      <c r="T87" s="393"/>
      <c r="U87" s="393"/>
      <c r="V87" s="393">
        <f>_xlfn.IFNA(VLOOKUP(A87,[3]進出口值表查詢結果!$C$11:$F$68,4,0),-[4]整車!$B$22)</f>
        <v>0</v>
      </c>
      <c r="W87" s="393">
        <f>_xlfn.IFNA(VLOOKUP(A87,[3]進出口值表查詢結果!$C$11:$F$68,3,0),-[4]整車!$B$22)</f>
        <v>0</v>
      </c>
      <c r="X87" s="393">
        <f>_xlfn.IFNA(VLOOKUP(A87,[5]進出口值表查詢結果!$C$11:$F$68,4,0),-[4]整車!$B$22)</f>
        <v>0</v>
      </c>
      <c r="Y87" s="393">
        <f>_xlfn.IFNA(VLOOKUP(A87,[5]進出口值表查詢結果!$C$11:$F$68,3,0),-[4]整車!$B$22)</f>
        <v>0</v>
      </c>
      <c r="Z87" s="387">
        <f t="shared" si="17"/>
        <v>0</v>
      </c>
      <c r="AA87" s="387">
        <f t="shared" si="18"/>
        <v>0</v>
      </c>
    </row>
    <row r="88" spans="1:27">
      <c r="A88" s="429" t="s">
        <v>171</v>
      </c>
      <c r="B88" s="393">
        <v>399</v>
      </c>
      <c r="C88" s="393">
        <v>445420</v>
      </c>
      <c r="D88" s="393">
        <v>924</v>
      </c>
      <c r="E88" s="393">
        <v>877548</v>
      </c>
      <c r="F88" s="393">
        <v>851</v>
      </c>
      <c r="G88" s="393">
        <v>745702</v>
      </c>
      <c r="H88" s="393">
        <v>478</v>
      </c>
      <c r="I88" s="393">
        <v>639187</v>
      </c>
      <c r="J88" s="394">
        <v>694</v>
      </c>
      <c r="K88" s="395">
        <v>961243</v>
      </c>
      <c r="L88" s="393">
        <v>1089</v>
      </c>
      <c r="M88" s="393">
        <v>1332104</v>
      </c>
      <c r="N88" s="407">
        <v>1942</v>
      </c>
      <c r="O88" s="407">
        <v>2269776</v>
      </c>
      <c r="P88" s="393">
        <v>2862</v>
      </c>
      <c r="Q88" s="393">
        <v>2963505</v>
      </c>
      <c r="R88" s="393">
        <v>2009</v>
      </c>
      <c r="S88" s="393">
        <v>2248234</v>
      </c>
      <c r="T88" s="393">
        <v>1565</v>
      </c>
      <c r="U88" s="393">
        <v>1482993</v>
      </c>
      <c r="V88" s="393">
        <f>_xlfn.IFNA(VLOOKUP(A88,[3]進出口值表查詢結果!$C$11:$F$68,4,0),-[4]整車!$B$22)</f>
        <v>1783</v>
      </c>
      <c r="W88" s="393">
        <f>_xlfn.IFNA(VLOOKUP(A88,[3]進出口值表查詢結果!$C$11:$F$68,3,0),-[4]整車!$B$22)</f>
        <v>1858681</v>
      </c>
      <c r="X88" s="393">
        <f>_xlfn.IFNA(VLOOKUP(A88,[5]進出口值表查詢結果!$C$11:$F$68,4,0),-[4]整車!$B$22)</f>
        <v>2182</v>
      </c>
      <c r="Y88" s="393">
        <f>_xlfn.IFNA(VLOOKUP(A88,[5]進出口值表查詢結果!$C$11:$F$68,3,0),-[4]整車!$B$22)</f>
        <v>2014871</v>
      </c>
      <c r="Z88" s="387">
        <f t="shared" si="17"/>
        <v>16778</v>
      </c>
      <c r="AA88" s="387">
        <f t="shared" si="18"/>
        <v>17839264</v>
      </c>
    </row>
    <row r="89" spans="1:27">
      <c r="A89" s="429" t="s">
        <v>290</v>
      </c>
      <c r="B89" s="393"/>
      <c r="C89" s="393"/>
      <c r="D89" s="393"/>
      <c r="E89" s="393"/>
      <c r="F89" s="393">
        <v>0</v>
      </c>
      <c r="G89" s="393"/>
      <c r="H89" s="393">
        <v>0</v>
      </c>
      <c r="I89" s="393">
        <v>0</v>
      </c>
      <c r="J89" s="394" t="s">
        <v>57</v>
      </c>
      <c r="K89" s="397">
        <v>0</v>
      </c>
      <c r="L89" s="393">
        <v>0</v>
      </c>
      <c r="M89" s="393">
        <v>0</v>
      </c>
      <c r="N89" s="393">
        <v>0</v>
      </c>
      <c r="O89" s="393">
        <v>0</v>
      </c>
      <c r="P89" s="393">
        <v>0</v>
      </c>
      <c r="Q89" s="393">
        <v>0</v>
      </c>
      <c r="R89" s="393">
        <v>0</v>
      </c>
      <c r="S89" s="393">
        <v>0</v>
      </c>
      <c r="T89" s="393"/>
      <c r="U89" s="393"/>
      <c r="V89" s="393">
        <f>_xlfn.IFNA(VLOOKUP(A89,[3]進出口值表查詢結果!$C$11:$F$68,4,0),-[4]整車!$B$22)</f>
        <v>0</v>
      </c>
      <c r="W89" s="393">
        <f>_xlfn.IFNA(VLOOKUP(A89,[3]進出口值表查詢結果!$C$11:$F$68,3,0),-[4]整車!$B$22)</f>
        <v>0</v>
      </c>
      <c r="X89" s="393">
        <f>_xlfn.IFNA(VLOOKUP(A89,[5]進出口值表查詢結果!$C$11:$F$68,4,0),-[4]整車!$B$22)</f>
        <v>0</v>
      </c>
      <c r="Y89" s="393">
        <f>_xlfn.IFNA(VLOOKUP(A89,[5]進出口值表查詢結果!$C$11:$F$68,3,0),-[4]整車!$B$22)</f>
        <v>0</v>
      </c>
      <c r="Z89" s="387">
        <f t="shared" si="17"/>
        <v>0</v>
      </c>
      <c r="AA89" s="387">
        <f t="shared" si="18"/>
        <v>0</v>
      </c>
    </row>
    <row r="90" spans="1:27">
      <c r="A90" s="429" t="s">
        <v>289</v>
      </c>
      <c r="B90" s="393">
        <v>5</v>
      </c>
      <c r="C90" s="393">
        <v>13029</v>
      </c>
      <c r="D90" s="393">
        <v>25</v>
      </c>
      <c r="E90" s="393">
        <v>49299</v>
      </c>
      <c r="F90" s="393">
        <v>0</v>
      </c>
      <c r="G90" s="393"/>
      <c r="H90" s="393">
        <v>0</v>
      </c>
      <c r="I90" s="393">
        <v>0</v>
      </c>
      <c r="J90" s="394">
        <v>31</v>
      </c>
      <c r="K90" s="395">
        <v>67090</v>
      </c>
      <c r="L90" s="393">
        <v>166</v>
      </c>
      <c r="M90" s="393">
        <v>257004</v>
      </c>
      <c r="N90" s="407">
        <v>2</v>
      </c>
      <c r="O90" s="393">
        <v>2535</v>
      </c>
      <c r="P90" s="393">
        <v>72</v>
      </c>
      <c r="Q90" s="393">
        <v>110166</v>
      </c>
      <c r="R90" s="393">
        <v>20</v>
      </c>
      <c r="S90" s="393">
        <v>34952</v>
      </c>
      <c r="T90" s="393">
        <v>26</v>
      </c>
      <c r="U90" s="393">
        <v>45336</v>
      </c>
      <c r="V90" s="393">
        <f>_xlfn.IFNA(VLOOKUP(A90,[3]進出口值表查詢結果!$C$11:$F$68,4,0),-[4]整車!$B$22)</f>
        <v>156</v>
      </c>
      <c r="W90" s="393">
        <f>_xlfn.IFNA(VLOOKUP(A90,[3]進出口值表查詢結果!$C$11:$F$68,3,0),-[4]整車!$B$22)</f>
        <v>316499</v>
      </c>
      <c r="X90" s="393">
        <f>_xlfn.IFNA(VLOOKUP(A90,[5]進出口值表查詢結果!$C$11:$F$68,4,0),-[4]整車!$B$22)</f>
        <v>5</v>
      </c>
      <c r="Y90" s="393">
        <f>_xlfn.IFNA(VLOOKUP(A90,[5]進出口值表查詢結果!$C$11:$F$68,3,0),-[4]整車!$B$22)</f>
        <v>6718</v>
      </c>
      <c r="Z90" s="387">
        <f t="shared" si="17"/>
        <v>508</v>
      </c>
      <c r="AA90" s="387">
        <f t="shared" si="18"/>
        <v>902628</v>
      </c>
    </row>
    <row r="91" spans="1:27">
      <c r="A91" s="429" t="s">
        <v>291</v>
      </c>
      <c r="B91" s="393"/>
      <c r="C91" s="393"/>
      <c r="D91" s="393"/>
      <c r="E91" s="393"/>
      <c r="F91" s="393">
        <v>0</v>
      </c>
      <c r="G91" s="393"/>
      <c r="H91" s="393">
        <v>0</v>
      </c>
      <c r="I91" s="393">
        <v>0</v>
      </c>
      <c r="J91" s="394" t="s">
        <v>57</v>
      </c>
      <c r="K91" s="397">
        <v>0</v>
      </c>
      <c r="L91" s="393">
        <v>0</v>
      </c>
      <c r="M91" s="393">
        <v>0</v>
      </c>
      <c r="N91" s="393">
        <v>0</v>
      </c>
      <c r="O91" s="393">
        <v>0</v>
      </c>
      <c r="P91" s="393">
        <v>0</v>
      </c>
      <c r="Q91" s="393">
        <v>0</v>
      </c>
      <c r="R91" s="393">
        <v>0</v>
      </c>
      <c r="S91" s="393">
        <v>0</v>
      </c>
      <c r="T91" s="393"/>
      <c r="U91" s="393"/>
      <c r="V91" s="393">
        <f>_xlfn.IFNA(VLOOKUP(A91,[3]進出口值表查詢結果!$C$11:$F$68,4,0),-[4]整車!$B$22)</f>
        <v>0</v>
      </c>
      <c r="W91" s="393">
        <f>_xlfn.IFNA(VLOOKUP(A91,[3]進出口值表查詢結果!$C$11:$F$68,3,0),-[4]整車!$B$22)</f>
        <v>0</v>
      </c>
      <c r="X91" s="393">
        <f>_xlfn.IFNA(VLOOKUP(A91,[5]進出口值表查詢結果!$C$11:$F$68,4,0),-[4]整車!$B$22)</f>
        <v>0</v>
      </c>
      <c r="Y91" s="393">
        <f>_xlfn.IFNA(VLOOKUP(A91,[5]進出口值表查詢結果!$C$11:$F$68,3,0),-[4]整車!$B$22)</f>
        <v>0</v>
      </c>
      <c r="Z91" s="387">
        <f t="shared" si="17"/>
        <v>0</v>
      </c>
      <c r="AA91" s="387">
        <f t="shared" si="18"/>
        <v>0</v>
      </c>
    </row>
    <row r="92" spans="1:27">
      <c r="A92" s="429" t="s">
        <v>394</v>
      </c>
      <c r="B92" s="393">
        <v>26</v>
      </c>
      <c r="C92" s="393">
        <v>35988</v>
      </c>
      <c r="D92" s="393"/>
      <c r="E92" s="393"/>
      <c r="F92" s="393">
        <v>0</v>
      </c>
      <c r="G92" s="393"/>
      <c r="H92" s="393">
        <v>0</v>
      </c>
      <c r="I92" s="393">
        <v>0</v>
      </c>
      <c r="J92" s="394" t="s">
        <v>57</v>
      </c>
      <c r="K92" s="397">
        <v>0</v>
      </c>
      <c r="L92" s="393">
        <v>0</v>
      </c>
      <c r="M92" s="393">
        <v>0</v>
      </c>
      <c r="N92" s="393">
        <v>0</v>
      </c>
      <c r="O92" s="393">
        <v>0</v>
      </c>
      <c r="P92" s="393">
        <v>0</v>
      </c>
      <c r="Q92" s="393">
        <v>0</v>
      </c>
      <c r="R92" s="393">
        <v>0</v>
      </c>
      <c r="S92" s="393">
        <v>0</v>
      </c>
      <c r="T92" s="393"/>
      <c r="U92" s="393"/>
      <c r="V92" s="393">
        <f>_xlfn.IFNA(VLOOKUP(A92,[3]進出口值表查詢結果!$C$11:$F$68,4,0),-[4]整車!$B$22)</f>
        <v>25</v>
      </c>
      <c r="W92" s="393">
        <f>_xlfn.IFNA(VLOOKUP(A92,[3]進出口值表查詢結果!$C$11:$F$68,3,0),-[4]整車!$B$22)</f>
        <v>31889</v>
      </c>
      <c r="X92" s="393">
        <f>_xlfn.IFNA(VLOOKUP(A92,[5]進出口值表查詢結果!$C$11:$F$68,4,0),-[4]整車!$B$22)</f>
        <v>0</v>
      </c>
      <c r="Y92" s="393">
        <f>_xlfn.IFNA(VLOOKUP(A92,[5]進出口值表查詢結果!$C$11:$F$68,3,0),-[4]整車!$B$22)</f>
        <v>0</v>
      </c>
      <c r="Z92" s="387">
        <f t="shared" si="17"/>
        <v>51</v>
      </c>
      <c r="AA92" s="387">
        <f t="shared" si="18"/>
        <v>67877</v>
      </c>
    </row>
    <row r="93" spans="1:27">
      <c r="A93" s="429" t="s">
        <v>293</v>
      </c>
      <c r="B93" s="393"/>
      <c r="C93" s="393"/>
      <c r="D93" s="393"/>
      <c r="E93" s="393"/>
      <c r="F93" s="393">
        <v>0</v>
      </c>
      <c r="G93" s="393"/>
      <c r="H93" s="393">
        <v>0</v>
      </c>
      <c r="I93" s="393">
        <v>0</v>
      </c>
      <c r="J93" s="394" t="s">
        <v>57</v>
      </c>
      <c r="K93" s="397">
        <v>0</v>
      </c>
      <c r="L93" s="393">
        <v>0</v>
      </c>
      <c r="M93" s="393">
        <v>0</v>
      </c>
      <c r="N93" s="407">
        <v>35</v>
      </c>
      <c r="O93" s="407">
        <v>3414</v>
      </c>
      <c r="P93" s="393">
        <v>0</v>
      </c>
      <c r="Q93" s="393">
        <v>0</v>
      </c>
      <c r="R93" s="393">
        <v>0</v>
      </c>
      <c r="S93" s="393">
        <v>0</v>
      </c>
      <c r="T93" s="393"/>
      <c r="U93" s="393"/>
      <c r="V93" s="393">
        <f>_xlfn.IFNA(VLOOKUP(A93,[3]進出口值表查詢結果!$C$11:$F$68,4,0),-[4]整車!$B$22)</f>
        <v>0</v>
      </c>
      <c r="W93" s="393">
        <f>_xlfn.IFNA(VLOOKUP(A93,[3]進出口值表查詢結果!$C$11:$F$68,3,0),-[4]整車!$B$22)</f>
        <v>0</v>
      </c>
      <c r="X93" s="393">
        <f>_xlfn.IFNA(VLOOKUP(A93,[5]進出口值表查詢結果!$C$11:$F$68,4,0),-[4]整車!$B$22)</f>
        <v>0</v>
      </c>
      <c r="Y93" s="393">
        <f>_xlfn.IFNA(VLOOKUP(A93,[5]進出口值表查詢結果!$C$11:$F$68,3,0),-[4]整車!$B$22)</f>
        <v>0</v>
      </c>
      <c r="Z93" s="387">
        <f t="shared" si="17"/>
        <v>35</v>
      </c>
      <c r="AA93" s="387">
        <f t="shared" si="18"/>
        <v>3414</v>
      </c>
    </row>
    <row r="94" spans="1:27">
      <c r="A94" s="429" t="s">
        <v>292</v>
      </c>
      <c r="B94" s="393"/>
      <c r="C94" s="393"/>
      <c r="D94" s="393"/>
      <c r="E94" s="393"/>
      <c r="F94" s="393">
        <v>0</v>
      </c>
      <c r="G94" s="393"/>
      <c r="H94" s="393">
        <v>0</v>
      </c>
      <c r="I94" s="393">
        <v>0</v>
      </c>
      <c r="J94" s="394" t="s">
        <v>57</v>
      </c>
      <c r="K94" s="397">
        <v>0</v>
      </c>
      <c r="L94" s="393">
        <v>0</v>
      </c>
      <c r="M94" s="393">
        <v>0</v>
      </c>
      <c r="N94" s="393">
        <v>0</v>
      </c>
      <c r="O94" s="393">
        <v>0</v>
      </c>
      <c r="P94" s="393">
        <v>0</v>
      </c>
      <c r="Q94" s="393">
        <v>0</v>
      </c>
      <c r="R94" s="393">
        <v>0</v>
      </c>
      <c r="S94" s="393">
        <v>0</v>
      </c>
      <c r="T94" s="393"/>
      <c r="U94" s="393"/>
      <c r="V94" s="393">
        <f>_xlfn.IFNA(VLOOKUP(A94,[3]進出口值表查詢結果!$C$11:$F$68,4,0),-[4]整車!$B$22)</f>
        <v>0</v>
      </c>
      <c r="W94" s="393">
        <f>_xlfn.IFNA(VLOOKUP(A94,[3]進出口值表查詢結果!$C$11:$F$68,3,0),-[4]整車!$B$22)</f>
        <v>0</v>
      </c>
      <c r="X94" s="393">
        <f>_xlfn.IFNA(VLOOKUP(A94,[5]進出口值表查詢結果!$C$11:$F$68,4,0),-[4]整車!$B$22)</f>
        <v>0</v>
      </c>
      <c r="Y94" s="393">
        <f>_xlfn.IFNA(VLOOKUP(A94,[5]進出口值表查詢結果!$C$11:$F$68,3,0),-[4]整車!$B$22)</f>
        <v>0</v>
      </c>
      <c r="Z94" s="387">
        <f t="shared" si="17"/>
        <v>0</v>
      </c>
      <c r="AA94" s="387">
        <f t="shared" si="18"/>
        <v>0</v>
      </c>
    </row>
    <row r="95" spans="1:27">
      <c r="A95" s="431" t="s">
        <v>294</v>
      </c>
      <c r="B95" s="387"/>
      <c r="C95" s="387"/>
      <c r="D95" s="387"/>
      <c r="E95" s="393"/>
      <c r="F95" s="387">
        <v>0</v>
      </c>
      <c r="G95" s="387"/>
      <c r="H95" s="393">
        <v>0</v>
      </c>
      <c r="I95" s="393">
        <v>0</v>
      </c>
      <c r="J95" s="380" t="s">
        <v>57</v>
      </c>
      <c r="K95" s="397">
        <v>0</v>
      </c>
      <c r="L95" s="387">
        <v>0</v>
      </c>
      <c r="M95" s="387">
        <v>0</v>
      </c>
      <c r="N95" s="387">
        <v>0</v>
      </c>
      <c r="O95" s="387">
        <v>0</v>
      </c>
      <c r="P95" s="393">
        <v>0</v>
      </c>
      <c r="Q95" s="393">
        <v>0</v>
      </c>
      <c r="R95" s="393">
        <v>0</v>
      </c>
      <c r="S95" s="393">
        <v>0</v>
      </c>
      <c r="T95" s="387"/>
      <c r="U95" s="387"/>
      <c r="V95" s="393">
        <f>_xlfn.IFNA(VLOOKUP(A95,[3]進出口值表查詢結果!$C$11:$F$68,4,0),-[4]整車!$B$22)</f>
        <v>0</v>
      </c>
      <c r="W95" s="393">
        <f>_xlfn.IFNA(VLOOKUP(A95,[3]進出口值表查詢結果!$C$11:$F$68,3,0),-[4]整車!$B$22)</f>
        <v>0</v>
      </c>
      <c r="X95" s="393">
        <f>_xlfn.IFNA(VLOOKUP(A95,[5]進出口值表查詢結果!$C$11:$F$68,4,0),-[4]整車!$B$22)</f>
        <v>0</v>
      </c>
      <c r="Y95" s="393">
        <f>_xlfn.IFNA(VLOOKUP(A95,[5]進出口值表查詢結果!$C$11:$F$68,3,0),-[4]整車!$B$22)</f>
        <v>0</v>
      </c>
      <c r="Z95" s="387">
        <f t="shared" si="17"/>
        <v>0</v>
      </c>
      <c r="AA95" s="387">
        <f t="shared" si="18"/>
        <v>0</v>
      </c>
    </row>
    <row r="96" spans="1:27">
      <c r="A96" s="386"/>
      <c r="B96" s="387"/>
      <c r="C96" s="387"/>
      <c r="D96" s="387"/>
      <c r="E96" s="387"/>
      <c r="F96" s="387"/>
      <c r="G96" s="387"/>
      <c r="H96" s="387"/>
      <c r="I96" s="387"/>
      <c r="J96" s="380"/>
      <c r="K96" s="381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</row>
    <row r="97" spans="1:27">
      <c r="A97" s="413" t="s">
        <v>140</v>
      </c>
      <c r="B97" s="414">
        <f t="shared" ref="B97:Y97" si="19">SUM(B98:B100)</f>
        <v>52798</v>
      </c>
      <c r="C97" s="414">
        <f t="shared" si="19"/>
        <v>33121696</v>
      </c>
      <c r="D97" s="414">
        <f t="shared" si="19"/>
        <v>50400</v>
      </c>
      <c r="E97" s="414">
        <f t="shared" si="19"/>
        <v>31534279</v>
      </c>
      <c r="F97" s="414">
        <f t="shared" si="19"/>
        <v>40988</v>
      </c>
      <c r="G97" s="414">
        <f t="shared" si="19"/>
        <v>23973578</v>
      </c>
      <c r="H97" s="414">
        <f t="shared" si="19"/>
        <v>42311</v>
      </c>
      <c r="I97" s="414">
        <f t="shared" si="19"/>
        <v>22157100</v>
      </c>
      <c r="J97" s="415">
        <f t="shared" si="19"/>
        <v>68862</v>
      </c>
      <c r="K97" s="416">
        <f t="shared" si="19"/>
        <v>39539255</v>
      </c>
      <c r="L97" s="414">
        <f t="shared" si="19"/>
        <v>61547</v>
      </c>
      <c r="M97" s="414">
        <f t="shared" si="19"/>
        <v>41765283</v>
      </c>
      <c r="N97" s="414">
        <f t="shared" si="19"/>
        <v>57860</v>
      </c>
      <c r="O97" s="414">
        <f t="shared" si="19"/>
        <v>47576440</v>
      </c>
      <c r="P97" s="414">
        <f t="shared" si="19"/>
        <v>70020</v>
      </c>
      <c r="Q97" s="414">
        <f t="shared" si="19"/>
        <v>47975910</v>
      </c>
      <c r="R97" s="414">
        <f t="shared" si="19"/>
        <v>57029</v>
      </c>
      <c r="S97" s="414">
        <f t="shared" si="19"/>
        <v>32139611</v>
      </c>
      <c r="T97" s="414">
        <f t="shared" si="19"/>
        <v>68638</v>
      </c>
      <c r="U97" s="414">
        <f t="shared" si="19"/>
        <v>38723065</v>
      </c>
      <c r="V97" s="414">
        <f>SUM(V98:V100)</f>
        <v>76863</v>
      </c>
      <c r="W97" s="414">
        <f>SUM(W98:W100)</f>
        <v>36987555</v>
      </c>
      <c r="X97" s="414">
        <f t="shared" si="19"/>
        <v>64518</v>
      </c>
      <c r="Y97" s="414">
        <f t="shared" si="19"/>
        <v>35209517</v>
      </c>
      <c r="Z97" s="400">
        <f t="shared" ref="Z97:AA100" si="20">SUM(B97,D97,F97,H97,J97,L97,N97,P97,R97,T97,V97,X97)</f>
        <v>711834</v>
      </c>
      <c r="AA97" s="400">
        <f t="shared" si="20"/>
        <v>430703289</v>
      </c>
    </row>
    <row r="98" spans="1:27">
      <c r="A98" s="429" t="s">
        <v>160</v>
      </c>
      <c r="B98" s="393">
        <v>48120</v>
      </c>
      <c r="C98" s="393">
        <v>29498633</v>
      </c>
      <c r="D98" s="393">
        <v>44184</v>
      </c>
      <c r="E98" s="393">
        <v>25012824</v>
      </c>
      <c r="F98" s="393">
        <v>37364</v>
      </c>
      <c r="G98" s="393">
        <v>20911414</v>
      </c>
      <c r="H98" s="393">
        <v>40429</v>
      </c>
      <c r="I98" s="393">
        <v>20039545</v>
      </c>
      <c r="J98" s="394">
        <v>65721</v>
      </c>
      <c r="K98" s="395">
        <v>36235280</v>
      </c>
      <c r="L98" s="393">
        <v>57262</v>
      </c>
      <c r="M98" s="393">
        <v>37300973</v>
      </c>
      <c r="N98" s="393">
        <v>52826</v>
      </c>
      <c r="O98" s="393">
        <v>41788643</v>
      </c>
      <c r="P98" s="393">
        <v>65538</v>
      </c>
      <c r="Q98" s="393">
        <v>42663542</v>
      </c>
      <c r="R98" s="393">
        <v>54118</v>
      </c>
      <c r="S98" s="393">
        <v>29005811</v>
      </c>
      <c r="T98" s="393">
        <v>65331</v>
      </c>
      <c r="U98" s="393">
        <v>34634631</v>
      </c>
      <c r="V98" s="393">
        <f>_xlfn.IFNA(VLOOKUP(A98,[3]進出口值表查詢結果!$C$11:$F$68,4,0),-[4]整車!$B$22)</f>
        <v>73370</v>
      </c>
      <c r="W98" s="393">
        <f>_xlfn.IFNA(VLOOKUP(A98,[3]進出口值表查詢結果!$C$11:$F$68,3,0),-[4]整車!$B$22)</f>
        <v>33547174</v>
      </c>
      <c r="X98" s="393">
        <f>_xlfn.IFNA(VLOOKUP(A98,[5]進出口值表查詢結果!$C$11:$F$68,4,0),-[4]整車!$B$22)</f>
        <v>60970</v>
      </c>
      <c r="Y98" s="393">
        <f>_xlfn.IFNA(VLOOKUP(A98,[5]進出口值表查詢結果!$C$11:$F$68,3,0),-[4]整車!$B$22)</f>
        <v>32188211</v>
      </c>
      <c r="Z98" s="387">
        <f t="shared" si="20"/>
        <v>665233</v>
      </c>
      <c r="AA98" s="387">
        <f t="shared" si="20"/>
        <v>382826681</v>
      </c>
    </row>
    <row r="99" spans="1:27">
      <c r="A99" s="429" t="s">
        <v>170</v>
      </c>
      <c r="B99" s="393">
        <v>4285</v>
      </c>
      <c r="C99" s="393">
        <v>3224729</v>
      </c>
      <c r="D99" s="393">
        <v>5520</v>
      </c>
      <c r="E99" s="393">
        <v>5948302</v>
      </c>
      <c r="F99" s="393">
        <v>3453</v>
      </c>
      <c r="G99" s="393">
        <v>2889944</v>
      </c>
      <c r="H99" s="393">
        <v>1520</v>
      </c>
      <c r="I99" s="393">
        <v>1622558</v>
      </c>
      <c r="J99" s="394">
        <v>2611</v>
      </c>
      <c r="K99" s="395">
        <v>2499831</v>
      </c>
      <c r="L99" s="393">
        <v>3403</v>
      </c>
      <c r="M99" s="393">
        <v>3630698</v>
      </c>
      <c r="N99" s="393">
        <v>3856</v>
      </c>
      <c r="O99" s="393">
        <v>4296622</v>
      </c>
      <c r="P99" s="393">
        <v>3208</v>
      </c>
      <c r="Q99" s="393">
        <v>3679701</v>
      </c>
      <c r="R99" s="393">
        <v>2427</v>
      </c>
      <c r="S99" s="393">
        <v>2612605</v>
      </c>
      <c r="T99" s="393">
        <v>2276</v>
      </c>
      <c r="U99" s="393">
        <v>3152428</v>
      </c>
      <c r="V99" s="393">
        <f>_xlfn.IFNA(VLOOKUP(A99,[3]進出口值表查詢結果!$C$11:$F$68,4,0),-[4]整車!$B$22)</f>
        <v>2267</v>
      </c>
      <c r="W99" s="393">
        <f>_xlfn.IFNA(VLOOKUP(A99,[3]進出口值表查詢結果!$C$11:$F$68,3,0),-[4]整車!$B$22)</f>
        <v>2558579</v>
      </c>
      <c r="X99" s="393">
        <f>_xlfn.IFNA(VLOOKUP(A99,[5]進出口值表查詢結果!$C$11:$F$68,4,0),-[4]整車!$B$22)</f>
        <v>3014</v>
      </c>
      <c r="Y99" s="393">
        <f>_xlfn.IFNA(VLOOKUP(A99,[5]進出口值表查詢結果!$C$11:$F$68,3,0),-[4]整車!$B$22)</f>
        <v>2345835</v>
      </c>
      <c r="Z99" s="387">
        <f t="shared" si="20"/>
        <v>37840</v>
      </c>
      <c r="AA99" s="387">
        <f t="shared" si="20"/>
        <v>38461832</v>
      </c>
    </row>
    <row r="100" spans="1:27">
      <c r="A100" s="429" t="s">
        <v>193</v>
      </c>
      <c r="B100" s="393">
        <v>393</v>
      </c>
      <c r="C100" s="393">
        <v>398334</v>
      </c>
      <c r="D100" s="393">
        <v>696</v>
      </c>
      <c r="E100" s="393">
        <v>573153</v>
      </c>
      <c r="F100" s="393">
        <v>171</v>
      </c>
      <c r="G100" s="393">
        <v>172220</v>
      </c>
      <c r="H100" s="393">
        <v>362</v>
      </c>
      <c r="I100" s="393">
        <v>494997</v>
      </c>
      <c r="J100" s="394">
        <v>530</v>
      </c>
      <c r="K100" s="397">
        <v>804144</v>
      </c>
      <c r="L100" s="393">
        <v>882</v>
      </c>
      <c r="M100" s="393">
        <v>833612</v>
      </c>
      <c r="N100" s="393">
        <v>1178</v>
      </c>
      <c r="O100" s="393">
        <v>1491175</v>
      </c>
      <c r="P100" s="393">
        <v>1274</v>
      </c>
      <c r="Q100" s="393">
        <v>1632667</v>
      </c>
      <c r="R100" s="393">
        <v>484</v>
      </c>
      <c r="S100" s="393">
        <v>521195</v>
      </c>
      <c r="T100" s="393">
        <v>1031</v>
      </c>
      <c r="U100" s="393">
        <v>936006</v>
      </c>
      <c r="V100" s="393">
        <f>_xlfn.IFNA(VLOOKUP(A100,[3]進出口值表查詢結果!$C$11:$F$68,4,0),-[4]整車!$B$22)</f>
        <v>1226</v>
      </c>
      <c r="W100" s="393">
        <f>_xlfn.IFNA(VLOOKUP(A100,[3]進出口值表查詢結果!$C$11:$F$68,3,0),-[4]整車!$B$22)</f>
        <v>881802</v>
      </c>
      <c r="X100" s="393">
        <f>_xlfn.IFNA(VLOOKUP(A100,[5]進出口值表查詢結果!$C$11:$F$68,4,0),-[4]整車!$B$22)</f>
        <v>534</v>
      </c>
      <c r="Y100" s="393">
        <f>_xlfn.IFNA(VLOOKUP(A100,[5]進出口值表查詢結果!$C$11:$F$68,3,0),-[4]整車!$B$22)</f>
        <v>675471</v>
      </c>
      <c r="Z100" s="387">
        <f t="shared" si="20"/>
        <v>8761</v>
      </c>
      <c r="AA100" s="387">
        <f t="shared" si="20"/>
        <v>9414776</v>
      </c>
    </row>
    <row r="101" spans="1:27">
      <c r="A101" s="396"/>
      <c r="B101" s="393"/>
      <c r="C101" s="393"/>
      <c r="D101" s="393"/>
      <c r="E101" s="393"/>
      <c r="F101" s="393"/>
      <c r="G101" s="393"/>
      <c r="H101" s="393"/>
      <c r="I101" s="393"/>
      <c r="J101" s="394"/>
      <c r="K101" s="395"/>
      <c r="L101" s="393"/>
      <c r="M101" s="393"/>
      <c r="N101" s="393"/>
      <c r="O101" s="393"/>
      <c r="P101" s="393"/>
      <c r="Q101" s="393"/>
      <c r="R101" s="393"/>
      <c r="S101" s="393"/>
      <c r="T101" s="393"/>
      <c r="U101" s="393"/>
      <c r="V101" s="393"/>
      <c r="W101" s="393"/>
      <c r="X101" s="393"/>
      <c r="Y101" s="393"/>
      <c r="Z101" s="387"/>
      <c r="AA101" s="387"/>
    </row>
    <row r="102" spans="1:27">
      <c r="A102" s="413" t="s">
        <v>43</v>
      </c>
      <c r="B102" s="414">
        <f t="shared" ref="B102:Y102" si="21">SUM(B103:B134)</f>
        <v>1934</v>
      </c>
      <c r="C102" s="414">
        <f t="shared" si="21"/>
        <v>1731089</v>
      </c>
      <c r="D102" s="414">
        <f t="shared" si="21"/>
        <v>1633</v>
      </c>
      <c r="E102" s="414">
        <f t="shared" si="21"/>
        <v>1772448</v>
      </c>
      <c r="F102" s="414">
        <f t="shared" si="21"/>
        <v>1822</v>
      </c>
      <c r="G102" s="414">
        <f t="shared" si="21"/>
        <v>2077067</v>
      </c>
      <c r="H102" s="414">
        <f t="shared" si="21"/>
        <v>906</v>
      </c>
      <c r="I102" s="414">
        <f t="shared" si="21"/>
        <v>1075357</v>
      </c>
      <c r="J102" s="415">
        <f t="shared" si="21"/>
        <v>1957</v>
      </c>
      <c r="K102" s="416">
        <f t="shared" si="21"/>
        <v>3078550</v>
      </c>
      <c r="L102" s="414">
        <f t="shared" si="21"/>
        <v>3212</v>
      </c>
      <c r="M102" s="414">
        <f t="shared" si="21"/>
        <v>4353020</v>
      </c>
      <c r="N102" s="414">
        <f t="shared" si="21"/>
        <v>3748</v>
      </c>
      <c r="O102" s="414">
        <f t="shared" si="21"/>
        <v>4915548</v>
      </c>
      <c r="P102" s="414">
        <f t="shared" si="21"/>
        <v>2931</v>
      </c>
      <c r="Q102" s="414">
        <f t="shared" si="21"/>
        <v>4038698</v>
      </c>
      <c r="R102" s="414">
        <f t="shared" si="21"/>
        <v>2759</v>
      </c>
      <c r="S102" s="414">
        <f t="shared" si="21"/>
        <v>3387332</v>
      </c>
      <c r="T102" s="414">
        <f t="shared" si="21"/>
        <v>2949</v>
      </c>
      <c r="U102" s="414">
        <f t="shared" si="21"/>
        <v>3052841</v>
      </c>
      <c r="V102" s="414">
        <f>SUM(V103:V134)</f>
        <v>1812</v>
      </c>
      <c r="W102" s="414">
        <f>SUM(W103:W134)</f>
        <v>2019548</v>
      </c>
      <c r="X102" s="414">
        <f t="shared" si="21"/>
        <v>2688</v>
      </c>
      <c r="Y102" s="414">
        <f t="shared" si="21"/>
        <v>2319383</v>
      </c>
      <c r="Z102" s="400">
        <f t="shared" ref="Z102:Z134" si="22">SUM(B102,D102,F102,H102,J102,L102,N102,P102,R102,T102,V102,X102)</f>
        <v>28351</v>
      </c>
      <c r="AA102" s="400">
        <f t="shared" ref="AA102:AA134" si="23">SUM(C102,E102,G102,I102,K102,M102,O102,Q102,S102,U102,W102,Y102)</f>
        <v>33820881</v>
      </c>
    </row>
    <row r="103" spans="1:27">
      <c r="A103" s="429" t="s">
        <v>295</v>
      </c>
      <c r="B103" s="393"/>
      <c r="C103" s="393"/>
      <c r="D103" s="393"/>
      <c r="E103" s="393"/>
      <c r="F103" s="393">
        <v>0</v>
      </c>
      <c r="G103" s="393"/>
      <c r="H103" s="393">
        <v>0</v>
      </c>
      <c r="I103" s="393">
        <v>0</v>
      </c>
      <c r="J103" s="394" t="s">
        <v>57</v>
      </c>
      <c r="K103" s="397" t="s">
        <v>57</v>
      </c>
      <c r="L103" s="393"/>
      <c r="M103" s="393"/>
      <c r="N103" s="393"/>
      <c r="O103" s="393"/>
      <c r="P103" s="393">
        <v>0</v>
      </c>
      <c r="Q103" s="393">
        <v>0</v>
      </c>
      <c r="R103" s="393">
        <v>0</v>
      </c>
      <c r="S103" s="393">
        <v>0</v>
      </c>
      <c r="T103" s="393"/>
      <c r="U103" s="393"/>
      <c r="V103" s="393">
        <f>_xlfn.IFNA(VLOOKUP(A103,[3]進出口值表查詢結果!$C$11:$F$68,4,0),-[4]整車!$B$22)</f>
        <v>0</v>
      </c>
      <c r="W103" s="393">
        <f>_xlfn.IFNA(VLOOKUP(A103,[3]進出口值表查詢結果!$C$11:$F$68,3,0),-[4]整車!$B$22)</f>
        <v>0</v>
      </c>
      <c r="X103" s="393">
        <f>_xlfn.IFNA(VLOOKUP(A103,[5]進出口值表查詢結果!$C$11:$F$68,4,0),-[4]整車!$B$22)</f>
        <v>0</v>
      </c>
      <c r="Y103" s="393">
        <f>_xlfn.IFNA(VLOOKUP(A103,[5]進出口值表查詢結果!$C$11:$F$68,3,0),-[4]整車!$B$22)</f>
        <v>0</v>
      </c>
      <c r="Z103" s="387">
        <f t="shared" si="22"/>
        <v>0</v>
      </c>
      <c r="AA103" s="387">
        <f t="shared" si="23"/>
        <v>0</v>
      </c>
    </row>
    <row r="104" spans="1:27">
      <c r="A104" s="429" t="s">
        <v>296</v>
      </c>
      <c r="B104" s="393"/>
      <c r="C104" s="393"/>
      <c r="D104" s="393"/>
      <c r="E104" s="393"/>
      <c r="F104" s="393">
        <v>0</v>
      </c>
      <c r="G104" s="393"/>
      <c r="H104" s="393">
        <v>0</v>
      </c>
      <c r="I104" s="393">
        <v>0</v>
      </c>
      <c r="J104" s="394" t="s">
        <v>57</v>
      </c>
      <c r="K104" s="397" t="s">
        <v>57</v>
      </c>
      <c r="L104" s="393"/>
      <c r="M104" s="393"/>
      <c r="N104" s="393"/>
      <c r="O104" s="393"/>
      <c r="P104" s="393">
        <v>0</v>
      </c>
      <c r="Q104" s="393">
        <v>0</v>
      </c>
      <c r="R104" s="393">
        <v>0</v>
      </c>
      <c r="S104" s="393">
        <v>0</v>
      </c>
      <c r="T104" s="393"/>
      <c r="U104" s="393"/>
      <c r="V104" s="393">
        <f>_xlfn.IFNA(VLOOKUP(A104,[3]進出口值表查詢結果!$C$11:$F$68,4,0),-[4]整車!$B$22)</f>
        <v>0</v>
      </c>
      <c r="W104" s="393">
        <f>_xlfn.IFNA(VLOOKUP(A104,[3]進出口值表查詢結果!$C$11:$F$68,3,0),-[4]整車!$B$22)</f>
        <v>0</v>
      </c>
      <c r="X104" s="393">
        <f>_xlfn.IFNA(VLOOKUP(A104,[5]進出口值表查詢結果!$C$11:$F$68,4,0),-[4]整車!$B$22)</f>
        <v>0</v>
      </c>
      <c r="Y104" s="393">
        <f>_xlfn.IFNA(VLOOKUP(A104,[5]進出口值表查詢結果!$C$11:$F$68,3,0),-[4]整車!$B$22)</f>
        <v>0</v>
      </c>
      <c r="Z104" s="387">
        <f t="shared" si="22"/>
        <v>0</v>
      </c>
      <c r="AA104" s="387">
        <f t="shared" si="23"/>
        <v>0</v>
      </c>
    </row>
    <row r="105" spans="1:27">
      <c r="A105" s="429" t="s">
        <v>186</v>
      </c>
      <c r="B105" s="393">
        <v>382</v>
      </c>
      <c r="C105" s="393">
        <v>382841</v>
      </c>
      <c r="D105" s="393">
        <v>506</v>
      </c>
      <c r="E105" s="393">
        <v>765722</v>
      </c>
      <c r="F105" s="393">
        <v>527</v>
      </c>
      <c r="G105" s="393">
        <v>600067</v>
      </c>
      <c r="H105" s="393">
        <v>281</v>
      </c>
      <c r="I105" s="393">
        <v>404903</v>
      </c>
      <c r="J105" s="394">
        <v>848</v>
      </c>
      <c r="K105" s="395">
        <v>1410992</v>
      </c>
      <c r="L105" s="393">
        <v>1653</v>
      </c>
      <c r="M105" s="393">
        <v>2346012</v>
      </c>
      <c r="N105" s="407">
        <v>944</v>
      </c>
      <c r="O105" s="407">
        <v>1389114</v>
      </c>
      <c r="P105" s="393">
        <v>509</v>
      </c>
      <c r="Q105" s="393">
        <v>808506</v>
      </c>
      <c r="R105" s="393">
        <v>533</v>
      </c>
      <c r="S105" s="393">
        <v>864334</v>
      </c>
      <c r="T105" s="393">
        <v>159</v>
      </c>
      <c r="U105" s="393">
        <v>215147</v>
      </c>
      <c r="V105" s="393">
        <f>_xlfn.IFNA(VLOOKUP(A105,[3]進出口值表查詢結果!$C$11:$F$68,4,0),-[4]整車!$B$22)</f>
        <v>323</v>
      </c>
      <c r="W105" s="393">
        <f>_xlfn.IFNA(VLOOKUP(A105,[3]進出口值表查詢結果!$C$11:$F$68,3,0),-[4]整車!$B$22)</f>
        <v>284126</v>
      </c>
      <c r="X105" s="393">
        <f>_xlfn.IFNA(VLOOKUP(A105,[5]進出口值表查詢結果!$C$11:$F$68,4,0),-[4]整車!$B$22)</f>
        <v>146</v>
      </c>
      <c r="Y105" s="393">
        <f>_xlfn.IFNA(VLOOKUP(A105,[5]進出口值表查詢結果!$C$11:$F$68,3,0),-[4]整車!$B$22)</f>
        <v>145591</v>
      </c>
      <c r="Z105" s="387">
        <f t="shared" si="22"/>
        <v>6811</v>
      </c>
      <c r="AA105" s="387">
        <f t="shared" si="23"/>
        <v>9617355</v>
      </c>
    </row>
    <row r="106" spans="1:27">
      <c r="A106" s="429" t="s">
        <v>298</v>
      </c>
      <c r="B106" s="393">
        <v>192</v>
      </c>
      <c r="C106" s="393">
        <v>147251</v>
      </c>
      <c r="D106" s="393">
        <v>186</v>
      </c>
      <c r="E106" s="393">
        <v>185042</v>
      </c>
      <c r="F106" s="393">
        <v>10</v>
      </c>
      <c r="G106" s="393">
        <v>16229</v>
      </c>
      <c r="H106" s="393">
        <v>0</v>
      </c>
      <c r="I106" s="393">
        <v>0</v>
      </c>
      <c r="J106" s="394" t="s">
        <v>57</v>
      </c>
      <c r="K106" s="397" t="s">
        <v>57</v>
      </c>
      <c r="L106" s="393">
        <v>204</v>
      </c>
      <c r="M106" s="393">
        <v>355563</v>
      </c>
      <c r="N106" s="407">
        <v>92</v>
      </c>
      <c r="O106" s="407">
        <v>125017</v>
      </c>
      <c r="P106" s="393">
        <v>232</v>
      </c>
      <c r="Q106" s="393">
        <v>213453</v>
      </c>
      <c r="R106" s="393">
        <v>211</v>
      </c>
      <c r="S106" s="393">
        <v>248506</v>
      </c>
      <c r="T106" s="393">
        <v>234</v>
      </c>
      <c r="U106" s="393">
        <v>172701</v>
      </c>
      <c r="V106" s="393">
        <f>_xlfn.IFNA(VLOOKUP(A106,[3]進出口值表查詢結果!$C$11:$F$68,4,0),-[4]整車!$B$22)</f>
        <v>169</v>
      </c>
      <c r="W106" s="393">
        <f>_xlfn.IFNA(VLOOKUP(A106,[3]進出口值表查詢結果!$C$11:$F$68,3,0),-[4]整車!$B$22)</f>
        <v>193761</v>
      </c>
      <c r="X106" s="393">
        <f>_xlfn.IFNA(VLOOKUP(A106,[5]進出口值表查詢結果!$C$11:$F$68,4,0),-[4]整車!$B$22)</f>
        <v>364</v>
      </c>
      <c r="Y106" s="393">
        <f>_xlfn.IFNA(VLOOKUP(A106,[5]進出口值表查詢結果!$C$11:$F$68,3,0),-[4]整車!$B$22)</f>
        <v>300945</v>
      </c>
      <c r="Z106" s="387">
        <f t="shared" si="22"/>
        <v>1894</v>
      </c>
      <c r="AA106" s="387">
        <f t="shared" si="23"/>
        <v>1958468</v>
      </c>
    </row>
    <row r="107" spans="1:27">
      <c r="A107" s="429" t="s">
        <v>299</v>
      </c>
      <c r="B107" s="393">
        <v>781</v>
      </c>
      <c r="C107" s="393">
        <v>548150</v>
      </c>
      <c r="D107" s="393">
        <v>111</v>
      </c>
      <c r="E107" s="393">
        <v>89240</v>
      </c>
      <c r="F107" s="393">
        <v>351</v>
      </c>
      <c r="G107" s="393">
        <v>470294</v>
      </c>
      <c r="H107" s="393">
        <v>198</v>
      </c>
      <c r="I107" s="393">
        <v>307652</v>
      </c>
      <c r="J107" s="394">
        <v>229</v>
      </c>
      <c r="K107" s="395">
        <v>430170</v>
      </c>
      <c r="L107" s="393">
        <v>510</v>
      </c>
      <c r="M107" s="393">
        <v>633446</v>
      </c>
      <c r="N107" s="407">
        <v>1151</v>
      </c>
      <c r="O107" s="407">
        <v>1551960</v>
      </c>
      <c r="P107" s="393">
        <v>889</v>
      </c>
      <c r="Q107" s="393">
        <v>1212809</v>
      </c>
      <c r="R107" s="393">
        <v>540</v>
      </c>
      <c r="S107" s="393">
        <v>582846</v>
      </c>
      <c r="T107" s="393">
        <v>602</v>
      </c>
      <c r="U107" s="393">
        <v>676489</v>
      </c>
      <c r="V107" s="393">
        <f>_xlfn.IFNA(VLOOKUP(A107,[3]進出口值表查詢結果!$C$11:$F$68,4,0),-[4]整車!$B$22)</f>
        <v>546</v>
      </c>
      <c r="W107" s="393">
        <f>_xlfn.IFNA(VLOOKUP(A107,[3]進出口值表查詢結果!$C$11:$F$68,3,0),-[4]整車!$B$22)</f>
        <v>727903</v>
      </c>
      <c r="X107" s="393">
        <f>_xlfn.IFNA(VLOOKUP(A107,[5]進出口值表查詢結果!$C$11:$F$68,4,0),-[4]整車!$B$22)</f>
        <v>233</v>
      </c>
      <c r="Y107" s="393">
        <f>_xlfn.IFNA(VLOOKUP(A107,[5]進出口值表查詢結果!$C$11:$F$68,3,0),-[4]整車!$B$22)</f>
        <v>261722</v>
      </c>
      <c r="Z107" s="387">
        <f t="shared" si="22"/>
        <v>6141</v>
      </c>
      <c r="AA107" s="387">
        <f t="shared" si="23"/>
        <v>7492681</v>
      </c>
    </row>
    <row r="108" spans="1:27">
      <c r="A108" s="429" t="s">
        <v>300</v>
      </c>
      <c r="B108" s="393">
        <v>17</v>
      </c>
      <c r="C108" s="393">
        <v>25258</v>
      </c>
      <c r="D108" s="393"/>
      <c r="E108" s="393"/>
      <c r="F108" s="393">
        <v>35</v>
      </c>
      <c r="G108" s="393">
        <v>25788</v>
      </c>
      <c r="H108" s="393">
        <v>12</v>
      </c>
      <c r="I108" s="393">
        <v>16694</v>
      </c>
      <c r="J108" s="394">
        <v>206</v>
      </c>
      <c r="K108" s="397">
        <v>450652</v>
      </c>
      <c r="L108" s="393">
        <v>105</v>
      </c>
      <c r="M108" s="393">
        <v>123626</v>
      </c>
      <c r="N108" s="393">
        <v>201</v>
      </c>
      <c r="O108" s="407">
        <v>350913</v>
      </c>
      <c r="P108" s="393">
        <v>238</v>
      </c>
      <c r="Q108" s="393">
        <v>267808</v>
      </c>
      <c r="R108" s="393">
        <v>35</v>
      </c>
      <c r="S108" s="393">
        <v>51563</v>
      </c>
      <c r="T108" s="393">
        <v>445</v>
      </c>
      <c r="U108" s="393">
        <v>486920</v>
      </c>
      <c r="V108" s="393">
        <f>_xlfn.IFNA(VLOOKUP(A108,[3]進出口值表查詢結果!$C$11:$F$68,4,0),-[4]整車!$B$22)</f>
        <v>432</v>
      </c>
      <c r="W108" s="393">
        <f>_xlfn.IFNA(VLOOKUP(A108,[3]進出口值表查詢結果!$C$11:$F$68,3,0),-[4]整車!$B$22)</f>
        <v>333448</v>
      </c>
      <c r="X108" s="393">
        <f>_xlfn.IFNA(VLOOKUP(A108,[5]進出口值表查詢結果!$C$11:$F$68,4,0),-[4]整車!$B$22)</f>
        <v>408</v>
      </c>
      <c r="Y108" s="393">
        <f>_xlfn.IFNA(VLOOKUP(A108,[5]進出口值表查詢結果!$C$11:$F$68,3,0),-[4]整車!$B$22)</f>
        <v>492827</v>
      </c>
      <c r="Z108" s="387">
        <f t="shared" si="22"/>
        <v>2134</v>
      </c>
      <c r="AA108" s="387">
        <f t="shared" si="23"/>
        <v>2625497</v>
      </c>
    </row>
    <row r="109" spans="1:27">
      <c r="A109" s="429" t="s">
        <v>395</v>
      </c>
      <c r="B109" s="393">
        <v>21</v>
      </c>
      <c r="C109" s="393">
        <v>26824</v>
      </c>
      <c r="D109" s="393"/>
      <c r="E109" s="393"/>
      <c r="F109" s="393">
        <v>99</v>
      </c>
      <c r="G109" s="393">
        <v>93761</v>
      </c>
      <c r="H109" s="393">
        <v>0</v>
      </c>
      <c r="I109" s="393">
        <v>0</v>
      </c>
      <c r="J109" s="394">
        <v>106</v>
      </c>
      <c r="K109" s="395">
        <v>83461</v>
      </c>
      <c r="L109" s="393">
        <v>38</v>
      </c>
      <c r="M109" s="393">
        <v>42862</v>
      </c>
      <c r="N109" s="407">
        <v>99</v>
      </c>
      <c r="O109" s="407">
        <v>102704</v>
      </c>
      <c r="P109" s="393">
        <v>90</v>
      </c>
      <c r="Q109" s="393">
        <v>90308</v>
      </c>
      <c r="R109" s="393">
        <v>58</v>
      </c>
      <c r="S109" s="393">
        <v>70380</v>
      </c>
      <c r="T109" s="393">
        <v>106</v>
      </c>
      <c r="U109" s="393">
        <v>106953</v>
      </c>
      <c r="V109" s="393">
        <f>_xlfn.IFNA(VLOOKUP(A109,[3]進出口值表查詢結果!$C$11:$F$68,4,0),-[4]整車!$B$22)</f>
        <v>50</v>
      </c>
      <c r="W109" s="393">
        <f>_xlfn.IFNA(VLOOKUP(A109,[3]進出口值表查詢結果!$C$11:$F$68,3,0),-[4]整車!$B$22)</f>
        <v>61248</v>
      </c>
      <c r="X109" s="393">
        <f>_xlfn.IFNA(VLOOKUP(A109,[5]進出口值表查詢結果!$C$11:$F$68,4,0),-[4]整車!$B$22)</f>
        <v>24</v>
      </c>
      <c r="Y109" s="393">
        <f>_xlfn.IFNA(VLOOKUP(A109,[5]進出口值表查詢結果!$C$11:$F$68,3,0),-[4]整車!$B$22)</f>
        <v>4829</v>
      </c>
      <c r="Z109" s="387">
        <f t="shared" si="22"/>
        <v>691</v>
      </c>
      <c r="AA109" s="387">
        <f t="shared" si="23"/>
        <v>683330</v>
      </c>
    </row>
    <row r="110" spans="1:27">
      <c r="A110" s="429" t="s">
        <v>301</v>
      </c>
      <c r="B110" s="393"/>
      <c r="C110" s="393"/>
      <c r="D110" s="393">
        <v>26</v>
      </c>
      <c r="E110" s="393">
        <v>36509</v>
      </c>
      <c r="F110" s="393">
        <v>69</v>
      </c>
      <c r="G110" s="393">
        <v>58115</v>
      </c>
      <c r="H110" s="393">
        <v>0</v>
      </c>
      <c r="I110" s="393">
        <v>0</v>
      </c>
      <c r="J110" s="394" t="s">
        <v>57</v>
      </c>
      <c r="K110" s="397" t="s">
        <v>57</v>
      </c>
      <c r="L110" s="393"/>
      <c r="M110" s="393"/>
      <c r="N110" s="393"/>
      <c r="O110" s="393"/>
      <c r="P110" s="393">
        <v>0</v>
      </c>
      <c r="Q110" s="393">
        <v>0</v>
      </c>
      <c r="R110" s="393">
        <v>0</v>
      </c>
      <c r="S110" s="393">
        <v>0</v>
      </c>
      <c r="T110" s="393"/>
      <c r="U110" s="393"/>
      <c r="V110" s="393">
        <f>_xlfn.IFNA(VLOOKUP(A110,[3]進出口值表查詢結果!$C$11:$F$68,4,0),-[4]整車!$B$22)</f>
        <v>0</v>
      </c>
      <c r="W110" s="393">
        <f>_xlfn.IFNA(VLOOKUP(A110,[3]進出口值表查詢結果!$C$11:$F$68,3,0),-[4]整車!$B$22)</f>
        <v>0</v>
      </c>
      <c r="X110" s="393">
        <f>_xlfn.IFNA(VLOOKUP(A110,[5]進出口值表查詢結果!$C$11:$F$68,4,0),-[4]整車!$B$22)</f>
        <v>0</v>
      </c>
      <c r="Y110" s="393">
        <f>_xlfn.IFNA(VLOOKUP(A110,[5]進出口值表查詢結果!$C$11:$F$68,3,0),-[4]整車!$B$22)</f>
        <v>0</v>
      </c>
      <c r="Z110" s="387">
        <f t="shared" si="22"/>
        <v>95</v>
      </c>
      <c r="AA110" s="387">
        <f t="shared" si="23"/>
        <v>94624</v>
      </c>
    </row>
    <row r="111" spans="1:27">
      <c r="A111" s="429" t="s">
        <v>302</v>
      </c>
      <c r="B111" s="393">
        <v>38</v>
      </c>
      <c r="C111" s="393">
        <v>57613</v>
      </c>
      <c r="D111" s="393">
        <v>239</v>
      </c>
      <c r="E111" s="393">
        <v>192071</v>
      </c>
      <c r="F111" s="393">
        <v>218</v>
      </c>
      <c r="G111" s="393">
        <v>140890</v>
      </c>
      <c r="H111" s="393">
        <v>5</v>
      </c>
      <c r="I111" s="393">
        <v>10500</v>
      </c>
      <c r="J111" s="394">
        <v>175</v>
      </c>
      <c r="K111" s="397">
        <v>220849</v>
      </c>
      <c r="L111" s="393">
        <v>319</v>
      </c>
      <c r="M111" s="393">
        <v>305430</v>
      </c>
      <c r="N111" s="407">
        <v>392</v>
      </c>
      <c r="O111" s="407">
        <v>586309</v>
      </c>
      <c r="P111" s="393">
        <v>106</v>
      </c>
      <c r="Q111" s="393">
        <v>196069</v>
      </c>
      <c r="R111" s="393">
        <v>435</v>
      </c>
      <c r="S111" s="393">
        <v>558493</v>
      </c>
      <c r="T111" s="393">
        <v>345</v>
      </c>
      <c r="U111" s="393">
        <v>422823</v>
      </c>
      <c r="V111" s="393">
        <f>_xlfn.IFNA(VLOOKUP(A111,[3]進出口值表查詢結果!$C$11:$F$68,4,0),-[4]整車!$B$22)</f>
        <v>81</v>
      </c>
      <c r="W111" s="393">
        <f>_xlfn.IFNA(VLOOKUP(A111,[3]進出口值表查詢結果!$C$11:$F$68,3,0),-[4]整車!$B$22)</f>
        <v>132131</v>
      </c>
      <c r="X111" s="393">
        <f>_xlfn.IFNA(VLOOKUP(A111,[5]進出口值表查詢結果!$C$11:$F$68,4,0),-[4]整車!$B$22)</f>
        <v>22</v>
      </c>
      <c r="Y111" s="393">
        <f>_xlfn.IFNA(VLOOKUP(A111,[5]進出口值表查詢結果!$C$11:$F$68,3,0),-[4]整車!$B$22)</f>
        <v>32015</v>
      </c>
      <c r="Z111" s="387">
        <f t="shared" si="22"/>
        <v>2375</v>
      </c>
      <c r="AA111" s="387">
        <f t="shared" si="23"/>
        <v>2855193</v>
      </c>
    </row>
    <row r="112" spans="1:27">
      <c r="A112" s="429" t="s">
        <v>304</v>
      </c>
      <c r="B112" s="393">
        <v>271</v>
      </c>
      <c r="C112" s="393">
        <v>335554</v>
      </c>
      <c r="D112" s="393">
        <v>333</v>
      </c>
      <c r="E112" s="393">
        <v>314324</v>
      </c>
      <c r="F112" s="393">
        <v>378</v>
      </c>
      <c r="G112" s="393">
        <v>429439</v>
      </c>
      <c r="H112" s="393">
        <v>379</v>
      </c>
      <c r="I112" s="393">
        <v>273535</v>
      </c>
      <c r="J112" s="394">
        <v>257</v>
      </c>
      <c r="K112" s="395">
        <v>307852</v>
      </c>
      <c r="L112" s="393">
        <v>224</v>
      </c>
      <c r="M112" s="393">
        <v>305162</v>
      </c>
      <c r="N112" s="407">
        <v>431</v>
      </c>
      <c r="O112" s="407">
        <v>330830</v>
      </c>
      <c r="P112" s="393">
        <v>626</v>
      </c>
      <c r="Q112" s="393">
        <v>920976</v>
      </c>
      <c r="R112" s="393">
        <v>781</v>
      </c>
      <c r="S112" s="393">
        <v>864845</v>
      </c>
      <c r="T112" s="393">
        <v>613</v>
      </c>
      <c r="U112" s="393">
        <v>641240</v>
      </c>
      <c r="V112" s="393">
        <f>_xlfn.IFNA(VLOOKUP(A112,[3]進出口值表查詢結果!$C$11:$F$68,4,0),-[4]整車!$B$22)</f>
        <v>188</v>
      </c>
      <c r="W112" s="393">
        <f>_xlfn.IFNA(VLOOKUP(A112,[3]進出口值表查詢結果!$C$11:$F$68,3,0),-[4]整車!$B$22)</f>
        <v>254834</v>
      </c>
      <c r="X112" s="393">
        <f>_xlfn.IFNA(VLOOKUP(A112,[5]進出口值表查詢結果!$C$11:$F$68,4,0),-[4]整車!$B$22)</f>
        <v>933</v>
      </c>
      <c r="Y112" s="393">
        <f>_xlfn.IFNA(VLOOKUP(A112,[5]進出口值表查詢結果!$C$11:$F$68,3,0),-[4]整車!$B$22)</f>
        <v>495836</v>
      </c>
      <c r="Z112" s="387">
        <f t="shared" si="22"/>
        <v>5414</v>
      </c>
      <c r="AA112" s="387">
        <f t="shared" si="23"/>
        <v>5474427</v>
      </c>
    </row>
    <row r="113" spans="1:27">
      <c r="A113" s="429" t="s">
        <v>305</v>
      </c>
      <c r="B113" s="393"/>
      <c r="C113" s="393"/>
      <c r="D113" s="393">
        <v>64</v>
      </c>
      <c r="E113" s="393">
        <v>60093</v>
      </c>
      <c r="F113" s="393">
        <v>13</v>
      </c>
      <c r="G113" s="393">
        <v>12413</v>
      </c>
      <c r="H113" s="393">
        <v>0</v>
      </c>
      <c r="I113" s="393">
        <v>0</v>
      </c>
      <c r="J113" s="394">
        <v>52</v>
      </c>
      <c r="K113" s="397">
        <v>77514</v>
      </c>
      <c r="L113" s="393">
        <v>0</v>
      </c>
      <c r="M113" s="393">
        <v>0</v>
      </c>
      <c r="N113" s="407">
        <v>105</v>
      </c>
      <c r="O113" s="407">
        <v>127620</v>
      </c>
      <c r="P113" s="393">
        <v>125</v>
      </c>
      <c r="Q113" s="393">
        <v>149169</v>
      </c>
      <c r="R113" s="393">
        <v>27</v>
      </c>
      <c r="S113" s="393">
        <v>36039</v>
      </c>
      <c r="T113" s="393">
        <v>211</v>
      </c>
      <c r="U113" s="393">
        <v>20138</v>
      </c>
      <c r="V113" s="393">
        <f>_xlfn.IFNA(VLOOKUP(A113,[3]進出口值表查詢結果!$C$11:$F$68,4,0),-[4]整車!$B$22)</f>
        <v>0</v>
      </c>
      <c r="W113" s="393">
        <f>_xlfn.IFNA(VLOOKUP(A113,[3]進出口值表查詢結果!$C$11:$F$68,3,0),-[4]整車!$B$22)</f>
        <v>0</v>
      </c>
      <c r="X113" s="393">
        <f>_xlfn.IFNA(VLOOKUP(A113,[5]進出口值表查詢結果!$C$11:$F$68,4,0),-[4]整車!$B$22)</f>
        <v>38</v>
      </c>
      <c r="Y113" s="393">
        <f>_xlfn.IFNA(VLOOKUP(A113,[5]進出口值表查詢結果!$C$11:$F$68,3,0),-[4]整車!$B$22)</f>
        <v>41358</v>
      </c>
      <c r="Z113" s="387">
        <f t="shared" si="22"/>
        <v>635</v>
      </c>
      <c r="AA113" s="387">
        <f t="shared" si="23"/>
        <v>524344</v>
      </c>
    </row>
    <row r="114" spans="1:27">
      <c r="A114" s="429" t="s">
        <v>306</v>
      </c>
      <c r="B114" s="393"/>
      <c r="C114" s="393"/>
      <c r="D114" s="393"/>
      <c r="E114" s="393"/>
      <c r="F114" s="393">
        <v>0</v>
      </c>
      <c r="G114" s="393"/>
      <c r="H114" s="393">
        <v>0</v>
      </c>
      <c r="I114" s="393">
        <v>0</v>
      </c>
      <c r="J114" s="394" t="s">
        <v>57</v>
      </c>
      <c r="K114" s="397" t="s">
        <v>57</v>
      </c>
      <c r="L114" s="393">
        <v>0</v>
      </c>
      <c r="M114" s="393">
        <v>0</v>
      </c>
      <c r="N114" s="393">
        <v>0</v>
      </c>
      <c r="O114" s="393">
        <v>0</v>
      </c>
      <c r="P114" s="393">
        <v>0</v>
      </c>
      <c r="Q114" s="393">
        <v>0</v>
      </c>
      <c r="R114" s="393">
        <v>65</v>
      </c>
      <c r="S114" s="393">
        <v>16882</v>
      </c>
      <c r="T114" s="393"/>
      <c r="U114" s="393"/>
      <c r="V114" s="393">
        <f>_xlfn.IFNA(VLOOKUP(A114,[3]進出口值表查詢結果!$C$11:$F$68,4,0),-[4]整車!$B$22)</f>
        <v>0</v>
      </c>
      <c r="W114" s="393">
        <f>_xlfn.IFNA(VLOOKUP(A114,[3]進出口值表查詢結果!$C$11:$F$68,3,0),-[4]整車!$B$22)</f>
        <v>0</v>
      </c>
      <c r="X114" s="393">
        <f>_xlfn.IFNA(VLOOKUP(A114,[5]進出口值表查詢結果!$C$11:$F$68,4,0),-[4]整車!$B$22)</f>
        <v>0</v>
      </c>
      <c r="Y114" s="393">
        <f>_xlfn.IFNA(VLOOKUP(A114,[5]進出口值表查詢結果!$C$11:$F$68,3,0),-[4]整車!$B$22)</f>
        <v>0</v>
      </c>
      <c r="Z114" s="387">
        <f t="shared" si="22"/>
        <v>65</v>
      </c>
      <c r="AA114" s="387">
        <f t="shared" si="23"/>
        <v>16882</v>
      </c>
    </row>
    <row r="115" spans="1:27">
      <c r="A115" s="429" t="s">
        <v>184</v>
      </c>
      <c r="B115" s="393"/>
      <c r="C115" s="393"/>
      <c r="D115" s="393"/>
      <c r="E115" s="393"/>
      <c r="F115" s="393">
        <v>0</v>
      </c>
      <c r="G115" s="393"/>
      <c r="H115" s="393">
        <v>0</v>
      </c>
      <c r="I115" s="393">
        <v>0</v>
      </c>
      <c r="J115" s="394" t="s">
        <v>57</v>
      </c>
      <c r="K115" s="397" t="s">
        <v>57</v>
      </c>
      <c r="L115" s="393">
        <v>0</v>
      </c>
      <c r="M115" s="393">
        <v>0</v>
      </c>
      <c r="N115" s="407">
        <v>36</v>
      </c>
      <c r="O115" s="407">
        <v>54902</v>
      </c>
      <c r="P115" s="393">
        <v>0</v>
      </c>
      <c r="Q115" s="393">
        <v>0</v>
      </c>
      <c r="R115" s="393">
        <v>59</v>
      </c>
      <c r="S115" s="393">
        <v>60292</v>
      </c>
      <c r="T115" s="393">
        <v>13</v>
      </c>
      <c r="U115" s="393">
        <v>24991</v>
      </c>
      <c r="V115" s="393">
        <f>_xlfn.IFNA(VLOOKUP(A115,[3]進出口值表查詢結果!$C$11:$F$68,4,0),-[4]整車!$B$22)</f>
        <v>0</v>
      </c>
      <c r="W115" s="393">
        <f>_xlfn.IFNA(VLOOKUP(A115,[3]進出口值表查詢結果!$C$11:$F$68,3,0),-[4]整車!$B$22)</f>
        <v>0</v>
      </c>
      <c r="X115" s="393">
        <f>_xlfn.IFNA(VLOOKUP(A115,[5]進出口值表查詢結果!$C$11:$F$68,4,0),-[4]整車!$B$22)</f>
        <v>90</v>
      </c>
      <c r="Y115" s="393">
        <f>_xlfn.IFNA(VLOOKUP(A115,[5]進出口值表查詢結果!$C$11:$F$68,3,0),-[4]整車!$B$22)</f>
        <v>155913</v>
      </c>
      <c r="Z115" s="387">
        <f t="shared" si="22"/>
        <v>198</v>
      </c>
      <c r="AA115" s="387">
        <f t="shared" si="23"/>
        <v>296098</v>
      </c>
    </row>
    <row r="116" spans="1:27">
      <c r="A116" s="429" t="s">
        <v>307</v>
      </c>
      <c r="B116" s="393"/>
      <c r="C116" s="393"/>
      <c r="D116" s="393">
        <v>58</v>
      </c>
      <c r="E116" s="393">
        <v>17155</v>
      </c>
      <c r="F116" s="393">
        <v>0</v>
      </c>
      <c r="G116" s="393"/>
      <c r="H116" s="393">
        <v>0</v>
      </c>
      <c r="I116" s="393">
        <v>0</v>
      </c>
      <c r="J116" s="394" t="s">
        <v>57</v>
      </c>
      <c r="K116" s="397" t="s">
        <v>57</v>
      </c>
      <c r="L116" s="393">
        <v>66</v>
      </c>
      <c r="M116" s="393">
        <v>91388</v>
      </c>
      <c r="N116" s="407">
        <v>93</v>
      </c>
      <c r="O116" s="407">
        <v>28161</v>
      </c>
      <c r="P116" s="393">
        <v>1</v>
      </c>
      <c r="Q116" s="393">
        <v>1898</v>
      </c>
      <c r="R116" s="393">
        <v>0</v>
      </c>
      <c r="S116" s="393">
        <v>0</v>
      </c>
      <c r="T116" s="393">
        <v>70</v>
      </c>
      <c r="U116" s="393">
        <v>76661</v>
      </c>
      <c r="V116" s="393">
        <f>_xlfn.IFNA(VLOOKUP(A116,[3]進出口值表查詢結果!$C$11:$F$68,4,0),-[4]整車!$B$22)</f>
        <v>0</v>
      </c>
      <c r="W116" s="393">
        <f>_xlfn.IFNA(VLOOKUP(A116,[3]進出口值表查詢結果!$C$11:$F$68,3,0),-[4]整車!$B$22)</f>
        <v>0</v>
      </c>
      <c r="X116" s="393">
        <f>_xlfn.IFNA(VLOOKUP(A116,[5]進出口值表查詢結果!$C$11:$F$68,4,0),-[4]整車!$B$22)</f>
        <v>0</v>
      </c>
      <c r="Y116" s="393">
        <f>_xlfn.IFNA(VLOOKUP(A116,[5]進出口值表查詢結果!$C$11:$F$68,3,0),-[4]整車!$B$22)</f>
        <v>0</v>
      </c>
      <c r="Z116" s="387">
        <f t="shared" si="22"/>
        <v>288</v>
      </c>
      <c r="AA116" s="387">
        <f t="shared" si="23"/>
        <v>215263</v>
      </c>
    </row>
    <row r="117" spans="1:27">
      <c r="A117" s="429" t="s">
        <v>308</v>
      </c>
      <c r="B117" s="393">
        <v>91</v>
      </c>
      <c r="C117" s="393">
        <v>105365</v>
      </c>
      <c r="D117" s="393"/>
      <c r="E117" s="393"/>
      <c r="F117" s="393">
        <v>0</v>
      </c>
      <c r="G117" s="393"/>
      <c r="H117" s="393">
        <v>0</v>
      </c>
      <c r="I117" s="393">
        <v>0</v>
      </c>
      <c r="J117" s="394" t="s">
        <v>57</v>
      </c>
      <c r="K117" s="397" t="s">
        <v>57</v>
      </c>
      <c r="L117" s="393">
        <v>0</v>
      </c>
      <c r="M117" s="393">
        <v>0</v>
      </c>
      <c r="N117" s="407">
        <v>92</v>
      </c>
      <c r="O117" s="407">
        <v>98850</v>
      </c>
      <c r="P117" s="393">
        <v>0</v>
      </c>
      <c r="Q117" s="393">
        <v>0</v>
      </c>
      <c r="R117" s="393">
        <v>0</v>
      </c>
      <c r="S117" s="393">
        <v>0</v>
      </c>
      <c r="T117" s="393"/>
      <c r="U117" s="393"/>
      <c r="V117" s="393">
        <f>_xlfn.IFNA(VLOOKUP(A117,[3]進出口值表查詢結果!$C$11:$F$68,4,0),-[4]整車!$B$22)</f>
        <v>22</v>
      </c>
      <c r="W117" s="393">
        <f>_xlfn.IFNA(VLOOKUP(A117,[3]進出口值表查詢結果!$C$11:$F$68,3,0),-[4]整車!$B$22)</f>
        <v>28492</v>
      </c>
      <c r="X117" s="393">
        <f>_xlfn.IFNA(VLOOKUP(A117,[5]進出口值表查詢結果!$C$11:$F$68,4,0),-[4]整車!$B$22)</f>
        <v>0</v>
      </c>
      <c r="Y117" s="393">
        <f>_xlfn.IFNA(VLOOKUP(A117,[5]進出口值表查詢結果!$C$11:$F$68,3,0),-[4]整車!$B$22)</f>
        <v>0</v>
      </c>
      <c r="Z117" s="387">
        <f t="shared" si="22"/>
        <v>205</v>
      </c>
      <c r="AA117" s="387">
        <f t="shared" si="23"/>
        <v>232707</v>
      </c>
    </row>
    <row r="118" spans="1:27">
      <c r="A118" s="429" t="s">
        <v>309</v>
      </c>
      <c r="B118" s="393"/>
      <c r="C118" s="393"/>
      <c r="D118" s="393"/>
      <c r="E118" s="393"/>
      <c r="F118" s="393">
        <v>0</v>
      </c>
      <c r="G118" s="393"/>
      <c r="H118" s="393">
        <v>0</v>
      </c>
      <c r="I118" s="393">
        <v>0</v>
      </c>
      <c r="J118" s="394" t="s">
        <v>57</v>
      </c>
      <c r="K118" s="397" t="s">
        <v>57</v>
      </c>
      <c r="L118" s="393">
        <v>0</v>
      </c>
      <c r="M118" s="393">
        <v>0</v>
      </c>
      <c r="N118" s="393">
        <v>0</v>
      </c>
      <c r="O118" s="393">
        <v>0</v>
      </c>
      <c r="P118" s="393">
        <v>0</v>
      </c>
      <c r="Q118" s="393">
        <v>0</v>
      </c>
      <c r="R118" s="393">
        <v>4</v>
      </c>
      <c r="S118" s="393">
        <v>4008</v>
      </c>
      <c r="T118" s="393"/>
      <c r="U118" s="393"/>
      <c r="V118" s="393">
        <f>_xlfn.IFNA(VLOOKUP(A118,[3]進出口值表查詢結果!$C$11:$F$68,4,0),-[4]整車!$B$22)</f>
        <v>0</v>
      </c>
      <c r="W118" s="393">
        <f>_xlfn.IFNA(VLOOKUP(A118,[3]進出口值表查詢結果!$C$11:$F$68,3,0),-[4]整車!$B$22)</f>
        <v>0</v>
      </c>
      <c r="X118" s="393">
        <f>_xlfn.IFNA(VLOOKUP(A118,[5]進出口值表查詢結果!$C$11:$F$68,4,0),-[4]整車!$B$22)</f>
        <v>0</v>
      </c>
      <c r="Y118" s="393">
        <f>_xlfn.IFNA(VLOOKUP(A118,[5]進出口值表查詢結果!$C$11:$F$68,3,0),-[4]整車!$B$22)</f>
        <v>0</v>
      </c>
      <c r="Z118" s="387">
        <f t="shared" si="22"/>
        <v>4</v>
      </c>
      <c r="AA118" s="387">
        <f t="shared" si="23"/>
        <v>4008</v>
      </c>
    </row>
    <row r="119" spans="1:27">
      <c r="A119" s="429" t="s">
        <v>310</v>
      </c>
      <c r="B119" s="393"/>
      <c r="C119" s="393"/>
      <c r="D119" s="393"/>
      <c r="E119" s="393"/>
      <c r="F119" s="393">
        <v>0</v>
      </c>
      <c r="G119" s="393"/>
      <c r="H119" s="393">
        <v>0</v>
      </c>
      <c r="I119" s="393">
        <v>0</v>
      </c>
      <c r="J119" s="394" t="s">
        <v>57</v>
      </c>
      <c r="K119" s="397" t="s">
        <v>57</v>
      </c>
      <c r="L119" s="393">
        <v>0</v>
      </c>
      <c r="M119" s="393">
        <v>0</v>
      </c>
      <c r="N119" s="393">
        <v>0</v>
      </c>
      <c r="O119" s="393">
        <v>0</v>
      </c>
      <c r="P119" s="393">
        <v>0</v>
      </c>
      <c r="Q119" s="393">
        <v>0</v>
      </c>
      <c r="R119" s="393">
        <v>0</v>
      </c>
      <c r="S119" s="393">
        <v>0</v>
      </c>
      <c r="T119" s="393"/>
      <c r="U119" s="393"/>
      <c r="V119" s="393">
        <f>_xlfn.IFNA(VLOOKUP(A119,[3]進出口值表查詢結果!$C$11:$F$68,4,0),-[4]整車!$B$22)</f>
        <v>0</v>
      </c>
      <c r="W119" s="393">
        <f>_xlfn.IFNA(VLOOKUP(A119,[3]進出口值表查詢結果!$C$11:$F$68,3,0),-[4]整車!$B$22)</f>
        <v>0</v>
      </c>
      <c r="X119" s="393">
        <f>_xlfn.IFNA(VLOOKUP(A119,[5]進出口值表查詢結果!$C$11:$F$68,4,0),-[4]整車!$B$22)</f>
        <v>0</v>
      </c>
      <c r="Y119" s="393">
        <f>_xlfn.IFNA(VLOOKUP(A119,[5]進出口值表查詢結果!$C$11:$F$68,3,0),-[4]整車!$B$22)</f>
        <v>0</v>
      </c>
      <c r="Z119" s="387">
        <f t="shared" si="22"/>
        <v>0</v>
      </c>
      <c r="AA119" s="387">
        <f t="shared" si="23"/>
        <v>0</v>
      </c>
    </row>
    <row r="120" spans="1:27">
      <c r="A120" s="429" t="s">
        <v>396</v>
      </c>
      <c r="B120" s="393">
        <v>30</v>
      </c>
      <c r="C120" s="393">
        <v>47684</v>
      </c>
      <c r="D120" s="393">
        <v>18</v>
      </c>
      <c r="E120" s="393">
        <v>21652</v>
      </c>
      <c r="F120" s="393">
        <v>40</v>
      </c>
      <c r="G120" s="393">
        <v>80054</v>
      </c>
      <c r="H120" s="393">
        <v>31</v>
      </c>
      <c r="I120" s="393">
        <v>62073</v>
      </c>
      <c r="J120" s="394" t="s">
        <v>57</v>
      </c>
      <c r="K120" s="397" t="s">
        <v>57</v>
      </c>
      <c r="L120" s="393">
        <v>93</v>
      </c>
      <c r="M120" s="393">
        <v>149531</v>
      </c>
      <c r="N120" s="407">
        <v>44</v>
      </c>
      <c r="O120" s="407">
        <v>69675</v>
      </c>
      <c r="P120" s="393">
        <v>115</v>
      </c>
      <c r="Q120" s="393">
        <v>177702</v>
      </c>
      <c r="R120" s="393">
        <v>11</v>
      </c>
      <c r="S120" s="393">
        <v>29144</v>
      </c>
      <c r="T120" s="393">
        <v>86</v>
      </c>
      <c r="U120" s="393">
        <v>116179</v>
      </c>
      <c r="V120" s="393">
        <f>_xlfn.IFNA(VLOOKUP(A120,[3]進出口值表查詢結果!$C$11:$F$68,4,0),-[4]整車!$B$22)</f>
        <v>1</v>
      </c>
      <c r="W120" s="393">
        <f>_xlfn.IFNA(VLOOKUP(A120,[3]進出口值表查詢結果!$C$11:$F$68,3,0),-[4]整車!$B$22)</f>
        <v>3605</v>
      </c>
      <c r="X120" s="393">
        <f>_xlfn.IFNA(VLOOKUP(A120,[5]進出口值表查詢結果!$C$11:$F$68,4,0),-[4]整車!$B$22)</f>
        <v>246</v>
      </c>
      <c r="Y120" s="393">
        <f>_xlfn.IFNA(VLOOKUP(A120,[5]進出口值表查詢結果!$C$11:$F$68,3,0),-[4]整車!$B$22)</f>
        <v>224562</v>
      </c>
      <c r="Z120" s="387">
        <f t="shared" si="22"/>
        <v>715</v>
      </c>
      <c r="AA120" s="387">
        <f t="shared" si="23"/>
        <v>981861</v>
      </c>
    </row>
    <row r="121" spans="1:27">
      <c r="A121" s="429" t="s">
        <v>311</v>
      </c>
      <c r="B121" s="393"/>
      <c r="C121" s="393"/>
      <c r="D121" s="393"/>
      <c r="E121" s="393"/>
      <c r="F121" s="393">
        <v>0</v>
      </c>
      <c r="G121" s="393"/>
      <c r="H121" s="393">
        <v>0</v>
      </c>
      <c r="I121" s="393">
        <v>0</v>
      </c>
      <c r="J121" s="394" t="s">
        <v>57</v>
      </c>
      <c r="K121" s="397" t="s">
        <v>57</v>
      </c>
      <c r="L121" s="393">
        <v>0</v>
      </c>
      <c r="M121" s="393">
        <v>0</v>
      </c>
      <c r="N121" s="393">
        <v>0</v>
      </c>
      <c r="O121" s="393">
        <v>0</v>
      </c>
      <c r="P121" s="393">
        <v>0</v>
      </c>
      <c r="Q121" s="393">
        <v>0</v>
      </c>
      <c r="R121" s="393">
        <v>0</v>
      </c>
      <c r="S121" s="393">
        <v>0</v>
      </c>
      <c r="T121" s="393"/>
      <c r="U121" s="393"/>
      <c r="V121" s="393">
        <f>_xlfn.IFNA(VLOOKUP(A121,[3]進出口值表查詢結果!$C$11:$F$68,4,0),-[4]整車!$B$22)</f>
        <v>0</v>
      </c>
      <c r="W121" s="393">
        <f>_xlfn.IFNA(VLOOKUP(A121,[3]進出口值表查詢結果!$C$11:$F$68,3,0),-[4]整車!$B$22)</f>
        <v>0</v>
      </c>
      <c r="X121" s="393">
        <f>_xlfn.IFNA(VLOOKUP(A121,[5]進出口值表查詢結果!$C$11:$F$68,4,0),-[4]整車!$B$22)</f>
        <v>0</v>
      </c>
      <c r="Y121" s="393">
        <f>_xlfn.IFNA(VLOOKUP(A121,[5]進出口值表查詢結果!$C$11:$F$68,3,0),-[4]整車!$B$22)</f>
        <v>0</v>
      </c>
      <c r="Z121" s="387">
        <f t="shared" si="22"/>
        <v>0</v>
      </c>
      <c r="AA121" s="387">
        <f t="shared" si="23"/>
        <v>0</v>
      </c>
    </row>
    <row r="122" spans="1:27">
      <c r="A122" s="429" t="s">
        <v>312</v>
      </c>
      <c r="B122" s="393"/>
      <c r="C122" s="393"/>
      <c r="D122" s="393"/>
      <c r="E122" s="393"/>
      <c r="F122" s="393">
        <v>0</v>
      </c>
      <c r="G122" s="393"/>
      <c r="H122" s="393">
        <v>0</v>
      </c>
      <c r="I122" s="393">
        <v>0</v>
      </c>
      <c r="J122" s="394" t="s">
        <v>57</v>
      </c>
      <c r="K122" s="397" t="s">
        <v>57</v>
      </c>
      <c r="L122" s="393">
        <v>0</v>
      </c>
      <c r="M122" s="393">
        <v>0</v>
      </c>
      <c r="N122" s="393">
        <v>0</v>
      </c>
      <c r="O122" s="393">
        <v>0</v>
      </c>
      <c r="P122" s="393">
        <v>0</v>
      </c>
      <c r="Q122" s="393">
        <v>0</v>
      </c>
      <c r="R122" s="393">
        <v>0</v>
      </c>
      <c r="S122" s="393">
        <v>0</v>
      </c>
      <c r="T122" s="393"/>
      <c r="U122" s="393"/>
      <c r="V122" s="393">
        <f>_xlfn.IFNA(VLOOKUP(A122,[3]進出口值表查詢結果!$C$11:$F$68,4,0),-[4]整車!$B$22)</f>
        <v>0</v>
      </c>
      <c r="W122" s="393">
        <f>_xlfn.IFNA(VLOOKUP(A122,[3]進出口值表查詢結果!$C$11:$F$68,3,0),-[4]整車!$B$22)</f>
        <v>0</v>
      </c>
      <c r="X122" s="393">
        <f>_xlfn.IFNA(VLOOKUP(A122,[5]進出口值表查詢結果!$C$11:$F$68,4,0),-[4]整車!$B$22)</f>
        <v>0</v>
      </c>
      <c r="Y122" s="393">
        <f>_xlfn.IFNA(VLOOKUP(A122,[5]進出口值表查詢結果!$C$11:$F$68,3,0),-[4]整車!$B$22)</f>
        <v>0</v>
      </c>
      <c r="Z122" s="387">
        <f t="shared" si="22"/>
        <v>0</v>
      </c>
      <c r="AA122" s="387">
        <f t="shared" si="23"/>
        <v>0</v>
      </c>
    </row>
    <row r="123" spans="1:27">
      <c r="A123" s="429" t="s">
        <v>313</v>
      </c>
      <c r="B123" s="393"/>
      <c r="C123" s="393"/>
      <c r="D123" s="393"/>
      <c r="E123" s="393"/>
      <c r="F123" s="393">
        <v>0</v>
      </c>
      <c r="G123" s="393"/>
      <c r="H123" s="393">
        <v>0</v>
      </c>
      <c r="I123" s="393">
        <v>0</v>
      </c>
      <c r="J123" s="394" t="s">
        <v>57</v>
      </c>
      <c r="K123" s="397" t="s">
        <v>57</v>
      </c>
      <c r="L123" s="393">
        <v>0</v>
      </c>
      <c r="M123" s="393">
        <v>0</v>
      </c>
      <c r="N123" s="393">
        <v>0</v>
      </c>
      <c r="O123" s="393">
        <v>0</v>
      </c>
      <c r="P123" s="393">
        <v>0</v>
      </c>
      <c r="Q123" s="393">
        <v>0</v>
      </c>
      <c r="R123" s="393">
        <v>0</v>
      </c>
      <c r="S123" s="393">
        <v>0</v>
      </c>
      <c r="T123" s="393"/>
      <c r="U123" s="393"/>
      <c r="V123" s="393">
        <f>_xlfn.IFNA(VLOOKUP(A123,[3]進出口值表查詢結果!$C$11:$F$68,4,0),-[4]整車!$B$22)</f>
        <v>0</v>
      </c>
      <c r="W123" s="393">
        <f>_xlfn.IFNA(VLOOKUP(A123,[3]進出口值表查詢結果!$C$11:$F$68,3,0),-[4]整車!$B$22)</f>
        <v>0</v>
      </c>
      <c r="X123" s="393">
        <f>_xlfn.IFNA(VLOOKUP(A123,[5]進出口值表查詢結果!$C$11:$F$68,4,0),-[4]整車!$B$22)</f>
        <v>0</v>
      </c>
      <c r="Y123" s="393">
        <f>_xlfn.IFNA(VLOOKUP(A123,[5]進出口值表查詢結果!$C$11:$F$68,3,0),-[4]整車!$B$22)</f>
        <v>0</v>
      </c>
      <c r="Z123" s="387">
        <f t="shared" si="22"/>
        <v>0</v>
      </c>
      <c r="AA123" s="387">
        <f t="shared" si="23"/>
        <v>0</v>
      </c>
    </row>
    <row r="124" spans="1:27">
      <c r="A124" s="429" t="s">
        <v>314</v>
      </c>
      <c r="B124" s="393"/>
      <c r="C124" s="393"/>
      <c r="D124" s="393"/>
      <c r="E124" s="393"/>
      <c r="F124" s="393">
        <v>0</v>
      </c>
      <c r="G124" s="393"/>
      <c r="H124" s="393">
        <v>0</v>
      </c>
      <c r="I124" s="393">
        <v>0</v>
      </c>
      <c r="J124" s="394" t="s">
        <v>57</v>
      </c>
      <c r="K124" s="397" t="s">
        <v>57</v>
      </c>
      <c r="L124" s="393">
        <v>0</v>
      </c>
      <c r="M124" s="393">
        <v>0</v>
      </c>
      <c r="N124" s="393">
        <v>0</v>
      </c>
      <c r="O124" s="393">
        <v>0</v>
      </c>
      <c r="P124" s="393">
        <v>0</v>
      </c>
      <c r="Q124" s="393">
        <v>0</v>
      </c>
      <c r="R124" s="393">
        <v>0</v>
      </c>
      <c r="S124" s="393">
        <v>0</v>
      </c>
      <c r="T124" s="393"/>
      <c r="U124" s="393"/>
      <c r="V124" s="393">
        <f>_xlfn.IFNA(VLOOKUP(A124,[3]進出口值表查詢結果!$C$11:$F$68,4,0),-[4]整車!$B$22)</f>
        <v>0</v>
      </c>
      <c r="W124" s="393">
        <f>_xlfn.IFNA(VLOOKUP(A124,[3]進出口值表查詢結果!$C$11:$F$68,3,0),-[4]整車!$B$22)</f>
        <v>0</v>
      </c>
      <c r="X124" s="393">
        <f>_xlfn.IFNA(VLOOKUP(A124,[5]進出口值表查詢結果!$C$11:$F$68,4,0),-[4]整車!$B$22)</f>
        <v>0</v>
      </c>
      <c r="Y124" s="393">
        <f>_xlfn.IFNA(VLOOKUP(A124,[5]進出口值表查詢結果!$C$11:$F$68,3,0),-[4]整車!$B$22)</f>
        <v>0</v>
      </c>
      <c r="Z124" s="387">
        <f t="shared" si="22"/>
        <v>0</v>
      </c>
      <c r="AA124" s="387">
        <f t="shared" si="23"/>
        <v>0</v>
      </c>
    </row>
    <row r="125" spans="1:27">
      <c r="A125" s="429" t="s">
        <v>315</v>
      </c>
      <c r="B125" s="393"/>
      <c r="C125" s="393"/>
      <c r="D125" s="393"/>
      <c r="E125" s="393"/>
      <c r="F125" s="393">
        <v>0</v>
      </c>
      <c r="G125" s="393"/>
      <c r="H125" s="393">
        <v>0</v>
      </c>
      <c r="I125" s="393">
        <v>0</v>
      </c>
      <c r="J125" s="394" t="s">
        <v>57</v>
      </c>
      <c r="K125" s="397" t="s">
        <v>57</v>
      </c>
      <c r="L125" s="393">
        <v>0</v>
      </c>
      <c r="M125" s="393">
        <v>0</v>
      </c>
      <c r="N125" s="393">
        <v>0</v>
      </c>
      <c r="O125" s="393">
        <v>0</v>
      </c>
      <c r="P125" s="393">
        <v>0</v>
      </c>
      <c r="Q125" s="393">
        <v>0</v>
      </c>
      <c r="R125" s="393">
        <v>0</v>
      </c>
      <c r="S125" s="393">
        <v>0</v>
      </c>
      <c r="T125" s="393"/>
      <c r="U125" s="393"/>
      <c r="V125" s="393">
        <f>_xlfn.IFNA(VLOOKUP(A125,[3]進出口值表查詢結果!$C$11:$F$68,4,0),-[4]整車!$B$22)</f>
        <v>0</v>
      </c>
      <c r="W125" s="393">
        <f>_xlfn.IFNA(VLOOKUP(A125,[3]進出口值表查詢結果!$C$11:$F$68,3,0),-[4]整車!$B$22)</f>
        <v>0</v>
      </c>
      <c r="X125" s="393">
        <f>_xlfn.IFNA(VLOOKUP(A125,[5]進出口值表查詢結果!$C$11:$F$68,4,0),-[4]整車!$B$22)</f>
        <v>0</v>
      </c>
      <c r="Y125" s="393">
        <f>_xlfn.IFNA(VLOOKUP(A125,[5]進出口值表查詢結果!$C$11:$F$68,3,0),-[4]整車!$B$22)</f>
        <v>0</v>
      </c>
      <c r="Z125" s="387">
        <f t="shared" si="22"/>
        <v>0</v>
      </c>
      <c r="AA125" s="387">
        <f t="shared" si="23"/>
        <v>0</v>
      </c>
    </row>
    <row r="126" spans="1:27">
      <c r="A126" s="429" t="s">
        <v>190</v>
      </c>
      <c r="B126" s="393"/>
      <c r="C126" s="393"/>
      <c r="D126" s="393"/>
      <c r="E126" s="393"/>
      <c r="F126" s="393">
        <v>0</v>
      </c>
      <c r="G126" s="393"/>
      <c r="H126" s="393">
        <v>0</v>
      </c>
      <c r="I126" s="393">
        <v>0</v>
      </c>
      <c r="J126" s="394" t="s">
        <v>57</v>
      </c>
      <c r="K126" s="397" t="s">
        <v>57</v>
      </c>
      <c r="L126" s="393">
        <v>0</v>
      </c>
      <c r="M126" s="393">
        <v>0</v>
      </c>
      <c r="N126" s="393">
        <v>0</v>
      </c>
      <c r="O126" s="393">
        <v>0</v>
      </c>
      <c r="P126" s="393">
        <v>0</v>
      </c>
      <c r="Q126" s="393">
        <v>0</v>
      </c>
      <c r="R126" s="393">
        <v>0</v>
      </c>
      <c r="S126" s="393">
        <v>0</v>
      </c>
      <c r="T126" s="393"/>
      <c r="U126" s="393"/>
      <c r="V126" s="393">
        <f>_xlfn.IFNA(VLOOKUP(A126,[3]進出口值表查詢結果!$C$11:$F$68,4,0),-[4]整車!$B$22)</f>
        <v>0</v>
      </c>
      <c r="W126" s="393">
        <f>_xlfn.IFNA(VLOOKUP(A126,[3]進出口值表查詢結果!$C$11:$F$68,3,0),-[4]整車!$B$22)</f>
        <v>0</v>
      </c>
      <c r="X126" s="393">
        <f>_xlfn.IFNA(VLOOKUP(A126,[5]進出口值表查詢結果!$C$11:$F$68,4,0),-[4]整車!$B$22)</f>
        <v>0</v>
      </c>
      <c r="Y126" s="393">
        <f>_xlfn.IFNA(VLOOKUP(A126,[5]進出口值表查詢結果!$C$11:$F$68,3,0),-[4]整車!$B$22)</f>
        <v>0</v>
      </c>
      <c r="Z126" s="387">
        <f t="shared" si="22"/>
        <v>0</v>
      </c>
      <c r="AA126" s="387">
        <f t="shared" si="23"/>
        <v>0</v>
      </c>
    </row>
    <row r="127" spans="1:27">
      <c r="A127" s="429" t="s">
        <v>316</v>
      </c>
      <c r="B127" s="393">
        <v>111</v>
      </c>
      <c r="C127" s="393">
        <v>54549</v>
      </c>
      <c r="D127" s="393">
        <v>92</v>
      </c>
      <c r="E127" s="393">
        <v>90640</v>
      </c>
      <c r="F127" s="393">
        <v>82</v>
      </c>
      <c r="G127" s="393">
        <v>150017</v>
      </c>
      <c r="H127" s="393">
        <v>0</v>
      </c>
      <c r="I127" s="393">
        <v>0</v>
      </c>
      <c r="J127" s="394">
        <v>84</v>
      </c>
      <c r="K127" s="395">
        <v>97060</v>
      </c>
      <c r="L127" s="393">
        <v>0</v>
      </c>
      <c r="M127" s="393">
        <v>0</v>
      </c>
      <c r="N127" s="407">
        <v>68</v>
      </c>
      <c r="O127" s="407">
        <v>99493</v>
      </c>
      <c r="P127" s="393">
        <v>0</v>
      </c>
      <c r="Q127" s="393">
        <v>0</v>
      </c>
      <c r="R127" s="393">
        <v>0</v>
      </c>
      <c r="S127" s="393">
        <v>0</v>
      </c>
      <c r="T127" s="393">
        <v>65</v>
      </c>
      <c r="U127" s="393">
        <v>92599</v>
      </c>
      <c r="V127" s="393">
        <f>_xlfn.IFNA(VLOOKUP(A127,[3]進出口值表查詢結果!$C$11:$F$68,4,0),-[4]整車!$B$22)</f>
        <v>0</v>
      </c>
      <c r="W127" s="393">
        <f>_xlfn.IFNA(VLOOKUP(A127,[3]進出口值表查詢結果!$C$11:$F$68,3,0),-[4]整車!$B$22)</f>
        <v>0</v>
      </c>
      <c r="X127" s="393">
        <f>_xlfn.IFNA(VLOOKUP(A127,[5]進出口值表查詢結果!$C$11:$F$68,4,0),-[4]整車!$B$22)</f>
        <v>184</v>
      </c>
      <c r="Y127" s="393">
        <f>_xlfn.IFNA(VLOOKUP(A127,[5]進出口值表查詢結果!$C$11:$F$68,3,0),-[4]整車!$B$22)</f>
        <v>163785</v>
      </c>
      <c r="Z127" s="387">
        <f t="shared" si="22"/>
        <v>686</v>
      </c>
      <c r="AA127" s="387">
        <f t="shared" si="23"/>
        <v>748143</v>
      </c>
    </row>
    <row r="128" spans="1:27">
      <c r="A128" s="429" t="s">
        <v>317</v>
      </c>
      <c r="B128" s="393"/>
      <c r="C128" s="393"/>
      <c r="D128" s="393"/>
      <c r="E128" s="393"/>
      <c r="F128" s="393">
        <v>0</v>
      </c>
      <c r="G128" s="393"/>
      <c r="H128" s="393">
        <v>0</v>
      </c>
      <c r="I128" s="393">
        <v>0</v>
      </c>
      <c r="J128" s="394" t="s">
        <v>57</v>
      </c>
      <c r="K128" s="397" t="s">
        <v>57</v>
      </c>
      <c r="L128" s="393">
        <v>0</v>
      </c>
      <c r="M128" s="393">
        <v>0</v>
      </c>
      <c r="N128" s="393">
        <v>0</v>
      </c>
      <c r="O128" s="393">
        <v>0</v>
      </c>
      <c r="P128" s="393">
        <v>0</v>
      </c>
      <c r="Q128" s="393">
        <v>0</v>
      </c>
      <c r="R128" s="393">
        <v>0</v>
      </c>
      <c r="S128" s="393">
        <v>0</v>
      </c>
      <c r="T128" s="393"/>
      <c r="U128" s="393"/>
      <c r="V128" s="393">
        <f>_xlfn.IFNA(VLOOKUP(A128,[3]進出口值表查詢結果!$C$11:$F$68,4,0),-[4]整車!$B$22)</f>
        <v>0</v>
      </c>
      <c r="W128" s="393">
        <f>_xlfn.IFNA(VLOOKUP(A128,[3]進出口值表查詢結果!$C$11:$F$68,3,0),-[4]整車!$B$22)</f>
        <v>0</v>
      </c>
      <c r="X128" s="393">
        <f>_xlfn.IFNA(VLOOKUP(A128,[5]進出口值表查詢結果!$C$11:$F$68,4,0),-[4]整車!$B$22)</f>
        <v>0</v>
      </c>
      <c r="Y128" s="393">
        <f>_xlfn.IFNA(VLOOKUP(A128,[5]進出口值表查詢結果!$C$11:$F$68,3,0),-[4]整車!$B$22)</f>
        <v>0</v>
      </c>
      <c r="Z128" s="387">
        <f t="shared" si="22"/>
        <v>0</v>
      </c>
      <c r="AA128" s="387">
        <f t="shared" si="23"/>
        <v>0</v>
      </c>
    </row>
    <row r="129" spans="1:27">
      <c r="A129" s="429" t="s">
        <v>318</v>
      </c>
      <c r="B129" s="393"/>
      <c r="C129" s="393"/>
      <c r="D129" s="393"/>
      <c r="E129" s="393"/>
      <c r="F129" s="393">
        <v>0</v>
      </c>
      <c r="G129" s="393"/>
      <c r="H129" s="393">
        <v>0</v>
      </c>
      <c r="I129" s="393">
        <v>0</v>
      </c>
      <c r="J129" s="394" t="s">
        <v>57</v>
      </c>
      <c r="K129" s="397" t="s">
        <v>57</v>
      </c>
      <c r="L129" s="393">
        <v>0</v>
      </c>
      <c r="M129" s="393">
        <v>0</v>
      </c>
      <c r="N129" s="393">
        <v>0</v>
      </c>
      <c r="O129" s="393">
        <v>0</v>
      </c>
      <c r="P129" s="393">
        <v>0</v>
      </c>
      <c r="Q129" s="393">
        <v>0</v>
      </c>
      <c r="R129" s="393">
        <v>0</v>
      </c>
      <c r="S129" s="393">
        <v>0</v>
      </c>
      <c r="T129" s="393"/>
      <c r="U129" s="393"/>
      <c r="V129" s="393">
        <f>_xlfn.IFNA(VLOOKUP(A129,[3]進出口值表查詢結果!$C$11:$F$68,4,0),-[4]整車!$B$22)</f>
        <v>0</v>
      </c>
      <c r="W129" s="393">
        <f>_xlfn.IFNA(VLOOKUP(A129,[3]進出口值表查詢結果!$C$11:$F$68,3,0),-[4]整車!$B$22)</f>
        <v>0</v>
      </c>
      <c r="X129" s="393">
        <f>_xlfn.IFNA(VLOOKUP(A129,[5]進出口值表查詢結果!$C$11:$F$68,4,0),-[4]整車!$B$22)</f>
        <v>0</v>
      </c>
      <c r="Y129" s="393">
        <f>_xlfn.IFNA(VLOOKUP(A129,[5]進出口值表查詢結果!$C$11:$F$68,3,0),-[4]整車!$B$22)</f>
        <v>0</v>
      </c>
      <c r="Z129" s="387">
        <f t="shared" si="22"/>
        <v>0</v>
      </c>
      <c r="AA129" s="387">
        <f t="shared" si="23"/>
        <v>0</v>
      </c>
    </row>
    <row r="130" spans="1:27">
      <c r="A130" s="392" t="s">
        <v>319</v>
      </c>
      <c r="B130" s="393"/>
      <c r="C130" s="393"/>
      <c r="D130" s="393"/>
      <c r="E130" s="393"/>
      <c r="F130" s="393">
        <v>0</v>
      </c>
      <c r="G130" s="393"/>
      <c r="H130" s="393">
        <v>0</v>
      </c>
      <c r="I130" s="393">
        <v>0</v>
      </c>
      <c r="J130" s="394" t="s">
        <v>57</v>
      </c>
      <c r="K130" s="397" t="s">
        <v>57</v>
      </c>
      <c r="L130" s="393">
        <v>0</v>
      </c>
      <c r="M130" s="393">
        <v>0</v>
      </c>
      <c r="N130" s="393">
        <v>0</v>
      </c>
      <c r="O130" s="393">
        <v>0</v>
      </c>
      <c r="P130" s="393">
        <v>0</v>
      </c>
      <c r="Q130" s="393">
        <v>0</v>
      </c>
      <c r="R130" s="393">
        <v>0</v>
      </c>
      <c r="S130" s="393">
        <v>0</v>
      </c>
      <c r="T130" s="393"/>
      <c r="U130" s="393"/>
      <c r="V130" s="393">
        <f>_xlfn.IFNA(VLOOKUP(A130,[3]進出口值表查詢結果!$C$11:$F$68,4,0),-[4]整車!$B$22)</f>
        <v>0</v>
      </c>
      <c r="W130" s="393">
        <f>_xlfn.IFNA(VLOOKUP(A130,[3]進出口值表查詢結果!$C$11:$F$68,3,0),-[4]整車!$B$22)</f>
        <v>0</v>
      </c>
      <c r="X130" s="393">
        <f>_xlfn.IFNA(VLOOKUP(A130,[5]進出口值表查詢結果!$C$11:$F$68,4,0),-[4]整車!$B$22)</f>
        <v>0</v>
      </c>
      <c r="Y130" s="393">
        <f>_xlfn.IFNA(VLOOKUP(A130,[5]進出口值表查詢結果!$C$11:$F$68,3,0),-[4]整車!$B$22)</f>
        <v>0</v>
      </c>
      <c r="Z130" s="387">
        <f t="shared" si="22"/>
        <v>0</v>
      </c>
      <c r="AA130" s="387">
        <f t="shared" si="23"/>
        <v>0</v>
      </c>
    </row>
    <row r="131" spans="1:27">
      <c r="A131" s="429" t="s">
        <v>320</v>
      </c>
      <c r="B131" s="393"/>
      <c r="C131" s="393"/>
      <c r="D131" s="393"/>
      <c r="E131" s="393"/>
      <c r="F131" s="393">
        <v>0</v>
      </c>
      <c r="G131" s="393"/>
      <c r="H131" s="393">
        <v>0</v>
      </c>
      <c r="I131" s="393">
        <v>0</v>
      </c>
      <c r="J131" s="394" t="s">
        <v>57</v>
      </c>
      <c r="K131" s="397" t="s">
        <v>57</v>
      </c>
      <c r="L131" s="393">
        <v>0</v>
      </c>
      <c r="M131" s="393">
        <v>0</v>
      </c>
      <c r="N131" s="393">
        <v>0</v>
      </c>
      <c r="O131" s="393">
        <v>0</v>
      </c>
      <c r="P131" s="393">
        <v>0</v>
      </c>
      <c r="Q131" s="393">
        <v>0</v>
      </c>
      <c r="R131" s="393">
        <v>0</v>
      </c>
      <c r="S131" s="393">
        <v>0</v>
      </c>
      <c r="T131" s="393"/>
      <c r="U131" s="393"/>
      <c r="V131" s="393">
        <f>_xlfn.IFNA(VLOOKUP(A131,[3]進出口值表查詢結果!$C$11:$F$68,4,0),-[4]整車!$B$22)</f>
        <v>0</v>
      </c>
      <c r="W131" s="393">
        <f>_xlfn.IFNA(VLOOKUP(A131,[3]進出口值表查詢結果!$C$11:$F$68,3,0),-[4]整車!$B$22)</f>
        <v>0</v>
      </c>
      <c r="X131" s="393">
        <f>_xlfn.IFNA(VLOOKUP(A131,[5]進出口值表查詢結果!$C$11:$F$68,4,0),-[4]整車!$B$22)</f>
        <v>0</v>
      </c>
      <c r="Y131" s="393">
        <f>_xlfn.IFNA(VLOOKUP(A131,[5]進出口值表查詢結果!$C$11:$F$68,3,0),-[4]整車!$B$22)</f>
        <v>0</v>
      </c>
      <c r="Z131" s="387">
        <f t="shared" si="22"/>
        <v>0</v>
      </c>
      <c r="AA131" s="387">
        <f t="shared" si="23"/>
        <v>0</v>
      </c>
    </row>
    <row r="132" spans="1:27">
      <c r="A132" s="429" t="s">
        <v>321</v>
      </c>
      <c r="B132" s="393"/>
      <c r="C132" s="393"/>
      <c r="D132" s="393"/>
      <c r="E132" s="393"/>
      <c r="F132" s="393">
        <v>0</v>
      </c>
      <c r="G132" s="393"/>
      <c r="H132" s="393">
        <v>0</v>
      </c>
      <c r="I132" s="393">
        <v>0</v>
      </c>
      <c r="J132" s="394" t="s">
        <v>57</v>
      </c>
      <c r="K132" s="397" t="s">
        <v>57</v>
      </c>
      <c r="L132" s="393">
        <v>0</v>
      </c>
      <c r="M132" s="393">
        <v>0</v>
      </c>
      <c r="N132" s="393">
        <v>0</v>
      </c>
      <c r="O132" s="393">
        <v>0</v>
      </c>
      <c r="P132" s="393">
        <v>0</v>
      </c>
      <c r="Q132" s="393">
        <v>0</v>
      </c>
      <c r="R132" s="393">
        <v>0</v>
      </c>
      <c r="S132" s="393">
        <v>0</v>
      </c>
      <c r="T132" s="393"/>
      <c r="U132" s="393"/>
      <c r="V132" s="393">
        <f>_xlfn.IFNA(VLOOKUP(A132,[3]進出口值表查詢結果!$C$11:$F$68,4,0),-[4]整車!$B$22)</f>
        <v>0</v>
      </c>
      <c r="W132" s="393">
        <f>_xlfn.IFNA(VLOOKUP(A132,[3]進出口值表查詢結果!$C$11:$F$68,3,0),-[4]整車!$B$22)</f>
        <v>0</v>
      </c>
      <c r="X132" s="393">
        <f>_xlfn.IFNA(VLOOKUP(A132,[5]進出口值表查詢結果!$C$11:$F$68,4,0),-[4]整車!$B$22)</f>
        <v>0</v>
      </c>
      <c r="Y132" s="393">
        <f>_xlfn.IFNA(VLOOKUP(A132,[5]進出口值表查詢結果!$C$11:$F$68,3,0),-[4]整車!$B$22)</f>
        <v>0</v>
      </c>
      <c r="Z132" s="387">
        <f t="shared" si="22"/>
        <v>0</v>
      </c>
      <c r="AA132" s="387">
        <f t="shared" si="23"/>
        <v>0</v>
      </c>
    </row>
    <row r="133" spans="1:27">
      <c r="A133" s="429" t="s">
        <v>322</v>
      </c>
      <c r="B133" s="393"/>
      <c r="C133" s="393"/>
      <c r="D133" s="393"/>
      <c r="E133" s="393"/>
      <c r="F133" s="393">
        <v>0</v>
      </c>
      <c r="G133" s="393"/>
      <c r="H133" s="393">
        <v>0</v>
      </c>
      <c r="I133" s="393">
        <v>0</v>
      </c>
      <c r="J133" s="394" t="s">
        <v>57</v>
      </c>
      <c r="K133" s="397" t="s">
        <v>57</v>
      </c>
      <c r="L133" s="393">
        <v>0</v>
      </c>
      <c r="M133" s="393">
        <v>0</v>
      </c>
      <c r="N133" s="393">
        <v>0</v>
      </c>
      <c r="O133" s="393">
        <v>0</v>
      </c>
      <c r="P133" s="393">
        <v>0</v>
      </c>
      <c r="Q133" s="393">
        <v>0</v>
      </c>
      <c r="R133" s="393">
        <v>0</v>
      </c>
      <c r="S133" s="393">
        <v>0</v>
      </c>
      <c r="T133" s="393"/>
      <c r="U133" s="393"/>
      <c r="V133" s="393">
        <f>_xlfn.IFNA(VLOOKUP(A133,[3]進出口值表查詢結果!$C$11:$F$68,4,0),-[4]整車!$B$22)</f>
        <v>0</v>
      </c>
      <c r="W133" s="393">
        <f>_xlfn.IFNA(VLOOKUP(A133,[3]進出口值表查詢結果!$C$11:$F$68,3,0),-[4]整車!$B$22)</f>
        <v>0</v>
      </c>
      <c r="X133" s="393">
        <f>_xlfn.IFNA(VLOOKUP(A133,[5]進出口值表查詢結果!$C$11:$F$68,4,0),-[4]整車!$B$22)</f>
        <v>0</v>
      </c>
      <c r="Y133" s="393">
        <f>_xlfn.IFNA(VLOOKUP(A133,[5]進出口值表查詢結果!$C$11:$F$68,3,0),-[4]整車!$B$22)</f>
        <v>0</v>
      </c>
      <c r="Z133" s="387">
        <f t="shared" si="22"/>
        <v>0</v>
      </c>
      <c r="AA133" s="387">
        <f t="shared" si="23"/>
        <v>0</v>
      </c>
    </row>
    <row r="134" spans="1:27">
      <c r="A134" s="429" t="s">
        <v>323</v>
      </c>
      <c r="B134" s="393"/>
      <c r="C134" s="393"/>
      <c r="D134" s="393"/>
      <c r="E134" s="393"/>
      <c r="F134" s="393">
        <v>0</v>
      </c>
      <c r="G134" s="393"/>
      <c r="H134" s="393">
        <v>0</v>
      </c>
      <c r="I134" s="393">
        <v>0</v>
      </c>
      <c r="J134" s="394" t="s">
        <v>57</v>
      </c>
      <c r="K134" s="417" t="s">
        <v>57</v>
      </c>
      <c r="L134" s="393">
        <v>0</v>
      </c>
      <c r="M134" s="393">
        <v>0</v>
      </c>
      <c r="N134" s="393">
        <v>0</v>
      </c>
      <c r="O134" s="393">
        <v>0</v>
      </c>
      <c r="P134" s="393">
        <v>0</v>
      </c>
      <c r="Q134" s="393">
        <v>0</v>
      </c>
      <c r="R134" s="393">
        <v>0</v>
      </c>
      <c r="S134" s="393">
        <v>0</v>
      </c>
      <c r="T134" s="393"/>
      <c r="U134" s="393"/>
      <c r="V134" s="393">
        <f>_xlfn.IFNA(VLOOKUP(A134,[3]進出口值表查詢結果!$C$11:$F$68,4,0),-[4]整車!$B$22)</f>
        <v>0</v>
      </c>
      <c r="W134" s="393">
        <f>_xlfn.IFNA(VLOOKUP(A134,[3]進出口值表查詢結果!$C$11:$F$68,3,0),-[4]整車!$B$22)</f>
        <v>0</v>
      </c>
      <c r="X134" s="393">
        <f>_xlfn.IFNA(VLOOKUP(A134,[5]進出口值表查詢結果!$C$11:$F$68,4,0),-[4]整車!$B$22)</f>
        <v>0</v>
      </c>
      <c r="Y134" s="393">
        <f>_xlfn.IFNA(VLOOKUP(A134,[5]進出口值表查詢結果!$C$11:$F$68,3,0),-[4]整車!$B$22)</f>
        <v>0</v>
      </c>
      <c r="Z134" s="387">
        <f t="shared" si="22"/>
        <v>0</v>
      </c>
      <c r="AA134" s="387">
        <f t="shared" si="23"/>
        <v>0</v>
      </c>
    </row>
    <row r="135" spans="1:27">
      <c r="A135" s="396"/>
      <c r="B135" s="393"/>
      <c r="C135" s="393"/>
      <c r="D135" s="393"/>
      <c r="E135" s="393"/>
      <c r="F135" s="393"/>
      <c r="G135" s="393"/>
      <c r="H135" s="393"/>
      <c r="I135" s="393"/>
      <c r="J135" s="394"/>
      <c r="K135" s="395"/>
      <c r="L135" s="393"/>
      <c r="M135" s="393"/>
      <c r="N135" s="393"/>
      <c r="O135" s="393"/>
      <c r="P135" s="393"/>
      <c r="Q135" s="393"/>
      <c r="R135" s="393"/>
      <c r="S135" s="393"/>
      <c r="T135" s="393"/>
      <c r="U135" s="393"/>
      <c r="V135" s="393"/>
      <c r="W135" s="393"/>
      <c r="X135" s="393"/>
      <c r="Y135" s="393"/>
      <c r="Z135" s="387"/>
      <c r="AA135" s="387"/>
    </row>
    <row r="136" spans="1:27">
      <c r="A136" s="413" t="s">
        <v>141</v>
      </c>
      <c r="B136" s="414">
        <f t="shared" ref="B136:M136" si="24">SUM(B137:B150)</f>
        <v>391</v>
      </c>
      <c r="C136" s="414">
        <f t="shared" si="24"/>
        <v>601333</v>
      </c>
      <c r="D136" s="414">
        <f t="shared" si="24"/>
        <v>195</v>
      </c>
      <c r="E136" s="414">
        <f t="shared" si="24"/>
        <v>250399</v>
      </c>
      <c r="F136" s="414">
        <f t="shared" si="24"/>
        <v>714</v>
      </c>
      <c r="G136" s="414">
        <f t="shared" si="24"/>
        <v>599636</v>
      </c>
      <c r="H136" s="414">
        <f t="shared" si="24"/>
        <v>1024</v>
      </c>
      <c r="I136" s="414">
        <f t="shared" si="24"/>
        <v>190726</v>
      </c>
      <c r="J136" s="415">
        <f t="shared" si="24"/>
        <v>1213</v>
      </c>
      <c r="K136" s="416">
        <f t="shared" si="24"/>
        <v>446610</v>
      </c>
      <c r="L136" s="414">
        <f t="shared" si="24"/>
        <v>517</v>
      </c>
      <c r="M136" s="414">
        <f t="shared" si="24"/>
        <v>504422</v>
      </c>
      <c r="N136" s="414">
        <f>SUM(N137:N150)</f>
        <v>1680</v>
      </c>
      <c r="O136" s="414">
        <f>SUM(O137:O150)</f>
        <v>1034923</v>
      </c>
      <c r="P136" s="414">
        <f>SUM(P137:P149)</f>
        <v>1055</v>
      </c>
      <c r="Q136" s="414">
        <f>SUM(Q137:Q149)</f>
        <v>1060011</v>
      </c>
      <c r="R136" s="414">
        <f t="shared" ref="R136:Y136" si="25">SUM(R137:R150)</f>
        <v>1394</v>
      </c>
      <c r="S136" s="414">
        <f t="shared" si="25"/>
        <v>1001461</v>
      </c>
      <c r="T136" s="414">
        <f t="shared" si="25"/>
        <v>2073</v>
      </c>
      <c r="U136" s="414">
        <f t="shared" si="25"/>
        <v>1401961</v>
      </c>
      <c r="V136" s="414">
        <f>SUM(V137:V150)</f>
        <v>747</v>
      </c>
      <c r="W136" s="414">
        <f>SUM(W137:W150)</f>
        <v>547003</v>
      </c>
      <c r="X136" s="414">
        <f t="shared" si="25"/>
        <v>325</v>
      </c>
      <c r="Y136" s="414">
        <f t="shared" si="25"/>
        <v>457417</v>
      </c>
      <c r="Z136" s="400">
        <f t="shared" ref="Z136:Z167" si="26">SUM(B136,D136,F136,H136,J136,L136,N136,P136,R136,T136,V136,X136)</f>
        <v>11328</v>
      </c>
      <c r="AA136" s="400">
        <f t="shared" ref="AA136:AA167" si="27">SUM(C136,E136,G136,I136,K136,M136,O136,Q136,S136,U136,W136,Y136)</f>
        <v>8095902</v>
      </c>
    </row>
    <row r="137" spans="1:27">
      <c r="A137" s="434" t="s">
        <v>220</v>
      </c>
      <c r="B137" s="393">
        <v>7</v>
      </c>
      <c r="C137" s="393">
        <v>13229</v>
      </c>
      <c r="D137" s="393">
        <v>3</v>
      </c>
      <c r="E137" s="393">
        <v>2398</v>
      </c>
      <c r="F137" s="393">
        <v>74</v>
      </c>
      <c r="G137" s="393">
        <v>133887</v>
      </c>
      <c r="H137" s="393">
        <v>96</v>
      </c>
      <c r="I137" s="393">
        <v>168964</v>
      </c>
      <c r="J137" s="394"/>
      <c r="K137" s="395"/>
      <c r="L137" s="393">
        <v>198</v>
      </c>
      <c r="M137" s="393">
        <v>94268</v>
      </c>
      <c r="N137" s="393">
        <v>356</v>
      </c>
      <c r="O137" s="393">
        <v>453280</v>
      </c>
      <c r="P137" s="393">
        <v>591</v>
      </c>
      <c r="Q137" s="393">
        <v>597186</v>
      </c>
      <c r="R137" s="393">
        <v>397</v>
      </c>
      <c r="S137" s="393">
        <v>182473</v>
      </c>
      <c r="T137" s="393">
        <v>225</v>
      </c>
      <c r="U137" s="393">
        <v>224164</v>
      </c>
      <c r="V137" s="393">
        <f>_xlfn.IFNA(VLOOKUP(A137,[3]進出口值表查詢結果!$C$11:$F$68,4,0),-[4]整車!$B$22)</f>
        <v>121</v>
      </c>
      <c r="W137" s="393">
        <f>_xlfn.IFNA(VLOOKUP(A137,[3]進出口值表查詢結果!$C$11:$F$68,3,0),-[4]整車!$B$22)</f>
        <v>63501</v>
      </c>
      <c r="X137" s="393">
        <f>_xlfn.IFNA(VLOOKUP(A137,[5]進出口值表查詢結果!$C$11:$F$68,4,0),-[4]整車!$B$22)</f>
        <v>123</v>
      </c>
      <c r="Y137" s="393">
        <f>_xlfn.IFNA(VLOOKUP(A137,[5]進出口值表查詢結果!$C$11:$F$68,3,0),-[4]整車!$B$22)</f>
        <v>156263</v>
      </c>
      <c r="Z137" s="387">
        <f t="shared" si="26"/>
        <v>2191</v>
      </c>
      <c r="AA137" s="387">
        <f t="shared" si="27"/>
        <v>2089613</v>
      </c>
    </row>
    <row r="138" spans="1:27">
      <c r="A138" s="429" t="s">
        <v>164</v>
      </c>
      <c r="B138" s="393"/>
      <c r="C138" s="393"/>
      <c r="D138" s="393"/>
      <c r="E138" s="393"/>
      <c r="F138" s="393">
        <v>0</v>
      </c>
      <c r="G138" s="393"/>
      <c r="H138" s="393">
        <v>0</v>
      </c>
      <c r="I138" s="393">
        <v>0</v>
      </c>
      <c r="J138" s="394"/>
      <c r="K138" s="395"/>
      <c r="L138" s="393">
        <v>0</v>
      </c>
      <c r="M138" s="393">
        <v>0</v>
      </c>
      <c r="N138" s="393">
        <v>123</v>
      </c>
      <c r="O138" s="393">
        <v>61292</v>
      </c>
      <c r="P138" s="393">
        <v>0</v>
      </c>
      <c r="Q138" s="393">
        <v>0</v>
      </c>
      <c r="R138" s="393">
        <v>0</v>
      </c>
      <c r="S138" s="393">
        <v>0</v>
      </c>
      <c r="T138" s="393">
        <v>84</v>
      </c>
      <c r="U138" s="393">
        <v>105611</v>
      </c>
      <c r="V138" s="393">
        <f>_xlfn.IFNA(VLOOKUP(A138,[3]進出口值表查詢結果!$C$11:$F$68,4,0),-[4]整車!$B$22)</f>
        <v>68</v>
      </c>
      <c r="W138" s="393">
        <f>_xlfn.IFNA(VLOOKUP(A138,[3]進出口值表查詢結果!$C$11:$F$68,3,0),-[4]整車!$B$22)</f>
        <v>64056</v>
      </c>
      <c r="X138" s="393">
        <f>_xlfn.IFNA(VLOOKUP(A138,[5]進出口值表查詢結果!$C$11:$F$68,4,0),-[4]整車!$B$22)</f>
        <v>0</v>
      </c>
      <c r="Y138" s="393">
        <f>_xlfn.IFNA(VLOOKUP(A138,[5]進出口值表查詢結果!$C$11:$F$68,3,0),-[4]整車!$B$22)</f>
        <v>0</v>
      </c>
      <c r="Z138" s="387">
        <f t="shared" si="26"/>
        <v>275</v>
      </c>
      <c r="AA138" s="387">
        <f t="shared" si="27"/>
        <v>230959</v>
      </c>
    </row>
    <row r="139" spans="1:27">
      <c r="A139" s="429" t="s">
        <v>192</v>
      </c>
      <c r="B139" s="393">
        <v>280</v>
      </c>
      <c r="C139" s="393">
        <v>479573</v>
      </c>
      <c r="D139" s="393">
        <v>172</v>
      </c>
      <c r="E139" s="393">
        <v>228214</v>
      </c>
      <c r="F139" s="393">
        <v>600</v>
      </c>
      <c r="G139" s="393">
        <v>459244</v>
      </c>
      <c r="H139" s="393">
        <v>0</v>
      </c>
      <c r="I139" s="393">
        <v>0</v>
      </c>
      <c r="J139" s="394">
        <v>1213</v>
      </c>
      <c r="K139" s="395">
        <v>446610</v>
      </c>
      <c r="L139" s="393">
        <v>165</v>
      </c>
      <c r="M139" s="393">
        <v>220979</v>
      </c>
      <c r="N139" s="393">
        <v>339</v>
      </c>
      <c r="O139" s="393">
        <v>507640</v>
      </c>
      <c r="P139" s="393">
        <v>425</v>
      </c>
      <c r="Q139" s="393">
        <v>413046</v>
      </c>
      <c r="R139" s="393">
        <v>740</v>
      </c>
      <c r="S139" s="393">
        <v>667120</v>
      </c>
      <c r="T139" s="393">
        <v>1704</v>
      </c>
      <c r="U139" s="393">
        <v>1071291</v>
      </c>
      <c r="V139" s="393">
        <f>_xlfn.IFNA(VLOOKUP(A139,[3]進出口值表查詢結果!$C$11:$F$68,4,0),-[4]整車!$B$22)</f>
        <v>552</v>
      </c>
      <c r="W139" s="393">
        <f>_xlfn.IFNA(VLOOKUP(A139,[3]進出口值表查詢結果!$C$11:$F$68,3,0),-[4]整車!$B$22)</f>
        <v>411890</v>
      </c>
      <c r="X139" s="393">
        <f>_xlfn.IFNA(VLOOKUP(A139,[5]進出口值表查詢結果!$C$11:$F$68,4,0),-[4]整車!$B$22)</f>
        <v>108</v>
      </c>
      <c r="Y139" s="393">
        <f>_xlfn.IFNA(VLOOKUP(A139,[5]進出口值表查詢結果!$C$11:$F$68,3,0),-[4]整車!$B$22)</f>
        <v>192722</v>
      </c>
      <c r="Z139" s="387">
        <f t="shared" si="26"/>
        <v>6298</v>
      </c>
      <c r="AA139" s="387">
        <f t="shared" si="27"/>
        <v>5098329</v>
      </c>
    </row>
    <row r="140" spans="1:27">
      <c r="A140" s="429" t="s">
        <v>324</v>
      </c>
      <c r="B140" s="393"/>
      <c r="C140" s="393"/>
      <c r="D140" s="393"/>
      <c r="E140" s="393"/>
      <c r="F140" s="393">
        <v>0</v>
      </c>
      <c r="G140" s="393"/>
      <c r="H140" s="393">
        <v>0</v>
      </c>
      <c r="I140" s="393">
        <v>0</v>
      </c>
      <c r="J140" s="394"/>
      <c r="K140" s="395"/>
      <c r="L140" s="393">
        <v>0</v>
      </c>
      <c r="M140" s="393">
        <v>0</v>
      </c>
      <c r="N140" s="393">
        <v>0</v>
      </c>
      <c r="O140" s="393">
        <v>0</v>
      </c>
      <c r="P140" s="393">
        <v>0</v>
      </c>
      <c r="Q140" s="393">
        <v>0</v>
      </c>
      <c r="R140" s="393">
        <v>0</v>
      </c>
      <c r="S140" s="393">
        <v>0</v>
      </c>
      <c r="T140" s="393"/>
      <c r="U140" s="393"/>
      <c r="V140" s="393">
        <f>_xlfn.IFNA(VLOOKUP(A140,[3]進出口值表查詢結果!$C$11:$F$68,4,0),-[4]整車!$B$22)</f>
        <v>0</v>
      </c>
      <c r="W140" s="393">
        <f>_xlfn.IFNA(VLOOKUP(A140,[3]進出口值表查詢結果!$C$11:$F$68,3,0),-[4]整車!$B$22)</f>
        <v>0</v>
      </c>
      <c r="X140" s="393">
        <f>_xlfn.IFNA(VLOOKUP(A140,[5]進出口值表查詢結果!$C$11:$F$68,4,0),-[4]整車!$B$22)</f>
        <v>0</v>
      </c>
      <c r="Y140" s="393">
        <f>_xlfn.IFNA(VLOOKUP(A140,[5]進出口值表查詢結果!$C$11:$F$68,3,0),-[4]整車!$B$22)</f>
        <v>0</v>
      </c>
      <c r="Z140" s="387">
        <f t="shared" si="26"/>
        <v>0</v>
      </c>
      <c r="AA140" s="387">
        <f t="shared" si="27"/>
        <v>0</v>
      </c>
    </row>
    <row r="141" spans="1:27">
      <c r="A141" s="429" t="s">
        <v>325</v>
      </c>
      <c r="B141" s="393"/>
      <c r="C141" s="393"/>
      <c r="D141" s="393"/>
      <c r="E141" s="393"/>
      <c r="F141" s="393">
        <v>0</v>
      </c>
      <c r="G141" s="393"/>
      <c r="H141" s="393">
        <v>0</v>
      </c>
      <c r="I141" s="393">
        <v>0</v>
      </c>
      <c r="J141" s="394"/>
      <c r="K141" s="395"/>
      <c r="L141" s="393">
        <v>0</v>
      </c>
      <c r="M141" s="393">
        <v>0</v>
      </c>
      <c r="N141" s="393">
        <v>0</v>
      </c>
      <c r="O141" s="393">
        <v>0</v>
      </c>
      <c r="P141" s="393">
        <v>0</v>
      </c>
      <c r="Q141" s="393">
        <v>0</v>
      </c>
      <c r="R141" s="393">
        <v>0</v>
      </c>
      <c r="S141" s="393">
        <v>0</v>
      </c>
      <c r="T141" s="393"/>
      <c r="U141" s="393"/>
      <c r="V141" s="393">
        <f>_xlfn.IFNA(VLOOKUP(A141,[3]進出口值表查詢結果!$C$11:$F$68,4,0),-[4]整車!$B$22)</f>
        <v>0</v>
      </c>
      <c r="W141" s="393">
        <f>_xlfn.IFNA(VLOOKUP(A141,[3]進出口值表查詢結果!$C$11:$F$68,3,0),-[4]整車!$B$22)</f>
        <v>0</v>
      </c>
      <c r="X141" s="393">
        <f>_xlfn.IFNA(VLOOKUP(A141,[5]進出口值表查詢結果!$C$11:$F$68,4,0),-[4]整車!$B$22)</f>
        <v>0</v>
      </c>
      <c r="Y141" s="393">
        <f>_xlfn.IFNA(VLOOKUP(A141,[5]進出口值表查詢結果!$C$11:$F$68,3,0),-[4]整車!$B$22)</f>
        <v>0</v>
      </c>
      <c r="Z141" s="387">
        <f t="shared" si="26"/>
        <v>0</v>
      </c>
      <c r="AA141" s="387">
        <f t="shared" si="27"/>
        <v>0</v>
      </c>
    </row>
    <row r="142" spans="1:27">
      <c r="A142" s="429" t="s">
        <v>326</v>
      </c>
      <c r="B142" s="393">
        <v>77</v>
      </c>
      <c r="C142" s="393">
        <v>80740</v>
      </c>
      <c r="D142" s="393"/>
      <c r="E142" s="393"/>
      <c r="F142" s="393">
        <v>40</v>
      </c>
      <c r="G142" s="393">
        <v>6505</v>
      </c>
      <c r="H142" s="393">
        <v>0</v>
      </c>
      <c r="I142" s="393">
        <v>0</v>
      </c>
      <c r="J142" s="394"/>
      <c r="K142" s="395"/>
      <c r="L142" s="393">
        <v>101</v>
      </c>
      <c r="M142" s="393">
        <v>139946</v>
      </c>
      <c r="N142" s="393">
        <v>0</v>
      </c>
      <c r="O142" s="393">
        <v>0</v>
      </c>
      <c r="P142" s="393">
        <v>0</v>
      </c>
      <c r="Q142" s="393">
        <v>0</v>
      </c>
      <c r="R142" s="393">
        <v>0</v>
      </c>
      <c r="S142" s="393">
        <v>0</v>
      </c>
      <c r="T142" s="393"/>
      <c r="U142" s="393"/>
      <c r="V142" s="393">
        <f>_xlfn.IFNA(VLOOKUP(A142,[3]進出口值表查詢結果!$C$11:$F$68,4,0),-[4]整車!$B$22)</f>
        <v>0</v>
      </c>
      <c r="W142" s="393">
        <f>_xlfn.IFNA(VLOOKUP(A142,[3]進出口值表查詢結果!$C$11:$F$68,3,0),-[4]整車!$B$22)</f>
        <v>0</v>
      </c>
      <c r="X142" s="393">
        <f>_xlfn.IFNA(VLOOKUP(A142,[5]進出口值表查詢結果!$C$11:$F$68,4,0),-[4]整車!$B$22)</f>
        <v>94</v>
      </c>
      <c r="Y142" s="393">
        <f>_xlfn.IFNA(VLOOKUP(A142,[5]進出口值表查詢結果!$C$11:$F$68,3,0),-[4]整車!$B$22)</f>
        <v>108432</v>
      </c>
      <c r="Z142" s="387">
        <f t="shared" si="26"/>
        <v>312</v>
      </c>
      <c r="AA142" s="387">
        <f t="shared" si="27"/>
        <v>335623</v>
      </c>
    </row>
    <row r="143" spans="1:27">
      <c r="A143" s="429" t="s">
        <v>327</v>
      </c>
      <c r="B143" s="393"/>
      <c r="C143" s="393"/>
      <c r="D143" s="393"/>
      <c r="E143" s="393"/>
      <c r="F143" s="393">
        <v>0</v>
      </c>
      <c r="G143" s="393"/>
      <c r="H143" s="393">
        <v>0</v>
      </c>
      <c r="I143" s="393">
        <v>0</v>
      </c>
      <c r="J143" s="394"/>
      <c r="K143" s="395"/>
      <c r="L143" s="393">
        <v>25</v>
      </c>
      <c r="M143" s="393">
        <v>25972</v>
      </c>
      <c r="N143" s="393">
        <v>2</v>
      </c>
      <c r="O143" s="393">
        <v>3989</v>
      </c>
      <c r="P143" s="393">
        <v>6</v>
      </c>
      <c r="Q143" s="393">
        <v>5727</v>
      </c>
      <c r="R143" s="393">
        <v>5</v>
      </c>
      <c r="S143" s="393">
        <v>5843</v>
      </c>
      <c r="T143" s="393"/>
      <c r="U143" s="393"/>
      <c r="V143" s="393">
        <f>_xlfn.IFNA(VLOOKUP(A143,[3]進出口值表查詢結果!$C$11:$F$68,4,0),-[4]整車!$B$22)</f>
        <v>6</v>
      </c>
      <c r="W143" s="393">
        <f>_xlfn.IFNA(VLOOKUP(A143,[3]進出口值表查詢結果!$C$11:$F$68,3,0),-[4]整車!$B$22)</f>
        <v>7556</v>
      </c>
      <c r="X143" s="393">
        <f>_xlfn.IFNA(VLOOKUP(A143,[5]進出口值表查詢結果!$C$11:$F$68,4,0),-[4]整車!$B$22)</f>
        <v>0</v>
      </c>
      <c r="Y143" s="393">
        <f>_xlfn.IFNA(VLOOKUP(A143,[5]進出口值表查詢結果!$C$11:$F$68,3,0),-[4]整車!$B$22)</f>
        <v>0</v>
      </c>
      <c r="Z143" s="387">
        <f t="shared" si="26"/>
        <v>44</v>
      </c>
      <c r="AA143" s="387">
        <f t="shared" si="27"/>
        <v>49087</v>
      </c>
    </row>
    <row r="144" spans="1:27">
      <c r="A144" s="429" t="s">
        <v>328</v>
      </c>
      <c r="B144" s="393"/>
      <c r="C144" s="393"/>
      <c r="D144" s="393"/>
      <c r="E144" s="393"/>
      <c r="F144" s="393">
        <v>0</v>
      </c>
      <c r="G144" s="393"/>
      <c r="H144" s="393">
        <v>0</v>
      </c>
      <c r="I144" s="393">
        <v>0</v>
      </c>
      <c r="J144" s="394"/>
      <c r="K144" s="395"/>
      <c r="L144" s="393">
        <v>0</v>
      </c>
      <c r="M144" s="393">
        <v>0</v>
      </c>
      <c r="N144" s="393">
        <v>0</v>
      </c>
      <c r="O144" s="393">
        <v>0</v>
      </c>
      <c r="P144" s="393">
        <v>0</v>
      </c>
      <c r="Q144" s="393">
        <v>0</v>
      </c>
      <c r="R144" s="393">
        <v>0</v>
      </c>
      <c r="S144" s="393">
        <v>0</v>
      </c>
      <c r="T144" s="393"/>
      <c r="U144" s="393"/>
      <c r="V144" s="393">
        <f>_xlfn.IFNA(VLOOKUP(A144,[3]進出口值表查詢結果!$C$11:$F$68,4,0),-[4]整車!$B$22)</f>
        <v>0</v>
      </c>
      <c r="W144" s="393">
        <f>_xlfn.IFNA(VLOOKUP(A144,[3]進出口值表查詢結果!$C$11:$F$68,3,0),-[4]整車!$B$22)</f>
        <v>0</v>
      </c>
      <c r="X144" s="393">
        <f>_xlfn.IFNA(VLOOKUP(A144,[5]進出口值表查詢結果!$C$11:$F$68,4,0),-[4]整車!$B$22)</f>
        <v>0</v>
      </c>
      <c r="Y144" s="393">
        <f>_xlfn.IFNA(VLOOKUP(A144,[5]進出口值表查詢結果!$C$11:$F$68,3,0),-[4]整車!$B$22)</f>
        <v>0</v>
      </c>
      <c r="Z144" s="387">
        <f t="shared" si="26"/>
        <v>0</v>
      </c>
      <c r="AA144" s="387">
        <f t="shared" si="27"/>
        <v>0</v>
      </c>
    </row>
    <row r="145" spans="1:27">
      <c r="A145" s="429" t="s">
        <v>329</v>
      </c>
      <c r="B145" s="393"/>
      <c r="C145" s="393"/>
      <c r="D145" s="393">
        <v>20</v>
      </c>
      <c r="E145" s="393">
        <v>19787</v>
      </c>
      <c r="F145" s="393">
        <v>0</v>
      </c>
      <c r="G145" s="393"/>
      <c r="H145" s="393">
        <v>0</v>
      </c>
      <c r="I145" s="393">
        <v>0</v>
      </c>
      <c r="J145" s="394"/>
      <c r="K145" s="395"/>
      <c r="L145" s="393">
        <v>0</v>
      </c>
      <c r="M145" s="393">
        <v>0</v>
      </c>
      <c r="N145" s="393">
        <v>0</v>
      </c>
      <c r="O145" s="393">
        <v>0</v>
      </c>
      <c r="P145" s="393">
        <v>0</v>
      </c>
      <c r="Q145" s="393">
        <v>0</v>
      </c>
      <c r="R145" s="393">
        <v>0</v>
      </c>
      <c r="S145" s="393">
        <v>0</v>
      </c>
      <c r="T145" s="393"/>
      <c r="U145" s="393"/>
      <c r="V145" s="393">
        <f>_xlfn.IFNA(VLOOKUP(A145,[3]進出口值表查詢結果!$C$11:$F$68,4,0),-[4]整車!$B$22)</f>
        <v>0</v>
      </c>
      <c r="W145" s="393">
        <f>_xlfn.IFNA(VLOOKUP(A145,[3]進出口值表查詢結果!$C$11:$F$68,3,0),-[4]整車!$B$22)</f>
        <v>0</v>
      </c>
      <c r="X145" s="393">
        <f>_xlfn.IFNA(VLOOKUP(A145,[5]進出口值表查詢結果!$C$11:$F$68,4,0),-[4]整車!$B$22)</f>
        <v>0</v>
      </c>
      <c r="Y145" s="393">
        <f>_xlfn.IFNA(VLOOKUP(A145,[5]進出口值表查詢結果!$C$11:$F$68,3,0),-[4]整車!$B$22)</f>
        <v>0</v>
      </c>
      <c r="Z145" s="387">
        <f t="shared" si="26"/>
        <v>20</v>
      </c>
      <c r="AA145" s="387">
        <f t="shared" si="27"/>
        <v>19787</v>
      </c>
    </row>
    <row r="146" spans="1:27">
      <c r="A146" s="429" t="s">
        <v>330</v>
      </c>
      <c r="B146" s="393"/>
      <c r="C146" s="393"/>
      <c r="D146" s="393"/>
      <c r="E146" s="393"/>
      <c r="F146" s="393">
        <v>0</v>
      </c>
      <c r="G146" s="393"/>
      <c r="H146" s="393">
        <v>0</v>
      </c>
      <c r="I146" s="393">
        <v>0</v>
      </c>
      <c r="J146" s="394"/>
      <c r="K146" s="395"/>
      <c r="L146" s="393">
        <v>0</v>
      </c>
      <c r="M146" s="393">
        <v>0</v>
      </c>
      <c r="N146" s="393">
        <v>0</v>
      </c>
      <c r="O146" s="393">
        <v>0</v>
      </c>
      <c r="P146" s="393">
        <v>0</v>
      </c>
      <c r="Q146" s="393">
        <v>0</v>
      </c>
      <c r="R146" s="393">
        <v>0</v>
      </c>
      <c r="S146" s="393">
        <v>0</v>
      </c>
      <c r="T146" s="393"/>
      <c r="U146" s="393"/>
      <c r="V146" s="393">
        <f>_xlfn.IFNA(VLOOKUP(A146,[3]進出口值表查詢結果!$C$11:$F$68,4,0),-[4]整車!$B$22)</f>
        <v>0</v>
      </c>
      <c r="W146" s="393">
        <f>_xlfn.IFNA(VLOOKUP(A146,[3]進出口值表查詢結果!$C$11:$F$68,3,0),-[4]整車!$B$22)</f>
        <v>0</v>
      </c>
      <c r="X146" s="393">
        <f>_xlfn.IFNA(VLOOKUP(A146,[5]進出口值表查詢結果!$C$11:$F$68,4,0),-[4]整車!$B$22)</f>
        <v>0</v>
      </c>
      <c r="Y146" s="393">
        <f>_xlfn.IFNA(VLOOKUP(A146,[5]進出口值表查詢結果!$C$11:$F$68,3,0),-[4]整車!$B$22)</f>
        <v>0</v>
      </c>
      <c r="Z146" s="387">
        <f t="shared" si="26"/>
        <v>0</v>
      </c>
      <c r="AA146" s="387">
        <f t="shared" si="27"/>
        <v>0</v>
      </c>
    </row>
    <row r="147" spans="1:27">
      <c r="A147" s="429" t="s">
        <v>331</v>
      </c>
      <c r="B147" s="393">
        <v>27</v>
      </c>
      <c r="C147" s="393">
        <v>27791</v>
      </c>
      <c r="D147" s="393"/>
      <c r="E147" s="393"/>
      <c r="F147" s="393">
        <v>0</v>
      </c>
      <c r="G147" s="393"/>
      <c r="H147" s="393">
        <v>16</v>
      </c>
      <c r="I147" s="393">
        <v>12686</v>
      </c>
      <c r="J147" s="394"/>
      <c r="K147" s="395"/>
      <c r="L147" s="393">
        <v>28</v>
      </c>
      <c r="M147" s="393">
        <v>23257</v>
      </c>
      <c r="N147" s="393">
        <v>0</v>
      </c>
      <c r="O147" s="393">
        <v>0</v>
      </c>
      <c r="P147" s="393">
        <v>33</v>
      </c>
      <c r="Q147" s="393">
        <v>44052</v>
      </c>
      <c r="R147" s="393">
        <v>252</v>
      </c>
      <c r="S147" s="393">
        <v>146025</v>
      </c>
      <c r="T147" s="393"/>
      <c r="U147" s="393"/>
      <c r="V147" s="393">
        <f>_xlfn.IFNA(VLOOKUP(A147,[3]進出口值表查詢結果!$C$11:$F$68,4,0),-[4]整車!$B$22)</f>
        <v>0</v>
      </c>
      <c r="W147" s="393">
        <f>_xlfn.IFNA(VLOOKUP(A147,[3]進出口值表查詢結果!$C$11:$F$68,3,0),-[4]整車!$B$22)</f>
        <v>0</v>
      </c>
      <c r="X147" s="393">
        <f>_xlfn.IFNA(VLOOKUP(A147,[5]進出口值表查詢結果!$C$11:$F$68,4,0),-[4]整車!$B$22)</f>
        <v>0</v>
      </c>
      <c r="Y147" s="393">
        <f>_xlfn.IFNA(VLOOKUP(A147,[5]進出口值表查詢結果!$C$11:$F$68,3,0),-[4]整車!$B$22)</f>
        <v>0</v>
      </c>
      <c r="Z147" s="387">
        <f t="shared" si="26"/>
        <v>356</v>
      </c>
      <c r="AA147" s="387">
        <f t="shared" si="27"/>
        <v>253811</v>
      </c>
    </row>
    <row r="148" spans="1:27">
      <c r="A148" s="429" t="s">
        <v>332</v>
      </c>
      <c r="B148" s="393"/>
      <c r="C148" s="393"/>
      <c r="D148" s="393"/>
      <c r="E148" s="393"/>
      <c r="F148" s="393">
        <v>0</v>
      </c>
      <c r="G148" s="393"/>
      <c r="H148" s="393">
        <v>0</v>
      </c>
      <c r="I148" s="393">
        <v>0</v>
      </c>
      <c r="J148" s="394"/>
      <c r="K148" s="395"/>
      <c r="L148" s="393">
        <v>0</v>
      </c>
      <c r="M148" s="393">
        <v>0</v>
      </c>
      <c r="N148" s="393">
        <v>0</v>
      </c>
      <c r="O148" s="393">
        <v>0</v>
      </c>
      <c r="P148" s="393">
        <v>0</v>
      </c>
      <c r="Q148" s="393">
        <v>0</v>
      </c>
      <c r="R148" s="393">
        <v>0</v>
      </c>
      <c r="S148" s="393">
        <v>0</v>
      </c>
      <c r="T148" s="393"/>
      <c r="U148" s="393"/>
      <c r="V148" s="393">
        <f>_xlfn.IFNA(VLOOKUP(A148,[3]進出口值表查詢結果!$C$11:$F$68,4,0),-[4]整車!$B$22)</f>
        <v>0</v>
      </c>
      <c r="W148" s="393">
        <f>_xlfn.IFNA(VLOOKUP(A148,[3]進出口值表查詢結果!$C$11:$F$68,3,0),-[4]整車!$B$22)</f>
        <v>0</v>
      </c>
      <c r="X148" s="393">
        <f>_xlfn.IFNA(VLOOKUP(A148,[5]進出口值表查詢結果!$C$11:$F$68,4,0),-[4]整車!$B$22)</f>
        <v>0</v>
      </c>
      <c r="Y148" s="393">
        <f>_xlfn.IFNA(VLOOKUP(A148,[5]進出口值表查詢結果!$C$11:$F$68,3,0),-[4]整車!$B$22)</f>
        <v>0</v>
      </c>
      <c r="Z148" s="387">
        <f t="shared" si="26"/>
        <v>0</v>
      </c>
      <c r="AA148" s="387">
        <f t="shared" si="27"/>
        <v>0</v>
      </c>
    </row>
    <row r="149" spans="1:27">
      <c r="A149" s="429" t="s">
        <v>333</v>
      </c>
      <c r="B149" s="393"/>
      <c r="C149" s="393"/>
      <c r="D149" s="393"/>
      <c r="E149" s="393"/>
      <c r="F149" s="393">
        <v>0</v>
      </c>
      <c r="G149" s="393"/>
      <c r="H149" s="393">
        <v>0</v>
      </c>
      <c r="I149" s="393">
        <v>0</v>
      </c>
      <c r="J149" s="394"/>
      <c r="K149" s="395"/>
      <c r="L149" s="393">
        <v>0</v>
      </c>
      <c r="M149" s="393">
        <v>0</v>
      </c>
      <c r="N149" s="393">
        <v>0</v>
      </c>
      <c r="O149" s="393">
        <v>0</v>
      </c>
      <c r="P149" s="393">
        <v>0</v>
      </c>
      <c r="Q149" s="393">
        <v>0</v>
      </c>
      <c r="R149" s="393">
        <v>0</v>
      </c>
      <c r="S149" s="393">
        <v>0</v>
      </c>
      <c r="T149" s="393"/>
      <c r="U149" s="393"/>
      <c r="V149" s="393">
        <f>_xlfn.IFNA(VLOOKUP(A149,[3]進出口值表查詢結果!$C$11:$F$68,4,0),-[4]整車!$B$22)</f>
        <v>0</v>
      </c>
      <c r="W149" s="393">
        <f>_xlfn.IFNA(VLOOKUP(A149,[3]進出口值表查詢結果!$C$11:$F$68,3,0),-[4]整車!$B$22)</f>
        <v>0</v>
      </c>
      <c r="X149" s="393">
        <f>_xlfn.IFNA(VLOOKUP(A149,[5]進出口值表查詢結果!$C$11:$F$68,4,0),-[4]整車!$B$22)</f>
        <v>0</v>
      </c>
      <c r="Y149" s="393">
        <f>_xlfn.IFNA(VLOOKUP(A149,[5]進出口值表查詢結果!$C$11:$F$68,3,0),-[4]整車!$B$22)</f>
        <v>0</v>
      </c>
      <c r="Z149" s="387">
        <f t="shared" si="26"/>
        <v>0</v>
      </c>
      <c r="AA149" s="387">
        <f t="shared" si="27"/>
        <v>0</v>
      </c>
    </row>
    <row r="150" spans="1:27">
      <c r="A150" s="429" t="s">
        <v>334</v>
      </c>
      <c r="B150" s="393"/>
      <c r="C150" s="393"/>
      <c r="D150" s="393"/>
      <c r="E150" s="393"/>
      <c r="F150" s="393">
        <v>0</v>
      </c>
      <c r="G150" s="393"/>
      <c r="H150" s="393">
        <v>912</v>
      </c>
      <c r="I150" s="393">
        <v>9076</v>
      </c>
      <c r="J150" s="394"/>
      <c r="K150" s="395"/>
      <c r="L150" s="393">
        <v>0</v>
      </c>
      <c r="M150" s="393">
        <v>0</v>
      </c>
      <c r="N150" s="393">
        <v>860</v>
      </c>
      <c r="O150" s="393">
        <v>8722</v>
      </c>
      <c r="P150" s="393">
        <v>0</v>
      </c>
      <c r="Q150" s="393">
        <v>0</v>
      </c>
      <c r="R150" s="393">
        <v>0</v>
      </c>
      <c r="S150" s="393">
        <v>0</v>
      </c>
      <c r="T150" s="393">
        <v>60</v>
      </c>
      <c r="U150" s="393">
        <v>895</v>
      </c>
      <c r="V150" s="393">
        <f>_xlfn.IFNA(VLOOKUP(A150,[3]進出口值表查詢結果!$C$11:$F$68,4,0),-[4]整車!$B$22)</f>
        <v>0</v>
      </c>
      <c r="W150" s="393">
        <f>_xlfn.IFNA(VLOOKUP(A150,[3]進出口值表查詢結果!$C$11:$F$68,3,0),-[4]整車!$B$22)</f>
        <v>0</v>
      </c>
      <c r="X150" s="393">
        <f>_xlfn.IFNA(VLOOKUP(A150,[5]進出口值表查詢結果!$C$11:$F$68,4,0),-[4]整車!$B$22)</f>
        <v>0</v>
      </c>
      <c r="Y150" s="393">
        <f>_xlfn.IFNA(VLOOKUP(A150,[5]進出口值表查詢結果!$C$11:$F$68,3,0),-[4]整車!$B$22)</f>
        <v>0</v>
      </c>
      <c r="Z150" s="387">
        <f t="shared" si="26"/>
        <v>1832</v>
      </c>
      <c r="AA150" s="387">
        <f t="shared" si="27"/>
        <v>18693</v>
      </c>
    </row>
    <row r="151" spans="1:27">
      <c r="A151" s="435" t="s">
        <v>335</v>
      </c>
      <c r="B151" s="414">
        <f t="shared" ref="B151:Y151" si="28">SUM(B152:B188)</f>
        <v>438</v>
      </c>
      <c r="C151" s="414">
        <f t="shared" si="28"/>
        <v>697135</v>
      </c>
      <c r="D151" s="414">
        <f t="shared" si="28"/>
        <v>255</v>
      </c>
      <c r="E151" s="414">
        <f t="shared" si="28"/>
        <v>237208</v>
      </c>
      <c r="F151" s="414">
        <f t="shared" si="28"/>
        <v>115</v>
      </c>
      <c r="G151" s="414">
        <f t="shared" si="28"/>
        <v>139562</v>
      </c>
      <c r="H151" s="414">
        <f t="shared" si="28"/>
        <v>86</v>
      </c>
      <c r="I151" s="414">
        <f t="shared" si="28"/>
        <v>117092</v>
      </c>
      <c r="J151" s="415">
        <f t="shared" si="28"/>
        <v>613</v>
      </c>
      <c r="K151" s="416">
        <f>SUM(K152:K188)</f>
        <v>1036854</v>
      </c>
      <c r="L151" s="414">
        <f t="shared" si="28"/>
        <v>427</v>
      </c>
      <c r="M151" s="414">
        <f t="shared" si="28"/>
        <v>494605</v>
      </c>
      <c r="N151" s="414">
        <f t="shared" si="28"/>
        <v>849</v>
      </c>
      <c r="O151" s="414">
        <f t="shared" si="28"/>
        <v>1256457</v>
      </c>
      <c r="P151" s="414">
        <f t="shared" si="28"/>
        <v>1223</v>
      </c>
      <c r="Q151" s="414">
        <f t="shared" si="28"/>
        <v>669332</v>
      </c>
      <c r="R151" s="414">
        <f t="shared" si="28"/>
        <v>709</v>
      </c>
      <c r="S151" s="414">
        <f t="shared" si="28"/>
        <v>987195</v>
      </c>
      <c r="T151" s="414">
        <f t="shared" si="28"/>
        <v>318</v>
      </c>
      <c r="U151" s="414">
        <f t="shared" si="28"/>
        <v>309983</v>
      </c>
      <c r="V151" s="414">
        <f>SUM(V152:V188)</f>
        <v>638</v>
      </c>
      <c r="W151" s="414">
        <f>SUM(W152:W188)</f>
        <v>766517</v>
      </c>
      <c r="X151" s="414">
        <f t="shared" si="28"/>
        <v>526</v>
      </c>
      <c r="Y151" s="414">
        <f t="shared" si="28"/>
        <v>550560</v>
      </c>
      <c r="Z151" s="400">
        <f t="shared" si="26"/>
        <v>6197</v>
      </c>
      <c r="AA151" s="400">
        <f t="shared" si="27"/>
        <v>7262500</v>
      </c>
    </row>
    <row r="152" spans="1:27">
      <c r="A152" s="429" t="s">
        <v>181</v>
      </c>
      <c r="B152" s="393">
        <v>384</v>
      </c>
      <c r="C152" s="393">
        <v>666044</v>
      </c>
      <c r="D152" s="393">
        <v>225</v>
      </c>
      <c r="E152" s="393">
        <v>237041</v>
      </c>
      <c r="F152" s="393">
        <v>111</v>
      </c>
      <c r="G152" s="393">
        <v>136011</v>
      </c>
      <c r="H152" s="393">
        <v>36</v>
      </c>
      <c r="I152" s="393">
        <v>67009</v>
      </c>
      <c r="J152" s="394">
        <v>449</v>
      </c>
      <c r="K152" s="395">
        <v>996359</v>
      </c>
      <c r="L152" s="393">
        <v>306</v>
      </c>
      <c r="M152" s="393">
        <v>433512</v>
      </c>
      <c r="N152" s="393">
        <v>849</v>
      </c>
      <c r="O152" s="393">
        <v>1256457</v>
      </c>
      <c r="P152" s="393">
        <v>395</v>
      </c>
      <c r="Q152" s="393">
        <v>604709</v>
      </c>
      <c r="R152" s="393">
        <v>684</v>
      </c>
      <c r="S152" s="393">
        <v>986787</v>
      </c>
      <c r="T152" s="393">
        <v>211</v>
      </c>
      <c r="U152" s="393">
        <v>279759</v>
      </c>
      <c r="V152" s="393">
        <f>_xlfn.IFNA(VLOOKUP(A152,[3]進出口值表查詢結果!$C$11:$F$68,4,0),-[4]整車!$B$22)</f>
        <v>506</v>
      </c>
      <c r="W152" s="393">
        <f>_xlfn.IFNA(VLOOKUP(A152,[3]進出口值表查詢結果!$C$11:$F$68,3,0),-[4]整車!$B$22)</f>
        <v>630607</v>
      </c>
      <c r="X152" s="393">
        <f>_xlfn.IFNA(VLOOKUP(A152,[5]進出口值表查詢結果!$C$11:$F$68,4,0),-[4]整車!$B$22)</f>
        <v>360</v>
      </c>
      <c r="Y152" s="393">
        <f>_xlfn.IFNA(VLOOKUP(A152,[5]進出口值表查詢結果!$C$11:$F$68,3,0),-[4]整車!$B$22)</f>
        <v>482820</v>
      </c>
      <c r="Z152" s="387">
        <f t="shared" si="26"/>
        <v>4516</v>
      </c>
      <c r="AA152" s="387">
        <f t="shared" si="27"/>
        <v>6777115</v>
      </c>
    </row>
    <row r="153" spans="1:27">
      <c r="A153" s="429" t="s">
        <v>337</v>
      </c>
      <c r="B153" s="393">
        <v>1</v>
      </c>
      <c r="C153" s="393">
        <v>2333</v>
      </c>
      <c r="D153" s="393"/>
      <c r="E153" s="393"/>
      <c r="F153" s="393">
        <v>0</v>
      </c>
      <c r="G153" s="393"/>
      <c r="H153" s="393">
        <v>15</v>
      </c>
      <c r="I153" s="393">
        <v>19675</v>
      </c>
      <c r="J153" s="394">
        <v>39</v>
      </c>
      <c r="K153" s="395">
        <v>39292</v>
      </c>
      <c r="L153" s="393">
        <v>0</v>
      </c>
      <c r="M153" s="393">
        <v>0</v>
      </c>
      <c r="N153" s="393">
        <v>0</v>
      </c>
      <c r="O153" s="393">
        <v>0</v>
      </c>
      <c r="P153" s="393">
        <v>0</v>
      </c>
      <c r="Q153" s="393">
        <v>0</v>
      </c>
      <c r="R153" s="393">
        <v>0</v>
      </c>
      <c r="S153" s="393">
        <v>0</v>
      </c>
      <c r="T153" s="393"/>
      <c r="U153" s="393"/>
      <c r="V153" s="393">
        <f>_xlfn.IFNA(VLOOKUP(A153,[3]進出口值表查詢結果!$C$11:$F$68,4,0),-[4]整車!$B$22)</f>
        <v>132</v>
      </c>
      <c r="W153" s="393">
        <f>_xlfn.IFNA(VLOOKUP(A153,[3]進出口值表查詢結果!$C$11:$F$68,3,0),-[4]整車!$B$22)</f>
        <v>135910</v>
      </c>
      <c r="X153" s="393">
        <f>_xlfn.IFNA(VLOOKUP(A153,[5]進出口值表查詢結果!$C$11:$F$68,4,0),-[4]整車!$B$22)</f>
        <v>0</v>
      </c>
      <c r="Y153" s="393">
        <f>_xlfn.IFNA(VLOOKUP(A153,[5]進出口值表查詢結果!$C$11:$F$68,3,0),-[4]整車!$B$22)</f>
        <v>0</v>
      </c>
      <c r="Z153" s="387">
        <f t="shared" si="26"/>
        <v>187</v>
      </c>
      <c r="AA153" s="387">
        <f t="shared" si="27"/>
        <v>197210</v>
      </c>
    </row>
    <row r="154" spans="1:27">
      <c r="A154" s="429" t="s">
        <v>338</v>
      </c>
      <c r="B154" s="393"/>
      <c r="C154" s="393"/>
      <c r="D154" s="393"/>
      <c r="E154" s="393"/>
      <c r="F154" s="393">
        <v>0</v>
      </c>
      <c r="G154" s="393"/>
      <c r="H154" s="393">
        <v>0</v>
      </c>
      <c r="I154" s="393">
        <v>0</v>
      </c>
      <c r="J154" s="394"/>
      <c r="K154" s="395"/>
      <c r="L154" s="393">
        <v>0</v>
      </c>
      <c r="M154" s="393">
        <v>0</v>
      </c>
      <c r="N154" s="393">
        <v>0</v>
      </c>
      <c r="O154" s="393">
        <v>0</v>
      </c>
      <c r="P154" s="393">
        <v>0</v>
      </c>
      <c r="Q154" s="393">
        <v>0</v>
      </c>
      <c r="R154" s="393">
        <v>0</v>
      </c>
      <c r="S154" s="393">
        <v>0</v>
      </c>
      <c r="T154" s="393"/>
      <c r="U154" s="393"/>
      <c r="V154" s="393">
        <f>_xlfn.IFNA(VLOOKUP(A154,[3]進出口值表查詢結果!$C$11:$F$68,4,0),-[4]整車!$B$22)</f>
        <v>0</v>
      </c>
      <c r="W154" s="393">
        <f>_xlfn.IFNA(VLOOKUP(A154,[3]進出口值表查詢結果!$C$11:$F$68,3,0),-[4]整車!$B$22)</f>
        <v>0</v>
      </c>
      <c r="X154" s="393">
        <f>_xlfn.IFNA(VLOOKUP(A154,[5]進出口值表查詢結果!$C$11:$F$68,4,0),-[4]整車!$B$22)</f>
        <v>0</v>
      </c>
      <c r="Y154" s="393">
        <f>_xlfn.IFNA(VLOOKUP(A154,[5]進出口值表查詢結果!$C$11:$F$68,3,0),-[4]整車!$B$22)</f>
        <v>0</v>
      </c>
      <c r="Z154" s="387">
        <f t="shared" si="26"/>
        <v>0</v>
      </c>
      <c r="AA154" s="387">
        <f t="shared" si="27"/>
        <v>0</v>
      </c>
    </row>
    <row r="155" spans="1:27">
      <c r="A155" s="429" t="s">
        <v>339</v>
      </c>
      <c r="B155" s="393"/>
      <c r="C155" s="393"/>
      <c r="D155" s="393"/>
      <c r="E155" s="393"/>
      <c r="F155" s="393">
        <v>0</v>
      </c>
      <c r="G155" s="393"/>
      <c r="H155" s="393">
        <v>0</v>
      </c>
      <c r="I155" s="393">
        <v>0</v>
      </c>
      <c r="J155" s="394"/>
      <c r="K155" s="395"/>
      <c r="L155" s="393">
        <v>0</v>
      </c>
      <c r="M155" s="393">
        <v>0</v>
      </c>
      <c r="N155" s="393">
        <v>0</v>
      </c>
      <c r="O155" s="393">
        <v>0</v>
      </c>
      <c r="P155" s="393">
        <v>0</v>
      </c>
      <c r="Q155" s="393">
        <v>0</v>
      </c>
      <c r="R155" s="393">
        <v>0</v>
      </c>
      <c r="S155" s="393">
        <v>0</v>
      </c>
      <c r="T155" s="393"/>
      <c r="U155" s="393"/>
      <c r="V155" s="393">
        <f>_xlfn.IFNA(VLOOKUP(A155,[3]進出口值表查詢結果!$C$11:$F$68,4,0),-[4]整車!$B$22)</f>
        <v>0</v>
      </c>
      <c r="W155" s="393">
        <f>_xlfn.IFNA(VLOOKUP(A155,[3]進出口值表查詢結果!$C$11:$F$68,3,0),-[4]整車!$B$22)</f>
        <v>0</v>
      </c>
      <c r="X155" s="393">
        <f>_xlfn.IFNA(VLOOKUP(A155,[5]進出口值表查詢結果!$C$11:$F$68,4,0),-[4]整車!$B$22)</f>
        <v>0</v>
      </c>
      <c r="Y155" s="393">
        <f>_xlfn.IFNA(VLOOKUP(A155,[5]進出口值表查詢結果!$C$11:$F$68,3,0),-[4]整車!$B$22)</f>
        <v>0</v>
      </c>
      <c r="Z155" s="387">
        <f t="shared" si="26"/>
        <v>0</v>
      </c>
      <c r="AA155" s="387">
        <f t="shared" si="27"/>
        <v>0</v>
      </c>
    </row>
    <row r="156" spans="1:27">
      <c r="A156" s="429" t="s">
        <v>196</v>
      </c>
      <c r="B156" s="393"/>
      <c r="C156" s="393"/>
      <c r="D156" s="393"/>
      <c r="E156" s="393"/>
      <c r="F156" s="393">
        <v>0</v>
      </c>
      <c r="G156" s="393"/>
      <c r="H156" s="393">
        <v>0</v>
      </c>
      <c r="I156" s="393">
        <v>0</v>
      </c>
      <c r="J156" s="394"/>
      <c r="K156" s="395"/>
      <c r="L156" s="393">
        <v>0</v>
      </c>
      <c r="M156" s="393">
        <v>0</v>
      </c>
      <c r="N156" s="393">
        <v>0</v>
      </c>
      <c r="O156" s="393">
        <v>0</v>
      </c>
      <c r="P156" s="393">
        <v>0</v>
      </c>
      <c r="Q156" s="393">
        <v>0</v>
      </c>
      <c r="R156" s="393">
        <v>0</v>
      </c>
      <c r="S156" s="393">
        <v>0</v>
      </c>
      <c r="T156" s="393"/>
      <c r="U156" s="393"/>
      <c r="V156" s="393">
        <f>_xlfn.IFNA(VLOOKUP(A156,[3]進出口值表查詢結果!$C$11:$F$68,4,0),-[4]整車!$B$22)</f>
        <v>0</v>
      </c>
      <c r="W156" s="393">
        <f>_xlfn.IFNA(VLOOKUP(A156,[3]進出口值表查詢結果!$C$11:$F$68,3,0),-[4]整車!$B$22)</f>
        <v>0</v>
      </c>
      <c r="X156" s="393">
        <f>_xlfn.IFNA(VLOOKUP(A156,[5]進出口值表查詢結果!$C$11:$F$68,4,0),-[4]整車!$B$22)</f>
        <v>0</v>
      </c>
      <c r="Y156" s="393">
        <f>_xlfn.IFNA(VLOOKUP(A156,[5]進出口值表查詢結果!$C$11:$F$68,3,0),-[4]整車!$B$22)</f>
        <v>0</v>
      </c>
      <c r="Z156" s="387">
        <f t="shared" si="26"/>
        <v>0</v>
      </c>
      <c r="AA156" s="387">
        <f t="shared" si="27"/>
        <v>0</v>
      </c>
    </row>
    <row r="157" spans="1:27">
      <c r="A157" s="429" t="s">
        <v>340</v>
      </c>
      <c r="B157" s="393"/>
      <c r="C157" s="393"/>
      <c r="D157" s="393"/>
      <c r="E157" s="393"/>
      <c r="F157" s="393">
        <v>0</v>
      </c>
      <c r="G157" s="393"/>
      <c r="H157" s="393">
        <v>0</v>
      </c>
      <c r="I157" s="393">
        <v>0</v>
      </c>
      <c r="J157" s="394"/>
      <c r="K157" s="395"/>
      <c r="L157" s="393">
        <v>0</v>
      </c>
      <c r="M157" s="393">
        <v>0</v>
      </c>
      <c r="N157" s="393">
        <v>0</v>
      </c>
      <c r="O157" s="393">
        <v>0</v>
      </c>
      <c r="P157" s="393">
        <v>113</v>
      </c>
      <c r="Q157" s="393">
        <v>610</v>
      </c>
      <c r="R157" s="393">
        <v>25</v>
      </c>
      <c r="S157" s="393">
        <v>408</v>
      </c>
      <c r="T157" s="393">
        <v>56</v>
      </c>
      <c r="U157" s="393">
        <v>448</v>
      </c>
      <c r="V157" s="393">
        <f>_xlfn.IFNA(VLOOKUP(A157,[3]進出口值表查詢結果!$C$11:$F$68,4,0),-[4]整車!$B$22)</f>
        <v>0</v>
      </c>
      <c r="W157" s="393">
        <f>_xlfn.IFNA(VLOOKUP(A157,[3]進出口值表查詢結果!$C$11:$F$68,3,0),-[4]整車!$B$22)</f>
        <v>0</v>
      </c>
      <c r="X157" s="393">
        <f>_xlfn.IFNA(VLOOKUP(A157,[5]進出口值表查詢結果!$C$11:$F$75,4,0),-[4]整車!$B$22)</f>
        <v>6</v>
      </c>
      <c r="Y157" s="393">
        <f>_xlfn.IFNA(VLOOKUP(A157,[5]進出口值表查詢結果!$C$11:$F$75,3,0),-[4]整車!$B$22)</f>
        <v>175</v>
      </c>
      <c r="Z157" s="387">
        <f t="shared" si="26"/>
        <v>200</v>
      </c>
      <c r="AA157" s="387">
        <f t="shared" si="27"/>
        <v>1641</v>
      </c>
    </row>
    <row r="158" spans="1:27">
      <c r="A158" s="429" t="s">
        <v>341</v>
      </c>
      <c r="B158" s="393"/>
      <c r="C158" s="393"/>
      <c r="D158" s="393"/>
      <c r="E158" s="393"/>
      <c r="F158" s="393">
        <v>0</v>
      </c>
      <c r="G158" s="393"/>
      <c r="H158" s="393">
        <v>0</v>
      </c>
      <c r="I158" s="393">
        <v>0</v>
      </c>
      <c r="J158" s="394"/>
      <c r="K158" s="395"/>
      <c r="L158" s="393">
        <v>0</v>
      </c>
      <c r="M158" s="393">
        <v>0</v>
      </c>
      <c r="N158" s="393">
        <v>0</v>
      </c>
      <c r="O158" s="393">
        <v>0</v>
      </c>
      <c r="P158" s="393">
        <v>0</v>
      </c>
      <c r="Q158" s="393">
        <v>0</v>
      </c>
      <c r="R158" s="393">
        <v>0</v>
      </c>
      <c r="S158" s="393">
        <v>0</v>
      </c>
      <c r="T158" s="393"/>
      <c r="U158" s="393"/>
      <c r="V158" s="393">
        <f>_xlfn.IFNA(VLOOKUP(A158,[3]進出口值表查詢結果!$C$11:$F$68,4,0),-[4]整車!$B$22)</f>
        <v>0</v>
      </c>
      <c r="W158" s="393">
        <f>_xlfn.IFNA(VLOOKUP(A158,[3]進出口值表查詢結果!$C$11:$F$68,3,0),-[4]整車!$B$22)</f>
        <v>0</v>
      </c>
      <c r="X158" s="393">
        <f>_xlfn.IFNA(VLOOKUP(A158,[5]進出口值表查詢結果!$C$11:$F$75,4,0),-[4]整車!$B$22)</f>
        <v>0</v>
      </c>
      <c r="Y158" s="393">
        <f>_xlfn.IFNA(VLOOKUP(A158,[5]進出口值表查詢結果!$C$11:$F$75,3,0),-[4]整車!$B$22)</f>
        <v>0</v>
      </c>
      <c r="Z158" s="387">
        <f t="shared" si="26"/>
        <v>0</v>
      </c>
      <c r="AA158" s="387">
        <f t="shared" si="27"/>
        <v>0</v>
      </c>
    </row>
    <row r="159" spans="1:27">
      <c r="A159" s="429" t="s">
        <v>342</v>
      </c>
      <c r="B159" s="393"/>
      <c r="C159" s="393"/>
      <c r="D159" s="393"/>
      <c r="E159" s="393"/>
      <c r="F159" s="393">
        <v>0</v>
      </c>
      <c r="G159" s="393"/>
      <c r="H159" s="393">
        <v>0</v>
      </c>
      <c r="I159" s="393">
        <v>0</v>
      </c>
      <c r="J159" s="394"/>
      <c r="K159" s="395"/>
      <c r="L159" s="393">
        <v>0</v>
      </c>
      <c r="M159" s="393">
        <v>0</v>
      </c>
      <c r="N159" s="393">
        <v>0</v>
      </c>
      <c r="O159" s="393">
        <v>0</v>
      </c>
      <c r="P159" s="393">
        <v>0</v>
      </c>
      <c r="Q159" s="393">
        <v>0</v>
      </c>
      <c r="R159" s="393">
        <v>0</v>
      </c>
      <c r="S159" s="393">
        <v>0</v>
      </c>
      <c r="T159" s="393"/>
      <c r="U159" s="393"/>
      <c r="V159" s="393">
        <f>_xlfn.IFNA(VLOOKUP(A159,[3]進出口值表查詢結果!$C$11:$F$68,4,0),-[4]整車!$B$22)</f>
        <v>0</v>
      </c>
      <c r="W159" s="393">
        <f>_xlfn.IFNA(VLOOKUP(A159,[3]進出口值表查詢結果!$C$11:$F$68,3,0),-[4]整車!$B$22)</f>
        <v>0</v>
      </c>
      <c r="X159" s="393">
        <f>_xlfn.IFNA(VLOOKUP(A159,[5]進出口值表查詢結果!$C$11:$F$75,4,0),-[4]整車!$B$22)</f>
        <v>0</v>
      </c>
      <c r="Y159" s="393">
        <f>_xlfn.IFNA(VLOOKUP(A159,[5]進出口值表查詢結果!$C$11:$F$75,3,0),-[4]整車!$B$22)</f>
        <v>0</v>
      </c>
      <c r="Z159" s="387">
        <f t="shared" si="26"/>
        <v>0</v>
      </c>
      <c r="AA159" s="387">
        <f t="shared" si="27"/>
        <v>0</v>
      </c>
    </row>
    <row r="160" spans="1:27">
      <c r="A160" s="429" t="s">
        <v>343</v>
      </c>
      <c r="B160" s="393"/>
      <c r="C160" s="393"/>
      <c r="D160" s="393"/>
      <c r="E160" s="393"/>
      <c r="F160" s="393">
        <v>4</v>
      </c>
      <c r="G160" s="393">
        <v>3551</v>
      </c>
      <c r="H160" s="393">
        <v>0</v>
      </c>
      <c r="I160" s="393">
        <v>0</v>
      </c>
      <c r="J160" s="394"/>
      <c r="K160" s="395"/>
      <c r="L160" s="393">
        <v>0</v>
      </c>
      <c r="M160" s="393">
        <v>0</v>
      </c>
      <c r="N160" s="393">
        <v>0</v>
      </c>
      <c r="O160" s="393">
        <v>0</v>
      </c>
      <c r="P160" s="393">
        <v>155</v>
      </c>
      <c r="Q160" s="393">
        <v>20061</v>
      </c>
      <c r="R160" s="393">
        <v>0</v>
      </c>
      <c r="S160" s="393">
        <v>0</v>
      </c>
      <c r="T160" s="393"/>
      <c r="U160" s="393"/>
      <c r="V160" s="393">
        <f>_xlfn.IFNA(VLOOKUP(A160,[3]進出口值表查詢結果!$C$11:$F$68,4,0),-[4]整車!$B$22)</f>
        <v>0</v>
      </c>
      <c r="W160" s="393">
        <f>_xlfn.IFNA(VLOOKUP(A160,[3]進出口值表查詢結果!$C$11:$F$68,3,0),-[4]整車!$B$22)</f>
        <v>0</v>
      </c>
      <c r="X160" s="393">
        <f>_xlfn.IFNA(VLOOKUP(A160,[5]進出口值表查詢結果!$C$11:$F$75,4,0),-[4]整車!$B$22)</f>
        <v>0</v>
      </c>
      <c r="Y160" s="393">
        <f>_xlfn.IFNA(VLOOKUP(A160,[5]進出口值表查詢結果!$C$11:$F$75,3,0),-[4]整車!$B$22)</f>
        <v>0</v>
      </c>
      <c r="Z160" s="387">
        <f t="shared" si="26"/>
        <v>159</v>
      </c>
      <c r="AA160" s="387">
        <f t="shared" si="27"/>
        <v>23612</v>
      </c>
    </row>
    <row r="161" spans="1:27">
      <c r="A161" s="429" t="s">
        <v>344</v>
      </c>
      <c r="B161" s="393">
        <v>17</v>
      </c>
      <c r="C161" s="393">
        <v>28291</v>
      </c>
      <c r="D161" s="393"/>
      <c r="E161" s="393"/>
      <c r="F161" s="393">
        <v>0</v>
      </c>
      <c r="G161" s="393"/>
      <c r="H161" s="393">
        <v>35</v>
      </c>
      <c r="I161" s="393">
        <v>30408</v>
      </c>
      <c r="J161" s="394"/>
      <c r="K161" s="395"/>
      <c r="L161" s="393">
        <v>39</v>
      </c>
      <c r="M161" s="393">
        <v>54290</v>
      </c>
      <c r="N161" s="393">
        <v>0</v>
      </c>
      <c r="O161" s="393">
        <v>0</v>
      </c>
      <c r="P161" s="393">
        <v>36</v>
      </c>
      <c r="Q161" s="393">
        <v>38326</v>
      </c>
      <c r="R161" s="393">
        <v>0</v>
      </c>
      <c r="S161" s="393">
        <v>0</v>
      </c>
      <c r="T161" s="393">
        <v>41</v>
      </c>
      <c r="U161" s="393">
        <v>29673</v>
      </c>
      <c r="V161" s="393">
        <f>_xlfn.IFNA(VLOOKUP(A161,[3]進出口值表查詢結果!$C$11:$F$68,4,0),-[4]整車!$B$22)</f>
        <v>0</v>
      </c>
      <c r="W161" s="393">
        <f>_xlfn.IFNA(VLOOKUP(A161,[3]進出口值表查詢結果!$C$11:$F$68,3,0),-[4]整車!$B$22)</f>
        <v>0</v>
      </c>
      <c r="X161" s="393">
        <f>_xlfn.IFNA(VLOOKUP(A161,[5]進出口值表查詢結果!$C$11:$F$75,4,0),-[4]整車!$B$22)</f>
        <v>50</v>
      </c>
      <c r="Y161" s="393">
        <f>_xlfn.IFNA(VLOOKUP(A161,[5]進出口值表查詢結果!$C$11:$F$75,3,0),-[4]整車!$B$22)</f>
        <v>63646</v>
      </c>
      <c r="Z161" s="387">
        <f t="shared" si="26"/>
        <v>218</v>
      </c>
      <c r="AA161" s="387">
        <f t="shared" si="27"/>
        <v>244634</v>
      </c>
    </row>
    <row r="162" spans="1:27">
      <c r="A162" s="429" t="s">
        <v>345</v>
      </c>
      <c r="B162" s="393"/>
      <c r="C162" s="393"/>
      <c r="D162" s="393"/>
      <c r="E162" s="393"/>
      <c r="F162" s="393">
        <v>0</v>
      </c>
      <c r="G162" s="393"/>
      <c r="H162" s="393">
        <v>0</v>
      </c>
      <c r="I162" s="393">
        <v>0</v>
      </c>
      <c r="J162" s="394">
        <v>5</v>
      </c>
      <c r="K162" s="395">
        <v>802</v>
      </c>
      <c r="L162" s="393">
        <v>0</v>
      </c>
      <c r="M162" s="393">
        <v>0</v>
      </c>
      <c r="N162" s="393">
        <v>0</v>
      </c>
      <c r="O162" s="393">
        <v>0</v>
      </c>
      <c r="P162" s="393">
        <v>0</v>
      </c>
      <c r="Q162" s="393">
        <v>0</v>
      </c>
      <c r="R162" s="393">
        <v>0</v>
      </c>
      <c r="S162" s="393">
        <v>0</v>
      </c>
      <c r="T162" s="393"/>
      <c r="U162" s="393"/>
      <c r="V162" s="393">
        <f>_xlfn.IFNA(VLOOKUP(A162,[3]進出口值表查詢結果!$C$11:$F$68,4,0),-[4]整車!$B$22)</f>
        <v>0</v>
      </c>
      <c r="W162" s="393">
        <f>_xlfn.IFNA(VLOOKUP(A162,[3]進出口值表查詢結果!$C$11:$F$68,3,0),-[4]整車!$B$22)</f>
        <v>0</v>
      </c>
      <c r="X162" s="393">
        <f>_xlfn.IFNA(VLOOKUP(A162,[5]進出口值表查詢結果!$C$11:$F$75,4,0),-[4]整車!$B$22)</f>
        <v>0</v>
      </c>
      <c r="Y162" s="393">
        <f>_xlfn.IFNA(VLOOKUP(A162,[5]進出口值表查詢結果!$C$11:$F$75,3,0),-[4]整車!$B$22)</f>
        <v>0</v>
      </c>
      <c r="Z162" s="387">
        <f t="shared" si="26"/>
        <v>5</v>
      </c>
      <c r="AA162" s="387">
        <f t="shared" si="27"/>
        <v>802</v>
      </c>
    </row>
    <row r="163" spans="1:27">
      <c r="A163" s="429" t="s">
        <v>346</v>
      </c>
      <c r="B163" s="393"/>
      <c r="C163" s="393"/>
      <c r="D163" s="393"/>
      <c r="E163" s="393"/>
      <c r="F163" s="393">
        <v>0</v>
      </c>
      <c r="G163" s="393"/>
      <c r="H163" s="393">
        <v>0</v>
      </c>
      <c r="I163" s="393">
        <v>0</v>
      </c>
      <c r="J163" s="394">
        <v>120</v>
      </c>
      <c r="K163" s="395">
        <v>401</v>
      </c>
      <c r="L163" s="393">
        <v>82</v>
      </c>
      <c r="M163" s="393">
        <v>6803</v>
      </c>
      <c r="N163" s="393">
        <v>0</v>
      </c>
      <c r="O163" s="393">
        <v>0</v>
      </c>
      <c r="P163" s="393">
        <v>512</v>
      </c>
      <c r="Q163" s="393">
        <v>5219</v>
      </c>
      <c r="R163" s="393">
        <v>0</v>
      </c>
      <c r="S163" s="393">
        <v>0</v>
      </c>
      <c r="T163" s="393"/>
      <c r="U163" s="393"/>
      <c r="V163" s="393">
        <f>_xlfn.IFNA(VLOOKUP(A163,[3]進出口值表查詢結果!$C$11:$F$68,4,0),-[4]整車!$B$22)</f>
        <v>0</v>
      </c>
      <c r="W163" s="393">
        <f>_xlfn.IFNA(VLOOKUP(A163,[3]進出口值表查詢結果!$C$11:$F$68,3,0),-[4]整車!$B$22)</f>
        <v>0</v>
      </c>
      <c r="X163" s="393">
        <f>_xlfn.IFNA(VLOOKUP(A163,[5]進出口值表查詢結果!$C$11:$F$75,4,0),-[4]整車!$B$22)</f>
        <v>0</v>
      </c>
      <c r="Y163" s="393">
        <f>_xlfn.IFNA(VLOOKUP(A163,[5]進出口值表查詢結果!$C$11:$F$75,3,0),-[4]整車!$B$22)</f>
        <v>0</v>
      </c>
      <c r="Z163" s="387">
        <f t="shared" si="26"/>
        <v>714</v>
      </c>
      <c r="AA163" s="387">
        <f t="shared" si="27"/>
        <v>12423</v>
      </c>
    </row>
    <row r="164" spans="1:27">
      <c r="A164" s="429" t="s">
        <v>347</v>
      </c>
      <c r="B164" s="393"/>
      <c r="C164" s="393"/>
      <c r="D164" s="393"/>
      <c r="E164" s="393"/>
      <c r="F164" s="393">
        <v>0</v>
      </c>
      <c r="G164" s="393"/>
      <c r="H164" s="393">
        <v>0</v>
      </c>
      <c r="I164" s="393">
        <v>0</v>
      </c>
      <c r="J164" s="394"/>
      <c r="K164" s="395"/>
      <c r="L164" s="393">
        <v>0</v>
      </c>
      <c r="M164" s="393">
        <v>0</v>
      </c>
      <c r="N164" s="393">
        <v>0</v>
      </c>
      <c r="O164" s="393">
        <v>0</v>
      </c>
      <c r="P164" s="393">
        <v>0</v>
      </c>
      <c r="Q164" s="393">
        <v>0</v>
      </c>
      <c r="R164" s="393">
        <v>0</v>
      </c>
      <c r="S164" s="393">
        <v>0</v>
      </c>
      <c r="T164" s="393"/>
      <c r="U164" s="393"/>
      <c r="V164" s="393">
        <f>_xlfn.IFNA(VLOOKUP(A164,[3]進出口值表查詢結果!$C$11:$F$68,4,0),-[4]整車!$B$22)</f>
        <v>0</v>
      </c>
      <c r="W164" s="393">
        <f>_xlfn.IFNA(VLOOKUP(A164,[3]進出口值表查詢結果!$C$11:$F$68,3,0),-[4]整車!$B$22)</f>
        <v>0</v>
      </c>
      <c r="X164" s="393">
        <f>_xlfn.IFNA(VLOOKUP(A164,[5]進出口值表查詢結果!$C$11:$F$75,4,0),-[4]整車!$B$22)</f>
        <v>0</v>
      </c>
      <c r="Y164" s="393">
        <f>_xlfn.IFNA(VLOOKUP(A164,[5]進出口值表查詢結果!$C$11:$F$75,3,0),-[4]整車!$B$22)</f>
        <v>0</v>
      </c>
      <c r="Z164" s="387">
        <f t="shared" si="26"/>
        <v>0</v>
      </c>
      <c r="AA164" s="387">
        <f t="shared" si="27"/>
        <v>0</v>
      </c>
    </row>
    <row r="165" spans="1:27">
      <c r="A165" s="429" t="s">
        <v>348</v>
      </c>
      <c r="B165" s="393"/>
      <c r="C165" s="393"/>
      <c r="D165" s="393"/>
      <c r="E165" s="393"/>
      <c r="F165" s="393">
        <v>0</v>
      </c>
      <c r="G165" s="393"/>
      <c r="H165" s="393">
        <v>0</v>
      </c>
      <c r="I165" s="393">
        <v>0</v>
      </c>
      <c r="J165" s="394"/>
      <c r="K165" s="395"/>
      <c r="L165" s="393">
        <v>0</v>
      </c>
      <c r="M165" s="393">
        <v>0</v>
      </c>
      <c r="N165" s="393">
        <v>0</v>
      </c>
      <c r="O165" s="393">
        <v>0</v>
      </c>
      <c r="P165" s="393">
        <v>0</v>
      </c>
      <c r="Q165" s="393">
        <v>0</v>
      </c>
      <c r="R165" s="393">
        <v>0</v>
      </c>
      <c r="S165" s="393">
        <v>0</v>
      </c>
      <c r="T165" s="393"/>
      <c r="U165" s="393"/>
      <c r="V165" s="393">
        <f>_xlfn.IFNA(VLOOKUP(A165,[3]進出口值表查詢結果!$C$11:$F$68,4,0),-[4]整車!$B$22)</f>
        <v>0</v>
      </c>
      <c r="W165" s="393">
        <f>_xlfn.IFNA(VLOOKUP(A165,[3]進出口值表查詢結果!$C$11:$F$68,3,0),-[4]整車!$B$22)</f>
        <v>0</v>
      </c>
      <c r="X165" s="393">
        <f>_xlfn.IFNA(VLOOKUP(A165,[5]進出口值表查詢結果!$C$11:$F$75,4,0),-[4]整車!$B$22)</f>
        <v>0</v>
      </c>
      <c r="Y165" s="393">
        <f>_xlfn.IFNA(VLOOKUP(A165,[5]進出口值表查詢結果!$C$11:$F$75,3,0),-[4]整車!$B$22)</f>
        <v>0</v>
      </c>
      <c r="Z165" s="387">
        <f t="shared" si="26"/>
        <v>0</v>
      </c>
      <c r="AA165" s="387">
        <f t="shared" si="27"/>
        <v>0</v>
      </c>
    </row>
    <row r="166" spans="1:27">
      <c r="A166" s="429" t="s">
        <v>349</v>
      </c>
      <c r="B166" s="393"/>
      <c r="C166" s="393"/>
      <c r="D166" s="393"/>
      <c r="E166" s="393"/>
      <c r="F166" s="393">
        <v>0</v>
      </c>
      <c r="G166" s="393"/>
      <c r="H166" s="393">
        <v>0</v>
      </c>
      <c r="I166" s="393">
        <v>0</v>
      </c>
      <c r="J166" s="394"/>
      <c r="K166" s="395"/>
      <c r="L166" s="393">
        <v>0</v>
      </c>
      <c r="M166" s="393">
        <v>0</v>
      </c>
      <c r="N166" s="393">
        <v>0</v>
      </c>
      <c r="O166" s="393">
        <v>0</v>
      </c>
      <c r="P166" s="393">
        <v>0</v>
      </c>
      <c r="Q166" s="393">
        <v>0</v>
      </c>
      <c r="R166" s="393">
        <v>0</v>
      </c>
      <c r="S166" s="393">
        <v>0</v>
      </c>
      <c r="T166" s="393"/>
      <c r="U166" s="393"/>
      <c r="V166" s="393">
        <f>_xlfn.IFNA(VLOOKUP(A166,[3]進出口值表查詢結果!$C$11:$F$68,4,0),-[4]整車!$B$22)</f>
        <v>0</v>
      </c>
      <c r="W166" s="393">
        <f>_xlfn.IFNA(VLOOKUP(A166,[3]進出口值表查詢結果!$C$11:$F$68,3,0),-[4]整車!$B$22)</f>
        <v>0</v>
      </c>
      <c r="X166" s="393">
        <f>_xlfn.IFNA(VLOOKUP(A166,[5]進出口值表查詢結果!$C$11:$F$75,4,0),-[4]整車!$B$22)</f>
        <v>0</v>
      </c>
      <c r="Y166" s="393">
        <f>_xlfn.IFNA(VLOOKUP(A166,[5]進出口值表查詢結果!$C$11:$F$75,3,0),-[4]整車!$B$22)</f>
        <v>0</v>
      </c>
      <c r="Z166" s="387">
        <f t="shared" si="26"/>
        <v>0</v>
      </c>
      <c r="AA166" s="387">
        <f t="shared" si="27"/>
        <v>0</v>
      </c>
    </row>
    <row r="167" spans="1:27">
      <c r="A167" s="429" t="s">
        <v>350</v>
      </c>
      <c r="B167" s="393"/>
      <c r="C167" s="393"/>
      <c r="D167" s="393"/>
      <c r="E167" s="393"/>
      <c r="F167" s="393">
        <v>0</v>
      </c>
      <c r="G167" s="393"/>
      <c r="H167" s="393">
        <v>0</v>
      </c>
      <c r="I167" s="393">
        <v>0</v>
      </c>
      <c r="J167" s="394"/>
      <c r="K167" s="395"/>
      <c r="L167" s="393">
        <v>0</v>
      </c>
      <c r="M167" s="393">
        <v>0</v>
      </c>
      <c r="N167" s="393">
        <v>0</v>
      </c>
      <c r="O167" s="393">
        <v>0</v>
      </c>
      <c r="P167" s="393">
        <v>0</v>
      </c>
      <c r="Q167" s="393">
        <v>0</v>
      </c>
      <c r="R167" s="393">
        <v>0</v>
      </c>
      <c r="S167" s="393">
        <v>0</v>
      </c>
      <c r="T167" s="393"/>
      <c r="U167" s="393"/>
      <c r="V167" s="393">
        <f>_xlfn.IFNA(VLOOKUP(A167,[3]進出口值表查詢結果!$C$11:$F$68,4,0),-[4]整車!$B$22)</f>
        <v>0</v>
      </c>
      <c r="W167" s="393">
        <f>_xlfn.IFNA(VLOOKUP(A167,[3]進出口值表查詢結果!$C$11:$F$68,3,0),-[4]整車!$B$22)</f>
        <v>0</v>
      </c>
      <c r="X167" s="393">
        <f>_xlfn.IFNA(VLOOKUP(A167,[5]進出口值表查詢結果!$C$11:$F$75,4,0),-[4]整車!$B$22)</f>
        <v>0</v>
      </c>
      <c r="Y167" s="393">
        <f>_xlfn.IFNA(VLOOKUP(A167,[5]進出口值表查詢結果!$C$11:$F$75,3,0),-[4]整車!$B$22)</f>
        <v>0</v>
      </c>
      <c r="Z167" s="387">
        <f t="shared" si="26"/>
        <v>0</v>
      </c>
      <c r="AA167" s="387">
        <f t="shared" si="27"/>
        <v>0</v>
      </c>
    </row>
    <row r="168" spans="1:27">
      <c r="A168" s="429" t="s">
        <v>351</v>
      </c>
      <c r="B168" s="393">
        <v>30</v>
      </c>
      <c r="C168" s="393">
        <v>67</v>
      </c>
      <c r="D168" s="393">
        <v>30</v>
      </c>
      <c r="E168" s="393">
        <v>167</v>
      </c>
      <c r="F168" s="393">
        <v>0</v>
      </c>
      <c r="G168" s="393"/>
      <c r="H168" s="393">
        <v>0</v>
      </c>
      <c r="I168" s="393">
        <v>0</v>
      </c>
      <c r="J168" s="394"/>
      <c r="K168" s="395"/>
      <c r="L168" s="393">
        <v>0</v>
      </c>
      <c r="M168" s="393">
        <v>0</v>
      </c>
      <c r="N168" s="393">
        <v>0</v>
      </c>
      <c r="O168" s="393">
        <v>0</v>
      </c>
      <c r="P168" s="393">
        <v>0</v>
      </c>
      <c r="Q168" s="393">
        <v>0</v>
      </c>
      <c r="R168" s="393">
        <v>0</v>
      </c>
      <c r="S168" s="393">
        <v>0</v>
      </c>
      <c r="T168" s="393">
        <v>10</v>
      </c>
      <c r="U168" s="393">
        <v>103</v>
      </c>
      <c r="V168" s="393">
        <f>_xlfn.IFNA(VLOOKUP(A168,[3]進出口值表查詢結果!$C$11:$F$68,4,0),-[4]整車!$B$22)</f>
        <v>0</v>
      </c>
      <c r="W168" s="393">
        <f>_xlfn.IFNA(VLOOKUP(A168,[3]進出口值表查詢結果!$C$11:$F$68,3,0),-[4]整車!$B$22)</f>
        <v>0</v>
      </c>
      <c r="X168" s="393">
        <f>_xlfn.IFNA(VLOOKUP(A168,[5]進出口值表查詢結果!$C$11:$F$75,4,0),-[4]整車!$B$22)</f>
        <v>0</v>
      </c>
      <c r="Y168" s="393">
        <f>_xlfn.IFNA(VLOOKUP(A168,[5]進出口值表查詢結果!$C$11:$F$75,3,0),-[4]整車!$B$22)</f>
        <v>0</v>
      </c>
      <c r="Z168" s="387">
        <f t="shared" ref="Z168:Z185" si="29">SUM(B168,D168,F168,H168,J168,L168,N168,P168,R168,T168,V168,X168)</f>
        <v>70</v>
      </c>
      <c r="AA168" s="387">
        <f t="shared" ref="AA168:AA185" si="30">SUM(C168,E168,G168,I168,K168,M168,O168,Q168,S168,U168,W168,Y168)</f>
        <v>337</v>
      </c>
    </row>
    <row r="169" spans="1:27">
      <c r="A169" s="429" t="s">
        <v>405</v>
      </c>
      <c r="B169" s="393"/>
      <c r="C169" s="393"/>
      <c r="D169" s="393"/>
      <c r="E169" s="393"/>
      <c r="F169" s="393">
        <v>0</v>
      </c>
      <c r="G169" s="393"/>
      <c r="H169" s="393">
        <v>0</v>
      </c>
      <c r="I169" s="393">
        <v>0</v>
      </c>
      <c r="J169" s="394"/>
      <c r="K169" s="395"/>
      <c r="L169" s="393">
        <v>0</v>
      </c>
      <c r="M169" s="393">
        <v>0</v>
      </c>
      <c r="N169" s="393">
        <v>0</v>
      </c>
      <c r="O169" s="393">
        <v>0</v>
      </c>
      <c r="P169" s="393">
        <v>0</v>
      </c>
      <c r="Q169" s="393">
        <v>0</v>
      </c>
      <c r="R169" s="393">
        <v>0</v>
      </c>
      <c r="S169" s="393">
        <v>0</v>
      </c>
      <c r="T169" s="393"/>
      <c r="U169" s="393"/>
      <c r="V169" s="393">
        <f>_xlfn.IFNA(VLOOKUP(A169,[3]進出口值表查詢結果!$C$11:$F$68,4,0),-[4]整車!$B$22)</f>
        <v>0</v>
      </c>
      <c r="W169" s="393">
        <f>_xlfn.IFNA(VLOOKUP(A169,[3]進出口值表查詢結果!$C$11:$F$68,3,0),-[4]整車!$B$22)</f>
        <v>0</v>
      </c>
      <c r="X169" s="393">
        <f>_xlfn.IFNA(VLOOKUP(A169,[5]進出口值表查詢結果!$C$11:$F$75,4,0),-[4]整車!$B$22)</f>
        <v>52</v>
      </c>
      <c r="Y169" s="393">
        <f>_xlfn.IFNA(VLOOKUP(A169,[5]進出口值表查詢結果!$C$11:$F$75,3,0),-[4]整車!$B$22)</f>
        <v>175</v>
      </c>
      <c r="Z169" s="387">
        <f t="shared" si="29"/>
        <v>52</v>
      </c>
      <c r="AA169" s="387">
        <f t="shared" si="30"/>
        <v>175</v>
      </c>
    </row>
    <row r="170" spans="1:27">
      <c r="A170" s="429" t="s">
        <v>352</v>
      </c>
      <c r="B170" s="393">
        <v>6</v>
      </c>
      <c r="C170" s="393">
        <v>400</v>
      </c>
      <c r="D170" s="393"/>
      <c r="E170" s="393"/>
      <c r="F170" s="393">
        <v>0</v>
      </c>
      <c r="G170" s="393"/>
      <c r="H170" s="393">
        <v>0</v>
      </c>
      <c r="I170" s="393">
        <v>0</v>
      </c>
      <c r="J170" s="394"/>
      <c r="K170" s="395"/>
      <c r="L170" s="393">
        <v>0</v>
      </c>
      <c r="M170" s="393">
        <v>0</v>
      </c>
      <c r="N170" s="393">
        <v>0</v>
      </c>
      <c r="O170" s="393">
        <v>0</v>
      </c>
      <c r="P170" s="393">
        <v>0</v>
      </c>
      <c r="Q170" s="393">
        <v>0</v>
      </c>
      <c r="R170" s="393">
        <v>0</v>
      </c>
      <c r="S170" s="393">
        <v>0</v>
      </c>
      <c r="T170" s="393"/>
      <c r="U170" s="393"/>
      <c r="V170" s="393">
        <f>_xlfn.IFNA(VLOOKUP(A170,[3]進出口值表查詢結果!$C$11:$F$68,4,0),-[4]整車!$B$22)</f>
        <v>0</v>
      </c>
      <c r="W170" s="393">
        <f>_xlfn.IFNA(VLOOKUP(A170,[3]進出口值表查詢結果!$C$11:$F$68,3,0),-[4]整車!$B$22)</f>
        <v>0</v>
      </c>
      <c r="X170" s="393">
        <f>_xlfn.IFNA(VLOOKUP(A170,[5]進出口值表查詢結果!$C$11:$F$75,4,0),-[4]整車!$B$22)</f>
        <v>0</v>
      </c>
      <c r="Y170" s="393">
        <f>_xlfn.IFNA(VLOOKUP(A170,[5]進出口值表查詢結果!$C$11:$F$75,3,0),-[4]整車!$B$22)</f>
        <v>0</v>
      </c>
      <c r="Z170" s="387">
        <f t="shared" si="29"/>
        <v>6</v>
      </c>
      <c r="AA170" s="387">
        <f t="shared" si="30"/>
        <v>400</v>
      </c>
    </row>
    <row r="171" spans="1:27">
      <c r="A171" s="429" t="s">
        <v>353</v>
      </c>
      <c r="B171" s="393"/>
      <c r="C171" s="393"/>
      <c r="D171" s="393"/>
      <c r="E171" s="393"/>
      <c r="F171" s="393">
        <v>0</v>
      </c>
      <c r="G171" s="393"/>
      <c r="H171" s="393">
        <v>0</v>
      </c>
      <c r="I171" s="393">
        <v>0</v>
      </c>
      <c r="J171" s="394"/>
      <c r="K171" s="395"/>
      <c r="L171" s="393">
        <v>0</v>
      </c>
      <c r="M171" s="393">
        <v>0</v>
      </c>
      <c r="N171" s="393">
        <v>0</v>
      </c>
      <c r="O171" s="393">
        <v>0</v>
      </c>
      <c r="P171" s="393">
        <v>12</v>
      </c>
      <c r="Q171" s="393">
        <v>407</v>
      </c>
      <c r="R171" s="393">
        <v>0</v>
      </c>
      <c r="S171" s="393">
        <v>0</v>
      </c>
      <c r="T171" s="393"/>
      <c r="U171" s="393"/>
      <c r="V171" s="393">
        <f>_xlfn.IFNA(VLOOKUP(A171,[3]進出口值表查詢結果!$C$11:$F$68,4,0),-[4]整車!$B$22)</f>
        <v>0</v>
      </c>
      <c r="W171" s="393">
        <f>_xlfn.IFNA(VLOOKUP(A171,[3]進出口值表查詢結果!$C$11:$F$68,3,0),-[4]整車!$B$22)</f>
        <v>0</v>
      </c>
      <c r="X171" s="393">
        <f>_xlfn.IFNA(VLOOKUP(A171,[5]進出口值表查詢結果!$C$11:$F$75,4,0),-[4]整車!$B$22)</f>
        <v>40</v>
      </c>
      <c r="Y171" s="393">
        <f>_xlfn.IFNA(VLOOKUP(A171,[5]進出口值表查詢結果!$C$11:$F$75,3,0),-[4]整車!$B$22)</f>
        <v>420</v>
      </c>
      <c r="Z171" s="387">
        <f t="shared" si="29"/>
        <v>52</v>
      </c>
      <c r="AA171" s="387">
        <f t="shared" si="30"/>
        <v>827</v>
      </c>
    </row>
    <row r="172" spans="1:27">
      <c r="A172" s="429" t="s">
        <v>354</v>
      </c>
      <c r="B172" s="393"/>
      <c r="C172" s="393"/>
      <c r="D172" s="393"/>
      <c r="E172" s="393"/>
      <c r="F172" s="393">
        <v>0</v>
      </c>
      <c r="G172" s="393"/>
      <c r="H172" s="393">
        <v>0</v>
      </c>
      <c r="I172" s="393">
        <v>0</v>
      </c>
      <c r="J172" s="394"/>
      <c r="K172" s="395"/>
      <c r="L172" s="393">
        <v>0</v>
      </c>
      <c r="M172" s="393">
        <v>0</v>
      </c>
      <c r="N172" s="393">
        <v>0</v>
      </c>
      <c r="O172" s="393">
        <v>0</v>
      </c>
      <c r="P172" s="393">
        <v>0</v>
      </c>
      <c r="Q172" s="393">
        <v>0</v>
      </c>
      <c r="R172" s="393">
        <v>0</v>
      </c>
      <c r="S172" s="393">
        <v>0</v>
      </c>
      <c r="T172" s="393"/>
      <c r="U172" s="393"/>
      <c r="V172" s="393">
        <f>_xlfn.IFNA(VLOOKUP(A172,[3]進出口值表查詢結果!$C$11:$F$68,4,0),-[4]整車!$B$22)</f>
        <v>0</v>
      </c>
      <c r="W172" s="393">
        <f>_xlfn.IFNA(VLOOKUP(A172,[3]進出口值表查詢結果!$C$11:$F$68,3,0),-[4]整車!$B$22)</f>
        <v>0</v>
      </c>
      <c r="X172" s="393">
        <f>_xlfn.IFNA(VLOOKUP(A172,[5]進出口值表查詢結果!$C$11:$F$75,4,0),-[4]整車!$B$22)</f>
        <v>0</v>
      </c>
      <c r="Y172" s="393">
        <f>_xlfn.IFNA(VLOOKUP(A172,[5]進出口值表查詢結果!$C$11:$F$75,3,0),-[4]整車!$B$22)</f>
        <v>0</v>
      </c>
      <c r="Z172" s="387">
        <f t="shared" si="29"/>
        <v>0</v>
      </c>
      <c r="AA172" s="387">
        <f t="shared" si="30"/>
        <v>0</v>
      </c>
    </row>
    <row r="173" spans="1:27">
      <c r="A173" s="429" t="s">
        <v>194</v>
      </c>
      <c r="B173" s="393"/>
      <c r="C173" s="393"/>
      <c r="D173" s="393"/>
      <c r="E173" s="393"/>
      <c r="F173" s="393">
        <v>0</v>
      </c>
      <c r="G173" s="393"/>
      <c r="H173" s="393">
        <v>0</v>
      </c>
      <c r="I173" s="393">
        <v>0</v>
      </c>
      <c r="J173" s="394"/>
      <c r="K173" s="395"/>
      <c r="L173" s="393">
        <v>0</v>
      </c>
      <c r="M173" s="393">
        <v>0</v>
      </c>
      <c r="N173" s="393">
        <v>0</v>
      </c>
      <c r="O173" s="393">
        <v>0</v>
      </c>
      <c r="P173" s="393">
        <v>0</v>
      </c>
      <c r="Q173" s="393">
        <v>0</v>
      </c>
      <c r="R173" s="393">
        <v>0</v>
      </c>
      <c r="S173" s="393">
        <v>0</v>
      </c>
      <c r="T173" s="393"/>
      <c r="U173" s="393"/>
      <c r="V173" s="393">
        <f>_xlfn.IFNA(VLOOKUP(A173,[3]進出口值表查詢結果!$C$11:$F$68,4,0),-[4]整車!$B$22)</f>
        <v>0</v>
      </c>
      <c r="W173" s="393">
        <f>_xlfn.IFNA(VLOOKUP(A173,[3]進出口值表查詢結果!$C$11:$F$68,3,0),-[4]整車!$B$22)</f>
        <v>0</v>
      </c>
      <c r="X173" s="393">
        <f>_xlfn.IFNA(VLOOKUP(A173,[5]進出口值表查詢結果!$C$11:$F$75,4,0),-[4]整車!$B$22)</f>
        <v>0</v>
      </c>
      <c r="Y173" s="393">
        <f>_xlfn.IFNA(VLOOKUP(A173,[5]進出口值表查詢結果!$C$11:$F$75,3,0),-[4]整車!$B$22)</f>
        <v>0</v>
      </c>
      <c r="Z173" s="387">
        <f t="shared" si="29"/>
        <v>0</v>
      </c>
      <c r="AA173" s="387">
        <f t="shared" si="30"/>
        <v>0</v>
      </c>
    </row>
    <row r="174" spans="1:27">
      <c r="A174" s="429" t="s">
        <v>355</v>
      </c>
      <c r="B174" s="393"/>
      <c r="C174" s="393"/>
      <c r="D174" s="393"/>
      <c r="E174" s="393"/>
      <c r="F174" s="393">
        <v>0</v>
      </c>
      <c r="G174" s="393"/>
      <c r="H174" s="393">
        <v>0</v>
      </c>
      <c r="I174" s="393">
        <v>0</v>
      </c>
      <c r="J174" s="394"/>
      <c r="K174" s="395"/>
      <c r="L174" s="393">
        <v>0</v>
      </c>
      <c r="M174" s="393">
        <v>0</v>
      </c>
      <c r="N174" s="393">
        <v>0</v>
      </c>
      <c r="O174" s="393">
        <v>0</v>
      </c>
      <c r="P174" s="393">
        <v>0</v>
      </c>
      <c r="Q174" s="393">
        <v>0</v>
      </c>
      <c r="R174" s="393">
        <v>0</v>
      </c>
      <c r="S174" s="393">
        <v>0</v>
      </c>
      <c r="T174" s="393"/>
      <c r="U174" s="393"/>
      <c r="V174" s="393">
        <f>_xlfn.IFNA(VLOOKUP(A174,[3]進出口值表查詢結果!$C$11:$F$68,4,0),-[4]整車!$B$22)</f>
        <v>0</v>
      </c>
      <c r="W174" s="393">
        <f>_xlfn.IFNA(VLOOKUP(A174,[3]進出口值表查詢結果!$C$11:$F$68,3,0),-[4]整車!$B$22)</f>
        <v>0</v>
      </c>
      <c r="X174" s="393">
        <f>_xlfn.IFNA(VLOOKUP(A174,[5]進出口值表查詢結果!$C$11:$F$75,4,0),-[4]整車!$B$22)</f>
        <v>18</v>
      </c>
      <c r="Y174" s="393">
        <f>_xlfn.IFNA(VLOOKUP(A174,[5]進出口值表查詢結果!$C$11:$F$75,3,0),-[4]整車!$B$22)</f>
        <v>3324</v>
      </c>
      <c r="Z174" s="387">
        <f t="shared" si="29"/>
        <v>18</v>
      </c>
      <c r="AA174" s="387">
        <f t="shared" si="30"/>
        <v>3324</v>
      </c>
    </row>
    <row r="175" spans="1:27">
      <c r="A175" s="429" t="s">
        <v>356</v>
      </c>
      <c r="B175" s="393"/>
      <c r="C175" s="393"/>
      <c r="D175" s="393"/>
      <c r="E175" s="393"/>
      <c r="F175" s="393">
        <v>0</v>
      </c>
      <c r="G175" s="393"/>
      <c r="H175" s="393">
        <v>0</v>
      </c>
      <c r="I175" s="393">
        <v>0</v>
      </c>
      <c r="J175" s="394"/>
      <c r="K175" s="395"/>
      <c r="L175" s="393">
        <v>0</v>
      </c>
      <c r="M175" s="393">
        <v>0</v>
      </c>
      <c r="N175" s="393">
        <v>0</v>
      </c>
      <c r="O175" s="393">
        <v>0</v>
      </c>
      <c r="P175" s="393">
        <v>0</v>
      </c>
      <c r="Q175" s="393">
        <v>0</v>
      </c>
      <c r="R175" s="393">
        <v>0</v>
      </c>
      <c r="S175" s="393">
        <v>0</v>
      </c>
      <c r="T175" s="393"/>
      <c r="U175" s="393"/>
      <c r="V175" s="393">
        <f>_xlfn.IFNA(VLOOKUP(A175,[3]進出口值表查詢結果!$C$11:$F$68,4,0),-[4]整車!$B$22)</f>
        <v>0</v>
      </c>
      <c r="W175" s="393">
        <f>_xlfn.IFNA(VLOOKUP(A175,[3]進出口值表查詢結果!$C$11:$F$68,3,0),-[4]整車!$B$22)</f>
        <v>0</v>
      </c>
      <c r="X175" s="393">
        <f>_xlfn.IFNA(VLOOKUP(A175,[5]進出口值表查詢結果!$C$11:$F$75,4,0),-[4]整車!$B$22)</f>
        <v>0</v>
      </c>
      <c r="Y175" s="393">
        <f>_xlfn.IFNA(VLOOKUP(A175,[5]進出口值表查詢結果!$C$11:$F$75,3,0),-[4]整車!$B$22)</f>
        <v>0</v>
      </c>
      <c r="Z175" s="387">
        <f t="shared" si="29"/>
        <v>0</v>
      </c>
      <c r="AA175" s="387">
        <f t="shared" si="30"/>
        <v>0</v>
      </c>
    </row>
    <row r="176" spans="1:27">
      <c r="A176" s="429" t="s">
        <v>357</v>
      </c>
      <c r="B176" s="393"/>
      <c r="C176" s="393"/>
      <c r="D176" s="393"/>
      <c r="E176" s="393"/>
      <c r="F176" s="393">
        <v>0</v>
      </c>
      <c r="G176" s="393"/>
      <c r="H176" s="393">
        <v>0</v>
      </c>
      <c r="I176" s="393">
        <v>0</v>
      </c>
      <c r="J176" s="394"/>
      <c r="K176" s="395"/>
      <c r="L176" s="393">
        <v>0</v>
      </c>
      <c r="M176" s="393">
        <v>0</v>
      </c>
      <c r="N176" s="393">
        <v>0</v>
      </c>
      <c r="O176" s="393">
        <v>0</v>
      </c>
      <c r="P176" s="393">
        <v>0</v>
      </c>
      <c r="Q176" s="393">
        <v>0</v>
      </c>
      <c r="R176" s="393">
        <v>0</v>
      </c>
      <c r="S176" s="393">
        <v>0</v>
      </c>
      <c r="T176" s="393"/>
      <c r="U176" s="393"/>
      <c r="V176" s="393">
        <f>_xlfn.IFNA(VLOOKUP(A176,[3]進出口值表查詢結果!$C$11:$F$68,4,0),-[4]整車!$B$22)</f>
        <v>0</v>
      </c>
      <c r="W176" s="393">
        <f>_xlfn.IFNA(VLOOKUP(A176,[3]進出口值表查詢結果!$C$11:$F$68,3,0),-[4]整車!$B$22)</f>
        <v>0</v>
      </c>
      <c r="X176" s="393">
        <f>_xlfn.IFNA(VLOOKUP(A176,[5]進出口值表查詢結果!$C$11:$F$75,4,0),-[4]整車!$B$22)</f>
        <v>0</v>
      </c>
      <c r="Y176" s="393">
        <f>_xlfn.IFNA(VLOOKUP(A176,[5]進出口值表查詢結果!$C$11:$F$75,3,0),-[4]整車!$B$22)</f>
        <v>0</v>
      </c>
      <c r="Z176" s="387">
        <f t="shared" si="29"/>
        <v>0</v>
      </c>
      <c r="AA176" s="387">
        <f t="shared" si="30"/>
        <v>0</v>
      </c>
    </row>
    <row r="177" spans="1:27">
      <c r="A177" s="429" t="s">
        <v>358</v>
      </c>
      <c r="B177" s="393"/>
      <c r="C177" s="393"/>
      <c r="D177" s="393"/>
      <c r="E177" s="393"/>
      <c r="F177" s="393">
        <v>0</v>
      </c>
      <c r="G177" s="393"/>
      <c r="H177" s="393">
        <v>0</v>
      </c>
      <c r="I177" s="393">
        <v>0</v>
      </c>
      <c r="J177" s="394"/>
      <c r="K177" s="395"/>
      <c r="L177" s="393">
        <v>0</v>
      </c>
      <c r="M177" s="393">
        <v>0</v>
      </c>
      <c r="N177" s="393">
        <v>0</v>
      </c>
      <c r="O177" s="393">
        <v>0</v>
      </c>
      <c r="P177" s="393">
        <v>0</v>
      </c>
      <c r="Q177" s="393">
        <v>0</v>
      </c>
      <c r="R177" s="393">
        <v>0</v>
      </c>
      <c r="S177" s="393">
        <v>0</v>
      </c>
      <c r="T177" s="393"/>
      <c r="U177" s="393"/>
      <c r="V177" s="393">
        <f>_xlfn.IFNA(VLOOKUP(A177,[3]進出口值表查詢結果!$C$11:$F$68,4,0),-[4]整車!$B$22)</f>
        <v>0</v>
      </c>
      <c r="W177" s="393">
        <f>_xlfn.IFNA(VLOOKUP(A177,[3]進出口值表查詢結果!$C$11:$F$68,3,0),-[4]整車!$B$22)</f>
        <v>0</v>
      </c>
      <c r="X177" s="393">
        <f>_xlfn.IFNA(VLOOKUP(A177,[5]進出口值表查詢結果!$C$11:$F$75,4,0),-[4]整車!$B$22)</f>
        <v>0</v>
      </c>
      <c r="Y177" s="393">
        <f>_xlfn.IFNA(VLOOKUP(A177,[5]進出口值表查詢結果!$C$11:$F$75,3,0),-[4]整車!$B$22)</f>
        <v>0</v>
      </c>
      <c r="Z177" s="387">
        <f t="shared" si="29"/>
        <v>0</v>
      </c>
      <c r="AA177" s="387">
        <f t="shared" si="30"/>
        <v>0</v>
      </c>
    </row>
    <row r="178" spans="1:27">
      <c r="A178" s="429" t="s">
        <v>359</v>
      </c>
      <c r="B178" s="393"/>
      <c r="C178" s="393"/>
      <c r="D178" s="393"/>
      <c r="E178" s="393"/>
      <c r="F178" s="393">
        <v>0</v>
      </c>
      <c r="G178" s="393"/>
      <c r="H178" s="393">
        <v>0</v>
      </c>
      <c r="I178" s="393">
        <v>0</v>
      </c>
      <c r="J178" s="394"/>
      <c r="K178" s="395">
        <v>0</v>
      </c>
      <c r="L178" s="393">
        <v>0</v>
      </c>
      <c r="M178" s="393">
        <v>0</v>
      </c>
      <c r="N178" s="393">
        <v>0</v>
      </c>
      <c r="O178" s="393">
        <v>0</v>
      </c>
      <c r="P178" s="393">
        <v>0</v>
      </c>
      <c r="Q178" s="393">
        <v>0</v>
      </c>
      <c r="R178" s="393">
        <v>0</v>
      </c>
      <c r="S178" s="393">
        <v>0</v>
      </c>
      <c r="T178" s="393"/>
      <c r="U178" s="393"/>
      <c r="V178" s="393">
        <f>_xlfn.IFNA(VLOOKUP(A178,[3]進出口值表查詢結果!$C$11:$F$68,4,0),-[4]整車!$B$22)</f>
        <v>0</v>
      </c>
      <c r="W178" s="393">
        <f>_xlfn.IFNA(VLOOKUP(A178,[3]進出口值表查詢結果!$C$11:$F$68,3,0),-[4]整車!$B$22)</f>
        <v>0</v>
      </c>
      <c r="X178" s="393">
        <f>_xlfn.IFNA(VLOOKUP(A178,[5]進出口值表查詢結果!$C$11:$F$75,4,0),-[4]整車!$B$22)</f>
        <v>0</v>
      </c>
      <c r="Y178" s="393">
        <f>_xlfn.IFNA(VLOOKUP(A178,[5]進出口值表查詢結果!$C$11:$F$75,3,0),-[4]整車!$B$22)</f>
        <v>0</v>
      </c>
      <c r="Z178" s="387">
        <f t="shared" si="29"/>
        <v>0</v>
      </c>
      <c r="AA178" s="387">
        <f t="shared" si="30"/>
        <v>0</v>
      </c>
    </row>
    <row r="179" spans="1:27">
      <c r="A179" s="429" t="s">
        <v>360</v>
      </c>
      <c r="B179" s="393"/>
      <c r="C179" s="393"/>
      <c r="D179" s="393"/>
      <c r="E179" s="393"/>
      <c r="F179" s="393">
        <v>0</v>
      </c>
      <c r="G179" s="393"/>
      <c r="H179" s="393">
        <v>0</v>
      </c>
      <c r="I179" s="393">
        <v>0</v>
      </c>
      <c r="J179" s="394"/>
      <c r="K179" s="395">
        <v>0</v>
      </c>
      <c r="L179" s="393">
        <v>0</v>
      </c>
      <c r="M179" s="393">
        <v>0</v>
      </c>
      <c r="N179" s="393">
        <v>0</v>
      </c>
      <c r="O179" s="393">
        <v>0</v>
      </c>
      <c r="P179" s="393">
        <v>0</v>
      </c>
      <c r="Q179" s="393">
        <v>0</v>
      </c>
      <c r="R179" s="393">
        <v>0</v>
      </c>
      <c r="S179" s="393">
        <v>0</v>
      </c>
      <c r="T179" s="393"/>
      <c r="U179" s="393"/>
      <c r="V179" s="393">
        <f>_xlfn.IFNA(VLOOKUP(A179,[3]進出口值表查詢結果!$C$11:$F$68,4,0),-[4]整車!$B$22)</f>
        <v>0</v>
      </c>
      <c r="W179" s="393">
        <f>_xlfn.IFNA(VLOOKUP(A179,[3]進出口值表查詢結果!$C$11:$F$68,3,0),-[4]整車!$B$22)</f>
        <v>0</v>
      </c>
      <c r="X179" s="393">
        <f>_xlfn.IFNA(VLOOKUP(A179,[5]進出口值表查詢結果!$C$11:$F$75,4,0),-[4]整車!$B$22)</f>
        <v>0</v>
      </c>
      <c r="Y179" s="393">
        <f>_xlfn.IFNA(VLOOKUP(A179,[5]進出口值表查詢結果!$C$11:$F$75,3,0),-[4]整車!$B$22)</f>
        <v>0</v>
      </c>
      <c r="Z179" s="387">
        <f t="shared" si="29"/>
        <v>0</v>
      </c>
      <c r="AA179" s="387">
        <f t="shared" si="30"/>
        <v>0</v>
      </c>
    </row>
    <row r="180" spans="1:27">
      <c r="A180" s="429" t="s">
        <v>361</v>
      </c>
      <c r="B180" s="393"/>
      <c r="C180" s="393"/>
      <c r="D180" s="393"/>
      <c r="E180" s="393"/>
      <c r="F180" s="393">
        <v>0</v>
      </c>
      <c r="G180" s="393"/>
      <c r="H180" s="393">
        <v>0</v>
      </c>
      <c r="I180" s="393">
        <v>0</v>
      </c>
      <c r="J180" s="394"/>
      <c r="K180" s="395">
        <v>0</v>
      </c>
      <c r="L180" s="393">
        <v>0</v>
      </c>
      <c r="M180" s="393">
        <v>0</v>
      </c>
      <c r="N180" s="393">
        <v>0</v>
      </c>
      <c r="O180" s="393">
        <v>0</v>
      </c>
      <c r="P180" s="393">
        <v>0</v>
      </c>
      <c r="Q180" s="393">
        <v>0</v>
      </c>
      <c r="R180" s="393">
        <v>0</v>
      </c>
      <c r="S180" s="393">
        <v>0</v>
      </c>
      <c r="T180" s="393"/>
      <c r="U180" s="393"/>
      <c r="V180" s="393">
        <f>_xlfn.IFNA(VLOOKUP(A180,[3]進出口值表查詢結果!$C$11:$F$68,4,0),-[4]整車!$B$22)</f>
        <v>0</v>
      </c>
      <c r="W180" s="393">
        <f>_xlfn.IFNA(VLOOKUP(A180,[3]進出口值表查詢結果!$C$11:$F$68,3,0),-[4]整車!$B$22)</f>
        <v>0</v>
      </c>
      <c r="X180" s="393">
        <f>_xlfn.IFNA(VLOOKUP(A180,[5]進出口值表查詢結果!$C$11:$F$75,4,0),-[4]整車!$B$22)</f>
        <v>0</v>
      </c>
      <c r="Y180" s="393">
        <f>_xlfn.IFNA(VLOOKUP(A180,[5]進出口值表查詢結果!$C$11:$F$75,3,0),-[4]整車!$B$22)</f>
        <v>0</v>
      </c>
      <c r="Z180" s="387">
        <f t="shared" si="29"/>
        <v>0</v>
      </c>
      <c r="AA180" s="387">
        <f t="shared" si="30"/>
        <v>0</v>
      </c>
    </row>
    <row r="181" spans="1:27">
      <c r="A181" s="429" t="s">
        <v>362</v>
      </c>
      <c r="B181" s="393"/>
      <c r="C181" s="393"/>
      <c r="D181" s="393"/>
      <c r="E181" s="393"/>
      <c r="F181" s="393">
        <v>0</v>
      </c>
      <c r="G181" s="393"/>
      <c r="H181" s="393">
        <v>0</v>
      </c>
      <c r="I181" s="393">
        <v>0</v>
      </c>
      <c r="J181" s="394"/>
      <c r="K181" s="395">
        <v>0</v>
      </c>
      <c r="L181" s="393">
        <v>0</v>
      </c>
      <c r="M181" s="393">
        <v>0</v>
      </c>
      <c r="N181" s="393">
        <v>0</v>
      </c>
      <c r="O181" s="393">
        <v>0</v>
      </c>
      <c r="P181" s="393">
        <v>0</v>
      </c>
      <c r="Q181" s="393">
        <v>0</v>
      </c>
      <c r="R181" s="393">
        <v>0</v>
      </c>
      <c r="S181" s="393">
        <v>0</v>
      </c>
      <c r="T181" s="393"/>
      <c r="U181" s="393"/>
      <c r="V181" s="393">
        <f>_xlfn.IFNA(VLOOKUP(A181,[3]進出口值表查詢結果!$C$11:$F$68,4,0),-[4]整車!$B$22)</f>
        <v>0</v>
      </c>
      <c r="W181" s="393">
        <f>_xlfn.IFNA(VLOOKUP(A181,[3]進出口值表查詢結果!$C$11:$F$68,3,0),-[4]整車!$B$22)</f>
        <v>0</v>
      </c>
      <c r="X181" s="393">
        <f>_xlfn.IFNA(VLOOKUP(A181,[5]進出口值表查詢結果!$C$11:$F$75,4,0),-[4]整車!$B$22)</f>
        <v>0</v>
      </c>
      <c r="Y181" s="393">
        <f>_xlfn.IFNA(VLOOKUP(A181,[5]進出口值表查詢結果!$C$11:$F$75,3,0),-[4]整車!$B$22)</f>
        <v>0</v>
      </c>
      <c r="Z181" s="387">
        <f t="shared" si="29"/>
        <v>0</v>
      </c>
      <c r="AA181" s="387">
        <f t="shared" si="30"/>
        <v>0</v>
      </c>
    </row>
    <row r="182" spans="1:27">
      <c r="A182" s="429" t="s">
        <v>363</v>
      </c>
      <c r="B182" s="393"/>
      <c r="C182" s="393"/>
      <c r="D182" s="393"/>
      <c r="E182" s="393"/>
      <c r="F182" s="393">
        <v>0</v>
      </c>
      <c r="G182" s="393"/>
      <c r="H182" s="393">
        <v>0</v>
      </c>
      <c r="I182" s="393">
        <v>0</v>
      </c>
      <c r="J182" s="394"/>
      <c r="K182" s="395">
        <v>0</v>
      </c>
      <c r="L182" s="393">
        <v>0</v>
      </c>
      <c r="M182" s="393">
        <v>0</v>
      </c>
      <c r="N182" s="393">
        <v>0</v>
      </c>
      <c r="O182" s="393">
        <v>0</v>
      </c>
      <c r="P182" s="393">
        <v>0</v>
      </c>
      <c r="Q182" s="393">
        <v>0</v>
      </c>
      <c r="R182" s="393">
        <v>0</v>
      </c>
      <c r="S182" s="393">
        <v>0</v>
      </c>
      <c r="T182" s="393"/>
      <c r="U182" s="393"/>
      <c r="V182" s="393">
        <f>_xlfn.IFNA(VLOOKUP(A182,[3]進出口值表查詢結果!$C$11:$F$68,4,0),-[4]整車!$B$22)</f>
        <v>0</v>
      </c>
      <c r="W182" s="393">
        <f>_xlfn.IFNA(VLOOKUP(A182,[3]進出口值表查詢結果!$C$11:$F$68,3,0),-[4]整車!$B$22)</f>
        <v>0</v>
      </c>
      <c r="X182" s="393">
        <f>_xlfn.IFNA(VLOOKUP(A182,[5]進出口值表查詢結果!$C$11:$F$75,4,0),-[4]整車!$B$22)</f>
        <v>0</v>
      </c>
      <c r="Y182" s="393">
        <f>_xlfn.IFNA(VLOOKUP(A182,[5]進出口值表查詢結果!$C$11:$F$75,3,0),-[4]整車!$B$22)</f>
        <v>0</v>
      </c>
      <c r="Z182" s="387">
        <f t="shared" si="29"/>
        <v>0</v>
      </c>
      <c r="AA182" s="387">
        <f t="shared" si="30"/>
        <v>0</v>
      </c>
    </row>
    <row r="183" spans="1:27">
      <c r="A183" s="429" t="s">
        <v>364</v>
      </c>
      <c r="B183" s="393"/>
      <c r="C183" s="393"/>
      <c r="D183" s="393"/>
      <c r="E183" s="393"/>
      <c r="F183" s="393">
        <v>0</v>
      </c>
      <c r="G183" s="393"/>
      <c r="H183" s="393">
        <v>0</v>
      </c>
      <c r="I183" s="393">
        <v>0</v>
      </c>
      <c r="J183" s="394"/>
      <c r="K183" s="395">
        <v>0</v>
      </c>
      <c r="L183" s="393">
        <v>0</v>
      </c>
      <c r="M183" s="393">
        <v>0</v>
      </c>
      <c r="N183" s="393">
        <v>0</v>
      </c>
      <c r="O183" s="393">
        <v>0</v>
      </c>
      <c r="P183" s="393">
        <v>0</v>
      </c>
      <c r="Q183" s="393">
        <v>0</v>
      </c>
      <c r="R183" s="393">
        <v>0</v>
      </c>
      <c r="S183" s="393">
        <v>0</v>
      </c>
      <c r="T183" s="393"/>
      <c r="U183" s="393"/>
      <c r="V183" s="393">
        <f>_xlfn.IFNA(VLOOKUP(A183,[3]進出口值表查詢結果!$C$11:$F$68,4,0),-[4]整車!$B$22)</f>
        <v>0</v>
      </c>
      <c r="W183" s="393">
        <f>_xlfn.IFNA(VLOOKUP(A183,[3]進出口值表查詢結果!$C$11:$F$68,3,0),-[4]整車!$B$22)</f>
        <v>0</v>
      </c>
      <c r="X183" s="393">
        <f>_xlfn.IFNA(VLOOKUP(A183,[5]進出口值表查詢結果!$C$11:$F$75,4,0),-[4]整車!$B$22)</f>
        <v>0</v>
      </c>
      <c r="Y183" s="393">
        <f>_xlfn.IFNA(VLOOKUP(A183,[5]進出口值表查詢結果!$C$11:$F$75,3,0),-[4]整車!$B$22)</f>
        <v>0</v>
      </c>
      <c r="Z183" s="387">
        <f t="shared" si="29"/>
        <v>0</v>
      </c>
      <c r="AA183" s="387">
        <f t="shared" si="30"/>
        <v>0</v>
      </c>
    </row>
    <row r="184" spans="1:27">
      <c r="A184" s="429" t="s">
        <v>365</v>
      </c>
      <c r="B184" s="393"/>
      <c r="C184" s="393"/>
      <c r="D184" s="393"/>
      <c r="E184" s="393"/>
      <c r="F184" s="393">
        <v>0</v>
      </c>
      <c r="G184" s="393"/>
      <c r="H184" s="393">
        <v>0</v>
      </c>
      <c r="I184" s="393">
        <v>0</v>
      </c>
      <c r="J184" s="394"/>
      <c r="K184" s="395">
        <v>0</v>
      </c>
      <c r="L184" s="393">
        <v>0</v>
      </c>
      <c r="M184" s="393">
        <v>0</v>
      </c>
      <c r="N184" s="393">
        <v>0</v>
      </c>
      <c r="O184" s="393">
        <v>0</v>
      </c>
      <c r="P184" s="393">
        <v>0</v>
      </c>
      <c r="Q184" s="393">
        <v>0</v>
      </c>
      <c r="R184" s="393">
        <v>0</v>
      </c>
      <c r="S184" s="393">
        <v>0</v>
      </c>
      <c r="T184" s="393"/>
      <c r="U184" s="393"/>
      <c r="V184" s="393">
        <f>_xlfn.IFNA(VLOOKUP(A184,[3]進出口值表查詢結果!$C$11:$F$68,4,0),-[4]整車!$B$22)</f>
        <v>0</v>
      </c>
      <c r="W184" s="393">
        <f>_xlfn.IFNA(VLOOKUP(A184,[3]進出口值表查詢結果!$C$11:$F$68,3,0),-[4]整車!$B$22)</f>
        <v>0</v>
      </c>
      <c r="X184" s="393">
        <f>_xlfn.IFNA(VLOOKUP(A184,[5]進出口值表查詢結果!$C$11:$F$75,4,0),-[4]整車!$B$22)</f>
        <v>0</v>
      </c>
      <c r="Y184" s="393">
        <f>_xlfn.IFNA(VLOOKUP(A184,[5]進出口值表查詢結果!$C$11:$F$75,3,0),-[4]整車!$B$22)</f>
        <v>0</v>
      </c>
      <c r="Z184" s="387">
        <f t="shared" si="29"/>
        <v>0</v>
      </c>
      <c r="AA184" s="387">
        <f t="shared" si="30"/>
        <v>0</v>
      </c>
    </row>
    <row r="185" spans="1:27">
      <c r="A185" s="429" t="s">
        <v>366</v>
      </c>
      <c r="B185" s="393"/>
      <c r="C185" s="393"/>
      <c r="D185" s="393"/>
      <c r="E185" s="393"/>
      <c r="F185" s="393">
        <v>0</v>
      </c>
      <c r="G185" s="393"/>
      <c r="H185" s="393">
        <v>0</v>
      </c>
      <c r="I185" s="393">
        <v>0</v>
      </c>
      <c r="J185" s="394"/>
      <c r="K185" s="395">
        <v>0</v>
      </c>
      <c r="L185" s="393">
        <v>0</v>
      </c>
      <c r="M185" s="393">
        <v>0</v>
      </c>
      <c r="N185" s="393">
        <v>0</v>
      </c>
      <c r="O185" s="393">
        <v>0</v>
      </c>
      <c r="P185" s="393">
        <v>0</v>
      </c>
      <c r="Q185" s="393">
        <v>0</v>
      </c>
      <c r="R185" s="393">
        <v>0</v>
      </c>
      <c r="S185" s="393">
        <v>0</v>
      </c>
      <c r="T185" s="393"/>
      <c r="U185" s="393"/>
      <c r="V185" s="393">
        <f>_xlfn.IFNA(VLOOKUP(A185,[3]進出口值表查詢結果!$C$11:$F$68,4,0),-[4]整車!$B$22)</f>
        <v>0</v>
      </c>
      <c r="W185" s="393">
        <f>_xlfn.IFNA(VLOOKUP(A185,[3]進出口值表查詢結果!$C$11:$F$68,3,0),-[4]整車!$B$22)</f>
        <v>0</v>
      </c>
      <c r="X185" s="393">
        <f>_xlfn.IFNA(VLOOKUP(A185,[5]進出口值表查詢結果!$C$11:$F$75,4,0),-[4]整車!$B$22)</f>
        <v>0</v>
      </c>
      <c r="Y185" s="393">
        <f>_xlfn.IFNA(VLOOKUP(A185,[5]進出口值表查詢結果!$C$11:$F$75,3,0),-[4]整車!$B$22)</f>
        <v>0</v>
      </c>
      <c r="Z185" s="387">
        <f t="shared" si="29"/>
        <v>0</v>
      </c>
      <c r="AA185" s="387">
        <f t="shared" si="30"/>
        <v>0</v>
      </c>
    </row>
    <row r="186" spans="1:27">
      <c r="A186" s="429" t="s">
        <v>367</v>
      </c>
      <c r="B186" s="393"/>
      <c r="C186" s="393"/>
      <c r="D186" s="393"/>
      <c r="E186" s="393"/>
      <c r="F186" s="393">
        <v>0</v>
      </c>
      <c r="G186" s="393"/>
      <c r="H186" s="393">
        <v>0</v>
      </c>
      <c r="I186" s="393">
        <v>0</v>
      </c>
      <c r="J186" s="394"/>
      <c r="K186" s="395"/>
      <c r="L186" s="393">
        <v>0</v>
      </c>
      <c r="M186" s="393">
        <v>0</v>
      </c>
      <c r="N186" s="393">
        <v>0</v>
      </c>
      <c r="O186" s="393">
        <v>0</v>
      </c>
      <c r="P186" s="393">
        <v>0</v>
      </c>
      <c r="Q186" s="393">
        <v>0</v>
      </c>
      <c r="R186" s="393">
        <v>0</v>
      </c>
      <c r="S186" s="393">
        <v>0</v>
      </c>
      <c r="T186" s="393"/>
      <c r="U186" s="393"/>
      <c r="V186" s="393">
        <f>_xlfn.IFNA(VLOOKUP(A186,[3]進出口值表查詢結果!$C$11:$F$68,4,0),-[4]整車!$B$22)</f>
        <v>0</v>
      </c>
      <c r="W186" s="393">
        <f>_xlfn.IFNA(VLOOKUP(A186,[3]進出口值表查詢結果!$C$11:$F$68,3,0),-[4]整車!$B$22)</f>
        <v>0</v>
      </c>
      <c r="X186" s="393">
        <f>_xlfn.IFNA(VLOOKUP(A186,[5]進出口值表查詢結果!$C$11:$F$75,4,0),-[4]整車!$B$22)</f>
        <v>0</v>
      </c>
      <c r="Y186" s="393">
        <f>_xlfn.IFNA(VLOOKUP(A186,[5]進出口值表查詢結果!$C$11:$F$75,3,0),-[4]整車!$B$22)</f>
        <v>0</v>
      </c>
      <c r="Z186" s="387">
        <f t="shared" ref="Z186:Z200" si="31">SUM(B186,D186,F186,H186,J186,L186,N186,P186,R186,T186,V186,X186)</f>
        <v>0</v>
      </c>
      <c r="AA186" s="387"/>
    </row>
    <row r="187" spans="1:27">
      <c r="A187" s="429" t="s">
        <v>368</v>
      </c>
      <c r="B187" s="393"/>
      <c r="C187" s="393"/>
      <c r="D187" s="393"/>
      <c r="E187" s="393"/>
      <c r="F187" s="393">
        <v>0</v>
      </c>
      <c r="G187" s="393"/>
      <c r="H187" s="393">
        <v>0</v>
      </c>
      <c r="I187" s="393">
        <v>0</v>
      </c>
      <c r="J187" s="394"/>
      <c r="K187" s="395">
        <v>0</v>
      </c>
      <c r="L187" s="393">
        <v>0</v>
      </c>
      <c r="M187" s="393">
        <v>0</v>
      </c>
      <c r="N187" s="393">
        <v>0</v>
      </c>
      <c r="O187" s="393">
        <v>0</v>
      </c>
      <c r="P187" s="393">
        <v>0</v>
      </c>
      <c r="Q187" s="393">
        <v>0</v>
      </c>
      <c r="R187" s="393">
        <v>0</v>
      </c>
      <c r="S187" s="393">
        <v>0</v>
      </c>
      <c r="T187" s="393"/>
      <c r="U187" s="393"/>
      <c r="V187" s="393">
        <f>_xlfn.IFNA(VLOOKUP(A187,[3]進出口值表查詢結果!$C$11:$F$68,4,0),-[4]整車!$B$22)</f>
        <v>0</v>
      </c>
      <c r="W187" s="393">
        <f>_xlfn.IFNA(VLOOKUP(A187,[3]進出口值表查詢結果!$C$11:$F$68,3,0),-[4]整車!$B$22)</f>
        <v>0</v>
      </c>
      <c r="X187" s="393">
        <f>_xlfn.IFNA(VLOOKUP(A187,[5]進出口值表查詢結果!$C$11:$F$75,4,0),-[4]整車!$B$22)</f>
        <v>0</v>
      </c>
      <c r="Y187" s="393">
        <f>_xlfn.IFNA(VLOOKUP(A187,[5]進出口值表查詢結果!$C$11:$F$75,3,0),-[4]整車!$B$22)</f>
        <v>0</v>
      </c>
      <c r="Z187" s="387">
        <f t="shared" si="31"/>
        <v>0</v>
      </c>
      <c r="AA187" s="387">
        <f t="shared" ref="AA187:AA200" si="32">SUM(C187,E187,G187,I187,K187,M187,O187,Q187,S187,U187,W187,Y187)</f>
        <v>0</v>
      </c>
    </row>
    <row r="188" spans="1:27">
      <c r="A188" s="429" t="s">
        <v>369</v>
      </c>
      <c r="B188" s="393"/>
      <c r="C188" s="393"/>
      <c r="D188" s="393"/>
      <c r="E188" s="393"/>
      <c r="F188" s="393">
        <v>0</v>
      </c>
      <c r="G188" s="393"/>
      <c r="H188" s="393">
        <v>0</v>
      </c>
      <c r="I188" s="393">
        <v>0</v>
      </c>
      <c r="J188" s="394"/>
      <c r="K188" s="395">
        <v>0</v>
      </c>
      <c r="L188" s="393">
        <v>0</v>
      </c>
      <c r="M188" s="393">
        <v>0</v>
      </c>
      <c r="N188" s="393">
        <v>0</v>
      </c>
      <c r="O188" s="393">
        <v>0</v>
      </c>
      <c r="P188" s="393">
        <v>0</v>
      </c>
      <c r="Q188" s="393">
        <v>0</v>
      </c>
      <c r="R188" s="393">
        <v>0</v>
      </c>
      <c r="S188" s="393">
        <v>0</v>
      </c>
      <c r="T188" s="393"/>
      <c r="U188" s="393"/>
      <c r="V188" s="393">
        <f>_xlfn.IFNA(VLOOKUP(A188,[3]進出口值表查詢結果!$C$11:$F$68,4,0),-[4]整車!$B$22)</f>
        <v>0</v>
      </c>
      <c r="W188" s="393">
        <f>_xlfn.IFNA(VLOOKUP(A188,[3]進出口值表查詢結果!$C$11:$F$68,3,0),-[4]整車!$B$22)</f>
        <v>0</v>
      </c>
      <c r="X188" s="393">
        <f>_xlfn.IFNA(VLOOKUP(A188,[5]進出口值表查詢結果!$C$11:$F$75,4,0),-[4]整車!$B$22)</f>
        <v>0</v>
      </c>
      <c r="Y188" s="393">
        <f>_xlfn.IFNA(VLOOKUP(A188,[5]進出口值表查詢結果!$C$11:$F$75,3,0),-[4]整車!$B$22)</f>
        <v>0</v>
      </c>
      <c r="Z188" s="387">
        <f t="shared" si="31"/>
        <v>0</v>
      </c>
      <c r="AA188" s="387">
        <f t="shared" si="32"/>
        <v>0</v>
      </c>
    </row>
    <row r="189" spans="1:27">
      <c r="A189" s="435" t="s">
        <v>370</v>
      </c>
      <c r="B189" s="414">
        <f t="shared" ref="B189:Y189" si="33">SUM(B190:B203)</f>
        <v>0</v>
      </c>
      <c r="C189" s="414">
        <f t="shared" si="33"/>
        <v>0</v>
      </c>
      <c r="D189" s="414">
        <f t="shared" si="33"/>
        <v>0</v>
      </c>
      <c r="E189" s="414">
        <f t="shared" si="33"/>
        <v>0</v>
      </c>
      <c r="F189" s="414">
        <f t="shared" si="33"/>
        <v>0</v>
      </c>
      <c r="G189" s="414">
        <f t="shared" si="33"/>
        <v>0</v>
      </c>
      <c r="H189" s="414">
        <f t="shared" si="33"/>
        <v>10</v>
      </c>
      <c r="I189" s="414">
        <f t="shared" si="33"/>
        <v>1060</v>
      </c>
      <c r="J189" s="415">
        <f t="shared" si="33"/>
        <v>0</v>
      </c>
      <c r="K189" s="416">
        <f t="shared" si="33"/>
        <v>0</v>
      </c>
      <c r="L189" s="414">
        <f t="shared" si="33"/>
        <v>10</v>
      </c>
      <c r="M189" s="414">
        <f t="shared" si="33"/>
        <v>1039</v>
      </c>
      <c r="N189" s="414">
        <f t="shared" si="33"/>
        <v>1</v>
      </c>
      <c r="O189" s="414">
        <f t="shared" si="33"/>
        <v>2028</v>
      </c>
      <c r="P189" s="414">
        <f t="shared" si="33"/>
        <v>0</v>
      </c>
      <c r="Q189" s="414">
        <f t="shared" si="33"/>
        <v>0</v>
      </c>
      <c r="R189" s="414">
        <f t="shared" si="33"/>
        <v>5</v>
      </c>
      <c r="S189" s="414">
        <f t="shared" si="33"/>
        <v>543</v>
      </c>
      <c r="T189" s="414">
        <f t="shared" si="33"/>
        <v>19</v>
      </c>
      <c r="U189" s="414">
        <f t="shared" si="33"/>
        <v>12461</v>
      </c>
      <c r="V189" s="414">
        <f>SUM(V190:V203)</f>
        <v>7</v>
      </c>
      <c r="W189" s="414">
        <f>SUM(W190:W203)</f>
        <v>8701</v>
      </c>
      <c r="X189" s="414">
        <f t="shared" si="33"/>
        <v>0</v>
      </c>
      <c r="Y189" s="414">
        <f t="shared" si="33"/>
        <v>0</v>
      </c>
      <c r="Z189" s="400">
        <f t="shared" si="31"/>
        <v>52</v>
      </c>
      <c r="AA189" s="400">
        <f t="shared" si="32"/>
        <v>25832</v>
      </c>
    </row>
    <row r="190" spans="1:27">
      <c r="A190" s="396" t="s">
        <v>142</v>
      </c>
      <c r="B190" s="393"/>
      <c r="C190" s="393"/>
      <c r="D190" s="393">
        <v>0</v>
      </c>
      <c r="E190" s="393">
        <v>0</v>
      </c>
      <c r="F190" s="393">
        <v>0</v>
      </c>
      <c r="G190" s="393"/>
      <c r="H190" s="393">
        <v>0</v>
      </c>
      <c r="I190" s="393">
        <v>0</v>
      </c>
      <c r="J190" s="394">
        <v>0</v>
      </c>
      <c r="K190" s="395">
        <v>0</v>
      </c>
      <c r="L190" s="393">
        <v>0</v>
      </c>
      <c r="M190" s="393">
        <v>0</v>
      </c>
      <c r="N190" s="393">
        <v>0</v>
      </c>
      <c r="O190" s="393">
        <v>0</v>
      </c>
      <c r="P190" s="393">
        <v>0</v>
      </c>
      <c r="Q190" s="393">
        <v>0</v>
      </c>
      <c r="R190" s="393">
        <v>0</v>
      </c>
      <c r="S190" s="393">
        <v>0</v>
      </c>
      <c r="T190" s="393"/>
      <c r="U190" s="393"/>
      <c r="V190" s="393">
        <f>_xlfn.IFNA(VLOOKUP(A190,[3]進出口值表查詢結果!$C$11:$F$68,4,0),-[4]整車!$B$22)</f>
        <v>0</v>
      </c>
      <c r="W190" s="393">
        <f>_xlfn.IFNA(VLOOKUP(A190,[3]進出口值表查詢結果!$C$11:$F$68,3,0),-[4]整車!$B$22)</f>
        <v>0</v>
      </c>
      <c r="X190" s="393">
        <f>_xlfn.IFNA(VLOOKUP(A190,[5]進出口值表查詢結果!$C$11:$F$80,4,0),-[4]整車!$B$22)</f>
        <v>0</v>
      </c>
      <c r="Y190" s="393">
        <f>_xlfn.IFNA(VLOOKUP(A190,[5]進出口值表查詢結果!$C$11:$F$80,3,0),-[4]整車!$B$22)</f>
        <v>0</v>
      </c>
      <c r="Z190" s="387">
        <f t="shared" si="31"/>
        <v>0</v>
      </c>
      <c r="AA190" s="387">
        <f t="shared" si="32"/>
        <v>0</v>
      </c>
    </row>
    <row r="191" spans="1:27">
      <c r="A191" s="398" t="s">
        <v>371</v>
      </c>
      <c r="B191" s="393"/>
      <c r="C191" s="393"/>
      <c r="D191" s="393"/>
      <c r="E191" s="393">
        <v>0</v>
      </c>
      <c r="F191" s="393">
        <v>0</v>
      </c>
      <c r="G191" s="393"/>
      <c r="H191" s="393">
        <v>0</v>
      </c>
      <c r="I191" s="393">
        <v>0</v>
      </c>
      <c r="J191" s="394">
        <v>0</v>
      </c>
      <c r="K191" s="395">
        <v>0</v>
      </c>
      <c r="L191" s="393">
        <v>0</v>
      </c>
      <c r="M191" s="393">
        <v>0</v>
      </c>
      <c r="N191" s="393">
        <v>0</v>
      </c>
      <c r="O191" s="393">
        <v>0</v>
      </c>
      <c r="P191" s="393">
        <v>0</v>
      </c>
      <c r="Q191" s="393">
        <v>0</v>
      </c>
      <c r="R191" s="393">
        <v>0</v>
      </c>
      <c r="S191" s="393">
        <v>0</v>
      </c>
      <c r="T191" s="393"/>
      <c r="U191" s="393"/>
      <c r="V191" s="393">
        <f>_xlfn.IFNA(VLOOKUP(A191,[3]進出口值表查詢結果!$C$11:$F$68,4,0),-[4]整車!$B$22)</f>
        <v>0</v>
      </c>
      <c r="W191" s="393">
        <f>_xlfn.IFNA(VLOOKUP(A191,[3]進出口值表查詢結果!$C$11:$F$68,3,0),-[4]整車!$B$22)</f>
        <v>0</v>
      </c>
      <c r="X191" s="393">
        <f>_xlfn.IFNA(VLOOKUP(A191,[5]進出口值表查詢結果!$C$11:$F$80,4,0),-[4]整車!$B$22)</f>
        <v>0</v>
      </c>
      <c r="Y191" s="393">
        <f>_xlfn.IFNA(VLOOKUP(A191,[5]進出口值表查詢結果!$C$11:$F$80,3,0),-[4]整車!$B$22)</f>
        <v>0</v>
      </c>
      <c r="Z191" s="387">
        <f t="shared" si="31"/>
        <v>0</v>
      </c>
      <c r="AA191" s="387">
        <f t="shared" si="32"/>
        <v>0</v>
      </c>
    </row>
    <row r="192" spans="1:27">
      <c r="A192" s="396" t="s">
        <v>372</v>
      </c>
      <c r="B192" s="393"/>
      <c r="C192" s="393"/>
      <c r="D192" s="393"/>
      <c r="E192" s="393">
        <v>0</v>
      </c>
      <c r="F192" s="393">
        <v>0</v>
      </c>
      <c r="G192" s="393"/>
      <c r="H192" s="393">
        <v>0</v>
      </c>
      <c r="I192" s="393">
        <v>0</v>
      </c>
      <c r="J192" s="394">
        <v>0</v>
      </c>
      <c r="K192" s="395">
        <v>0</v>
      </c>
      <c r="L192" s="393">
        <v>0</v>
      </c>
      <c r="M192" s="393">
        <v>0</v>
      </c>
      <c r="N192" s="393">
        <v>0</v>
      </c>
      <c r="O192" s="393">
        <v>0</v>
      </c>
      <c r="P192" s="393">
        <v>0</v>
      </c>
      <c r="Q192" s="393">
        <v>0</v>
      </c>
      <c r="R192" s="393">
        <v>0</v>
      </c>
      <c r="S192" s="393">
        <v>0</v>
      </c>
      <c r="T192" s="393"/>
      <c r="U192" s="393"/>
      <c r="V192" s="393">
        <f>_xlfn.IFNA(VLOOKUP(A192,[3]進出口值表查詢結果!$C$11:$F$68,4,0),-[4]整車!$B$22)</f>
        <v>0</v>
      </c>
      <c r="W192" s="393">
        <f>_xlfn.IFNA(VLOOKUP(A192,[3]進出口值表查詢結果!$C$11:$F$68,3,0),-[4]整車!$B$22)</f>
        <v>0</v>
      </c>
      <c r="X192" s="393">
        <f>_xlfn.IFNA(VLOOKUP(A192,[5]進出口值表查詢結果!$C$11:$F$80,4,0),-[4]整車!$B$22)</f>
        <v>0</v>
      </c>
      <c r="Y192" s="393">
        <f>_xlfn.IFNA(VLOOKUP(A192,[5]進出口值表查詢結果!$C$11:$F$80,3,0),-[4]整車!$B$22)</f>
        <v>0</v>
      </c>
      <c r="Z192" s="387">
        <f t="shared" si="31"/>
        <v>0</v>
      </c>
      <c r="AA192" s="387">
        <f t="shared" si="32"/>
        <v>0</v>
      </c>
    </row>
    <row r="193" spans="1:27">
      <c r="A193" s="418" t="s">
        <v>373</v>
      </c>
      <c r="B193" s="393"/>
      <c r="C193" s="393"/>
      <c r="D193" s="393"/>
      <c r="E193" s="393">
        <v>0</v>
      </c>
      <c r="F193" s="393">
        <v>0</v>
      </c>
      <c r="G193" s="393"/>
      <c r="H193" s="393">
        <v>10</v>
      </c>
      <c r="I193" s="393">
        <v>1060</v>
      </c>
      <c r="J193" s="394">
        <v>0</v>
      </c>
      <c r="K193" s="395">
        <v>0</v>
      </c>
      <c r="L193" s="393">
        <v>0</v>
      </c>
      <c r="M193" s="393">
        <v>0</v>
      </c>
      <c r="N193" s="393">
        <v>0</v>
      </c>
      <c r="O193" s="393">
        <v>0</v>
      </c>
      <c r="P193" s="393">
        <v>0</v>
      </c>
      <c r="Q193" s="393">
        <v>0</v>
      </c>
      <c r="R193" s="393">
        <v>0</v>
      </c>
      <c r="S193" s="393">
        <v>0</v>
      </c>
      <c r="T193" s="393"/>
      <c r="U193" s="393"/>
      <c r="V193" s="393">
        <f>_xlfn.IFNA(VLOOKUP(A193,[3]進出口值表查詢結果!$C$11:$F$68,4,0),-[4]整車!$B$22)</f>
        <v>0</v>
      </c>
      <c r="W193" s="393">
        <f>_xlfn.IFNA(VLOOKUP(A193,[3]進出口值表查詢結果!$C$11:$F$68,3,0),-[4]整車!$B$22)</f>
        <v>0</v>
      </c>
      <c r="X193" s="393">
        <f>_xlfn.IFNA(VLOOKUP(A193,[5]進出口值表查詢結果!$C$11:$F$80,4,0),-[4]整車!$B$22)</f>
        <v>0</v>
      </c>
      <c r="Y193" s="393">
        <f>_xlfn.IFNA(VLOOKUP(A193,[5]進出口值表查詢結果!$C$11:$F$80,3,0),-[4]整車!$B$22)</f>
        <v>0</v>
      </c>
      <c r="Z193" s="387">
        <f t="shared" si="31"/>
        <v>10</v>
      </c>
      <c r="AA193" s="387">
        <f t="shared" si="32"/>
        <v>1060</v>
      </c>
    </row>
    <row r="194" spans="1:27">
      <c r="A194" s="429" t="s">
        <v>374</v>
      </c>
      <c r="B194" s="393"/>
      <c r="C194" s="393"/>
      <c r="D194" s="393"/>
      <c r="E194" s="393">
        <v>0</v>
      </c>
      <c r="F194" s="393">
        <v>0</v>
      </c>
      <c r="G194" s="393"/>
      <c r="H194" s="393">
        <v>0</v>
      </c>
      <c r="I194" s="393">
        <v>0</v>
      </c>
      <c r="J194" s="394">
        <v>0</v>
      </c>
      <c r="K194" s="395">
        <v>0</v>
      </c>
      <c r="L194" s="393">
        <v>0</v>
      </c>
      <c r="M194" s="393">
        <v>0</v>
      </c>
      <c r="N194" s="393">
        <v>0</v>
      </c>
      <c r="O194" s="393">
        <v>0</v>
      </c>
      <c r="P194" s="393">
        <v>0</v>
      </c>
      <c r="Q194" s="393">
        <v>0</v>
      </c>
      <c r="R194" s="393">
        <v>0</v>
      </c>
      <c r="S194" s="393">
        <v>0</v>
      </c>
      <c r="T194" s="393"/>
      <c r="U194" s="393"/>
      <c r="V194" s="393">
        <f>_xlfn.IFNA(VLOOKUP(A194,[3]進出口值表查詢結果!$C$11:$F$68,4,0),-[4]整車!$B$22)</f>
        <v>0</v>
      </c>
      <c r="W194" s="393">
        <f>_xlfn.IFNA(VLOOKUP(A194,[3]進出口值表查詢結果!$C$11:$F$68,3,0),-[4]整車!$B$22)</f>
        <v>0</v>
      </c>
      <c r="X194" s="393">
        <f>_xlfn.IFNA(VLOOKUP(A194,[5]進出口值表查詢結果!$C$11:$F$80,4,0),-[4]整車!$B$22)</f>
        <v>0</v>
      </c>
      <c r="Y194" s="393">
        <f>_xlfn.IFNA(VLOOKUP(A194,[5]進出口值表查詢結果!$C$11:$F$80,3,0),-[4]整車!$B$22)</f>
        <v>0</v>
      </c>
      <c r="Z194" s="387">
        <f t="shared" si="31"/>
        <v>0</v>
      </c>
      <c r="AA194" s="387">
        <f t="shared" si="32"/>
        <v>0</v>
      </c>
    </row>
    <row r="195" spans="1:27">
      <c r="A195" s="396" t="s">
        <v>143</v>
      </c>
      <c r="B195" s="393"/>
      <c r="C195" s="393"/>
      <c r="D195" s="393"/>
      <c r="E195" s="393">
        <v>0</v>
      </c>
      <c r="F195" s="393">
        <v>0</v>
      </c>
      <c r="G195" s="393"/>
      <c r="H195" s="393">
        <v>0</v>
      </c>
      <c r="I195" s="393">
        <v>0</v>
      </c>
      <c r="J195" s="394">
        <v>0</v>
      </c>
      <c r="K195" s="395">
        <v>0</v>
      </c>
      <c r="L195" s="393">
        <v>0</v>
      </c>
      <c r="M195" s="393">
        <v>0</v>
      </c>
      <c r="N195" s="393">
        <v>0</v>
      </c>
      <c r="O195" s="393">
        <v>0</v>
      </c>
      <c r="P195" s="393">
        <v>0</v>
      </c>
      <c r="Q195" s="393">
        <v>0</v>
      </c>
      <c r="R195" s="393">
        <v>0</v>
      </c>
      <c r="S195" s="393">
        <v>0</v>
      </c>
      <c r="T195" s="393"/>
      <c r="U195" s="393"/>
      <c r="V195" s="393">
        <f>_xlfn.IFNA(VLOOKUP(A195,[3]進出口值表查詢結果!$C$11:$F$68,4,0),-[4]整車!$B$22)</f>
        <v>0</v>
      </c>
      <c r="W195" s="393">
        <f>_xlfn.IFNA(VLOOKUP(A195,[3]進出口值表查詢結果!$C$11:$F$68,3,0),-[4]整車!$B$22)</f>
        <v>0</v>
      </c>
      <c r="X195" s="393">
        <f>_xlfn.IFNA(VLOOKUP(A195,[5]進出口值表查詢結果!$C$11:$F$80,4,0),-[4]整車!$B$22)</f>
        <v>0</v>
      </c>
      <c r="Y195" s="393">
        <f>_xlfn.IFNA(VLOOKUP(A195,[5]進出口值表查詢結果!$C$11:$F$80,3,0),-[4]整車!$B$22)</f>
        <v>0</v>
      </c>
      <c r="Z195" s="387">
        <f t="shared" si="31"/>
        <v>0</v>
      </c>
      <c r="AA195" s="387">
        <f t="shared" si="32"/>
        <v>0</v>
      </c>
    </row>
    <row r="196" spans="1:27">
      <c r="A196" s="429" t="s">
        <v>375</v>
      </c>
      <c r="B196" s="393"/>
      <c r="C196" s="393"/>
      <c r="D196" s="393"/>
      <c r="E196" s="393">
        <v>0</v>
      </c>
      <c r="F196" s="393">
        <v>0</v>
      </c>
      <c r="G196" s="393"/>
      <c r="H196" s="393">
        <v>0</v>
      </c>
      <c r="I196" s="393">
        <v>0</v>
      </c>
      <c r="J196" s="394">
        <v>0</v>
      </c>
      <c r="K196" s="395">
        <v>0</v>
      </c>
      <c r="L196" s="393">
        <v>0</v>
      </c>
      <c r="M196" s="393">
        <v>0</v>
      </c>
      <c r="N196" s="393">
        <v>0</v>
      </c>
      <c r="O196" s="393">
        <v>0</v>
      </c>
      <c r="P196" s="393">
        <v>0</v>
      </c>
      <c r="Q196" s="393">
        <v>0</v>
      </c>
      <c r="R196" s="393">
        <v>0</v>
      </c>
      <c r="S196" s="393">
        <v>0</v>
      </c>
      <c r="T196" s="393">
        <v>19</v>
      </c>
      <c r="U196" s="393">
        <v>12461</v>
      </c>
      <c r="V196" s="393">
        <f>_xlfn.IFNA(VLOOKUP(A196,[3]進出口值表查詢結果!$C$11:$F$68,4,0),-[4]整車!$B$22)</f>
        <v>0</v>
      </c>
      <c r="W196" s="393">
        <f>_xlfn.IFNA(VLOOKUP(A196,[3]進出口值表查詢結果!$C$11:$F$68,3,0),-[4]整車!$B$22)</f>
        <v>0</v>
      </c>
      <c r="X196" s="393">
        <f>_xlfn.IFNA(VLOOKUP(A196,[5]進出口值表查詢結果!$C$11:$F$80,4,0),-[4]整車!$B$22)</f>
        <v>0</v>
      </c>
      <c r="Y196" s="393">
        <f>_xlfn.IFNA(VLOOKUP(A196,[5]進出口值表查詢結果!$C$11:$F$80,3,0),-[4]整車!$B$22)</f>
        <v>0</v>
      </c>
      <c r="Z196" s="387">
        <f t="shared" si="31"/>
        <v>19</v>
      </c>
      <c r="AA196" s="387">
        <f t="shared" si="32"/>
        <v>12461</v>
      </c>
    </row>
    <row r="197" spans="1:27">
      <c r="A197" s="429" t="s">
        <v>376</v>
      </c>
      <c r="B197" s="393"/>
      <c r="C197" s="393"/>
      <c r="D197" s="393"/>
      <c r="E197" s="393">
        <v>0</v>
      </c>
      <c r="F197" s="393">
        <v>0</v>
      </c>
      <c r="G197" s="393"/>
      <c r="H197" s="393">
        <v>0</v>
      </c>
      <c r="I197" s="393">
        <v>0</v>
      </c>
      <c r="J197" s="394">
        <v>0</v>
      </c>
      <c r="K197" s="395">
        <v>0</v>
      </c>
      <c r="L197" s="393">
        <v>0</v>
      </c>
      <c r="M197" s="393">
        <v>0</v>
      </c>
      <c r="N197" s="393">
        <v>0</v>
      </c>
      <c r="O197" s="393">
        <v>0</v>
      </c>
      <c r="P197" s="393">
        <v>0</v>
      </c>
      <c r="Q197" s="393">
        <v>0</v>
      </c>
      <c r="R197" s="393">
        <v>0</v>
      </c>
      <c r="S197" s="393">
        <v>0</v>
      </c>
      <c r="T197" s="393"/>
      <c r="U197" s="393"/>
      <c r="V197" s="393">
        <f>_xlfn.IFNA(VLOOKUP(A197,[3]進出口值表查詢結果!$C$11:$F$68,4,0),-[4]整車!$B$22)</f>
        <v>0</v>
      </c>
      <c r="W197" s="393">
        <f>_xlfn.IFNA(VLOOKUP(A197,[3]進出口值表查詢結果!$C$11:$F$68,3,0),-[4]整車!$B$22)</f>
        <v>0</v>
      </c>
      <c r="X197" s="393">
        <f>_xlfn.IFNA(VLOOKUP(A197,[5]進出口值表查詢結果!$C$11:$F$80,4,0),-[4]整車!$B$22)</f>
        <v>0</v>
      </c>
      <c r="Y197" s="393">
        <f>_xlfn.IFNA(VLOOKUP(A197,[5]進出口值表查詢結果!$C$11:$F$80,3,0),-[4]整車!$B$22)</f>
        <v>0</v>
      </c>
      <c r="Z197" s="387">
        <f t="shared" si="31"/>
        <v>0</v>
      </c>
      <c r="AA197" s="387">
        <f t="shared" si="32"/>
        <v>0</v>
      </c>
    </row>
    <row r="198" spans="1:27">
      <c r="A198" s="429" t="s">
        <v>377</v>
      </c>
      <c r="B198" s="393"/>
      <c r="C198" s="393"/>
      <c r="D198" s="393"/>
      <c r="E198" s="393">
        <v>0</v>
      </c>
      <c r="F198" s="393">
        <v>0</v>
      </c>
      <c r="G198" s="393"/>
      <c r="H198" s="393">
        <v>0</v>
      </c>
      <c r="I198" s="393">
        <v>0</v>
      </c>
      <c r="J198" s="394">
        <v>0</v>
      </c>
      <c r="K198" s="395">
        <v>0</v>
      </c>
      <c r="L198" s="393">
        <v>0</v>
      </c>
      <c r="M198" s="393">
        <v>0</v>
      </c>
      <c r="N198" s="393">
        <v>0</v>
      </c>
      <c r="O198" s="393">
        <v>0</v>
      </c>
      <c r="P198" s="393">
        <v>0</v>
      </c>
      <c r="Q198" s="393">
        <v>0</v>
      </c>
      <c r="R198" s="393">
        <v>0</v>
      </c>
      <c r="S198" s="393">
        <v>0</v>
      </c>
      <c r="T198" s="393"/>
      <c r="U198" s="393"/>
      <c r="V198" s="393">
        <f>_xlfn.IFNA(VLOOKUP(A198,[3]進出口值表查詢結果!$C$11:$F$68,4,0),-[4]整車!$B$22)</f>
        <v>0</v>
      </c>
      <c r="W198" s="393">
        <f>_xlfn.IFNA(VLOOKUP(A198,[3]進出口值表查詢結果!$C$11:$F$68,3,0),-[4]整車!$B$22)</f>
        <v>0</v>
      </c>
      <c r="X198" s="393">
        <f>_xlfn.IFNA(VLOOKUP(A198,[5]進出口值表查詢結果!$C$11:$F$80,4,0),-[4]整車!$B$22)</f>
        <v>0</v>
      </c>
      <c r="Y198" s="393">
        <f>_xlfn.IFNA(VLOOKUP(A198,[5]進出口值表查詢結果!$C$11:$F$80,3,0),-[4]整車!$B$22)</f>
        <v>0</v>
      </c>
      <c r="Z198" s="387">
        <f t="shared" si="31"/>
        <v>0</v>
      </c>
      <c r="AA198" s="387">
        <f t="shared" si="32"/>
        <v>0</v>
      </c>
    </row>
    <row r="199" spans="1:27">
      <c r="A199" s="429" t="s">
        <v>397</v>
      </c>
      <c r="B199" s="393"/>
      <c r="C199" s="393"/>
      <c r="D199" s="393"/>
      <c r="E199" s="393">
        <v>0</v>
      </c>
      <c r="F199" s="393">
        <v>0</v>
      </c>
      <c r="G199" s="393"/>
      <c r="H199" s="393">
        <v>0</v>
      </c>
      <c r="I199" s="393">
        <v>0</v>
      </c>
      <c r="J199" s="394" t="s">
        <v>57</v>
      </c>
      <c r="K199" s="395">
        <v>0</v>
      </c>
      <c r="L199" s="393">
        <v>10</v>
      </c>
      <c r="M199" s="393">
        <v>1039</v>
      </c>
      <c r="N199" s="393">
        <v>0</v>
      </c>
      <c r="O199" s="393">
        <v>0</v>
      </c>
      <c r="P199" s="393">
        <v>0</v>
      </c>
      <c r="Q199" s="393">
        <v>0</v>
      </c>
      <c r="R199" s="393">
        <v>5</v>
      </c>
      <c r="S199" s="393">
        <v>543</v>
      </c>
      <c r="T199" s="393"/>
      <c r="U199" s="393"/>
      <c r="V199" s="393">
        <f>_xlfn.IFNA(VLOOKUP(A199,[3]進出口值表查詢結果!$C$11:$F$68,4,0),-[4]整車!$B$22)</f>
        <v>2</v>
      </c>
      <c r="W199" s="393">
        <f>_xlfn.IFNA(VLOOKUP(A199,[3]進出口值表查詢結果!$C$11:$F$68,3,0),-[4]整車!$B$22)</f>
        <v>763</v>
      </c>
      <c r="X199" s="393">
        <f>_xlfn.IFNA(VLOOKUP(A199,[5]進出口值表查詢結果!$C$11:$F$80,4,0),-[4]整車!$B$22)</f>
        <v>0</v>
      </c>
      <c r="Y199" s="393">
        <f>_xlfn.IFNA(VLOOKUP(A199,[5]進出口值表查詢結果!$C$11:$F$80,3,0),-[4]整車!$B$22)</f>
        <v>0</v>
      </c>
      <c r="Z199" s="387">
        <f t="shared" si="31"/>
        <v>17</v>
      </c>
      <c r="AA199" s="387">
        <f t="shared" si="32"/>
        <v>2345</v>
      </c>
    </row>
    <row r="200" spans="1:27">
      <c r="A200" s="396" t="s">
        <v>144</v>
      </c>
      <c r="B200" s="393"/>
      <c r="C200" s="393"/>
      <c r="D200" s="393"/>
      <c r="E200" s="393">
        <v>0</v>
      </c>
      <c r="F200" s="393">
        <v>0</v>
      </c>
      <c r="G200" s="393"/>
      <c r="H200" s="393">
        <v>0</v>
      </c>
      <c r="I200" s="393">
        <v>0</v>
      </c>
      <c r="J200" s="394">
        <v>0</v>
      </c>
      <c r="K200" s="395">
        <v>0</v>
      </c>
      <c r="L200" s="393">
        <v>0</v>
      </c>
      <c r="M200" s="393">
        <v>0</v>
      </c>
      <c r="N200" s="393">
        <v>1</v>
      </c>
      <c r="O200" s="393">
        <v>2028</v>
      </c>
      <c r="P200" s="393">
        <v>0</v>
      </c>
      <c r="Q200" s="393">
        <v>0</v>
      </c>
      <c r="R200" s="393">
        <v>0</v>
      </c>
      <c r="S200" s="393">
        <v>0</v>
      </c>
      <c r="T200" s="393"/>
      <c r="U200" s="393"/>
      <c r="V200" s="393">
        <f>_xlfn.IFNA(VLOOKUP(A200,[3]進出口值表查詢結果!$C$11:$F$68,4,0),-[4]整車!$B$22)</f>
        <v>0</v>
      </c>
      <c r="W200" s="393">
        <f>_xlfn.IFNA(VLOOKUP(A200,[3]進出口值表查詢結果!$C$11:$F$68,3,0),-[4]整車!$B$22)</f>
        <v>0</v>
      </c>
      <c r="X200" s="393">
        <f>_xlfn.IFNA(VLOOKUP(A200,[5]進出口值表查詢結果!$C$11:$F$80,4,0),-[4]整車!$B$22)</f>
        <v>0</v>
      </c>
      <c r="Y200" s="393">
        <f>_xlfn.IFNA(VLOOKUP(A200,[5]進出口值表查詢結果!$C$11:$F$80,3,0),-[4]整車!$B$22)</f>
        <v>0</v>
      </c>
      <c r="Z200" s="387">
        <f t="shared" si="31"/>
        <v>1</v>
      </c>
      <c r="AA200" s="387">
        <f t="shared" si="32"/>
        <v>2028</v>
      </c>
    </row>
    <row r="201" spans="1:27">
      <c r="A201" s="433" t="s">
        <v>378</v>
      </c>
      <c r="B201" s="393"/>
      <c r="C201" s="393"/>
      <c r="D201" s="393"/>
      <c r="E201" s="393"/>
      <c r="F201" s="393"/>
      <c r="G201" s="393"/>
      <c r="H201" s="393">
        <v>0</v>
      </c>
      <c r="I201" s="393">
        <v>0</v>
      </c>
      <c r="J201" s="394" t="s">
        <v>57</v>
      </c>
      <c r="K201" s="395"/>
      <c r="L201" s="393">
        <v>0</v>
      </c>
      <c r="M201" s="393">
        <v>0</v>
      </c>
      <c r="N201" s="393">
        <v>0</v>
      </c>
      <c r="O201" s="393">
        <v>0</v>
      </c>
      <c r="P201" s="393">
        <v>0</v>
      </c>
      <c r="Q201" s="393">
        <v>0</v>
      </c>
      <c r="R201" s="393">
        <v>0</v>
      </c>
      <c r="S201" s="393">
        <v>0</v>
      </c>
      <c r="T201" s="393"/>
      <c r="U201" s="393"/>
      <c r="V201" s="393">
        <f>_xlfn.IFNA(VLOOKUP(A201,[3]進出口值表查詢結果!$C$11:$F$68,4,0),-[4]整車!$B$22)</f>
        <v>0</v>
      </c>
      <c r="W201" s="393">
        <f>_xlfn.IFNA(VLOOKUP(A201,[3]進出口值表查詢結果!$C$11:$F$68,3,0),-[4]整車!$B$22)</f>
        <v>0</v>
      </c>
      <c r="X201" s="393">
        <f>_xlfn.IFNA(VLOOKUP(A201,[5]進出口值表查詢結果!$C$11:$F$80,4,0),-[4]整車!$B$22)</f>
        <v>0</v>
      </c>
      <c r="Y201" s="393">
        <f>_xlfn.IFNA(VLOOKUP(A201,[5]進出口值表查詢結果!$C$11:$F$80,3,0),-[4]整車!$B$22)</f>
        <v>0</v>
      </c>
      <c r="Z201" s="387"/>
      <c r="AA201" s="387"/>
    </row>
    <row r="202" spans="1:27">
      <c r="A202" s="429" t="s">
        <v>398</v>
      </c>
      <c r="B202" s="393"/>
      <c r="C202" s="393"/>
      <c r="D202" s="393"/>
      <c r="E202" s="393"/>
      <c r="F202" s="393"/>
      <c r="G202" s="393"/>
      <c r="H202" s="393">
        <v>0</v>
      </c>
      <c r="I202" s="393">
        <v>0</v>
      </c>
      <c r="J202" s="394" t="s">
        <v>57</v>
      </c>
      <c r="K202" s="395"/>
      <c r="L202" s="393">
        <v>0</v>
      </c>
      <c r="M202" s="393">
        <v>0</v>
      </c>
      <c r="N202" s="393">
        <v>0</v>
      </c>
      <c r="O202" s="393">
        <v>0</v>
      </c>
      <c r="P202" s="393">
        <v>0</v>
      </c>
      <c r="Q202" s="393">
        <v>0</v>
      </c>
      <c r="R202" s="393">
        <v>0</v>
      </c>
      <c r="S202" s="393">
        <v>0</v>
      </c>
      <c r="T202" s="393"/>
      <c r="U202" s="393"/>
      <c r="V202" s="393">
        <f>_xlfn.IFNA(VLOOKUP(A202,[3]進出口值表查詢結果!$C$11:$F$68,4,0),-[4]整車!$B$22)</f>
        <v>5</v>
      </c>
      <c r="W202" s="393">
        <f>_xlfn.IFNA(VLOOKUP(A202,[3]進出口值表查詢結果!$C$11:$F$68,3,0),-[4]整車!$B$22)</f>
        <v>7938</v>
      </c>
      <c r="X202" s="393">
        <f>_xlfn.IFNA(VLOOKUP(A202,[5]進出口值表查詢結果!$C$11:$F$80,4,0),-[4]整車!$B$22)</f>
        <v>0</v>
      </c>
      <c r="Y202" s="393">
        <f>_xlfn.IFNA(VLOOKUP(A202,[5]進出口值表查詢結果!$C$11:$F$80,3,0),-[4]整車!$B$22)</f>
        <v>0</v>
      </c>
      <c r="Z202" s="387"/>
      <c r="AA202" s="387"/>
    </row>
    <row r="203" spans="1:27">
      <c r="A203" s="433" t="s">
        <v>399</v>
      </c>
      <c r="B203" s="393"/>
      <c r="C203" s="393"/>
      <c r="D203" s="419">
        <v>0</v>
      </c>
      <c r="E203" s="393">
        <v>0</v>
      </c>
      <c r="F203" s="393">
        <v>0</v>
      </c>
      <c r="G203" s="420"/>
      <c r="H203" s="393">
        <v>0</v>
      </c>
      <c r="I203" s="393">
        <v>0</v>
      </c>
      <c r="J203" s="394">
        <v>0</v>
      </c>
      <c r="K203" s="395">
        <v>0</v>
      </c>
      <c r="L203" s="393">
        <v>0</v>
      </c>
      <c r="M203" s="393">
        <v>0</v>
      </c>
      <c r="N203" s="393">
        <v>0</v>
      </c>
      <c r="O203" s="393">
        <v>0</v>
      </c>
      <c r="P203" s="393">
        <v>0</v>
      </c>
      <c r="Q203" s="393">
        <v>0</v>
      </c>
      <c r="R203" s="393">
        <v>0</v>
      </c>
      <c r="S203" s="393">
        <v>0</v>
      </c>
      <c r="T203" s="393">
        <v>0</v>
      </c>
      <c r="U203" s="393">
        <v>0</v>
      </c>
      <c r="V203" s="393">
        <f>_xlfn.IFNA(VLOOKUP(A203,[3]進出口值表查詢結果!$C$11:$F$68,4,0),-[4]整車!$B$22)</f>
        <v>0</v>
      </c>
      <c r="W203" s="393">
        <f>_xlfn.IFNA(VLOOKUP(A203,[3]進出口值表查詢結果!$C$11:$F$68,3,0),-[4]整車!$B$22)</f>
        <v>0</v>
      </c>
      <c r="X203" s="393">
        <f>_xlfn.IFNA(VLOOKUP(A203,[5]進出口值表查詢結果!$C$11:$F$80,4,0),-[4]整車!$B$22)</f>
        <v>0</v>
      </c>
      <c r="Y203" s="393">
        <f>_xlfn.IFNA(VLOOKUP(A203,[5]進出口值表查詢結果!$C$11:$F$80,3,0),-[4]整車!$B$22)</f>
        <v>0</v>
      </c>
      <c r="Z203" s="393">
        <f>SUM(B203,D203,F203,H203,J203,L203,N203,P203,R203,T203,V203,X203)</f>
        <v>0</v>
      </c>
      <c r="AA203" s="393">
        <f>SUM(C203,E203,G203,I203,K203,M203,O203,Q203,S203,U203,W203,Y203)</f>
        <v>0</v>
      </c>
    </row>
    <row r="204" spans="1:27">
      <c r="A204" s="369"/>
      <c r="B204" s="594" t="s">
        <v>145</v>
      </c>
      <c r="C204" s="595"/>
      <c r="D204" s="370" t="s">
        <v>121</v>
      </c>
      <c r="E204" s="371"/>
      <c r="F204" s="370" t="s">
        <v>122</v>
      </c>
      <c r="G204" s="371"/>
      <c r="H204" s="370" t="s">
        <v>123</v>
      </c>
      <c r="I204" s="371"/>
      <c r="J204" s="372" t="s">
        <v>124</v>
      </c>
      <c r="K204" s="373"/>
      <c r="L204" s="370" t="s">
        <v>125</v>
      </c>
      <c r="M204" s="371"/>
      <c r="N204" s="370" t="s">
        <v>126</v>
      </c>
      <c r="O204" s="371"/>
      <c r="P204" s="370" t="s">
        <v>127</v>
      </c>
      <c r="Q204" s="371"/>
      <c r="R204" s="370" t="s">
        <v>128</v>
      </c>
      <c r="S204" s="371"/>
      <c r="T204" s="370" t="s">
        <v>129</v>
      </c>
      <c r="U204" s="371"/>
      <c r="V204" s="370" t="s">
        <v>130</v>
      </c>
      <c r="W204" s="371"/>
      <c r="X204" s="370" t="s">
        <v>131</v>
      </c>
      <c r="Y204" s="371"/>
      <c r="Z204" s="594" t="s">
        <v>103</v>
      </c>
      <c r="AA204" s="595"/>
    </row>
    <row r="205" spans="1:27">
      <c r="A205" s="421" t="s">
        <v>146</v>
      </c>
      <c r="B205" s="375" t="s">
        <v>133</v>
      </c>
      <c r="C205" s="375" t="s">
        <v>134</v>
      </c>
      <c r="D205" s="375" t="s">
        <v>135</v>
      </c>
      <c r="E205" s="375" t="s">
        <v>136</v>
      </c>
      <c r="F205" s="375" t="s">
        <v>135</v>
      </c>
      <c r="G205" s="375" t="s">
        <v>136</v>
      </c>
      <c r="H205" s="375" t="s">
        <v>135</v>
      </c>
      <c r="I205" s="375" t="s">
        <v>136</v>
      </c>
      <c r="J205" s="376" t="s">
        <v>135</v>
      </c>
      <c r="K205" s="377" t="s">
        <v>136</v>
      </c>
      <c r="L205" s="375" t="s">
        <v>135</v>
      </c>
      <c r="M205" s="375" t="s">
        <v>136</v>
      </c>
      <c r="N205" s="375" t="s">
        <v>135</v>
      </c>
      <c r="O205" s="375" t="s">
        <v>136</v>
      </c>
      <c r="P205" s="375" t="s">
        <v>135</v>
      </c>
      <c r="Q205" s="375" t="s">
        <v>136</v>
      </c>
      <c r="R205" s="375" t="s">
        <v>135</v>
      </c>
      <c r="S205" s="375" t="s">
        <v>136</v>
      </c>
      <c r="T205" s="375" t="s">
        <v>135</v>
      </c>
      <c r="U205" s="375" t="s">
        <v>136</v>
      </c>
      <c r="V205" s="375" t="s">
        <v>135</v>
      </c>
      <c r="W205" s="375" t="s">
        <v>136</v>
      </c>
      <c r="X205" s="375" t="s">
        <v>135</v>
      </c>
      <c r="Y205" s="375" t="s">
        <v>136</v>
      </c>
      <c r="Z205" s="375" t="s">
        <v>135</v>
      </c>
      <c r="AA205" s="375" t="s">
        <v>136</v>
      </c>
    </row>
    <row r="206" spans="1:27">
      <c r="A206" s="374" t="s">
        <v>147</v>
      </c>
      <c r="B206" s="393">
        <v>6025</v>
      </c>
      <c r="C206" s="393">
        <v>1562479</v>
      </c>
      <c r="D206" s="393">
        <v>5953</v>
      </c>
      <c r="E206" s="393">
        <v>1186109</v>
      </c>
      <c r="F206" s="393">
        <v>5066</v>
      </c>
      <c r="G206" s="393">
        <v>1570229</v>
      </c>
      <c r="H206" s="393">
        <v>7242</v>
      </c>
      <c r="I206" s="393">
        <v>1397285</v>
      </c>
      <c r="J206" s="394">
        <v>9565</v>
      </c>
      <c r="K206" s="395">
        <v>2314635</v>
      </c>
      <c r="L206" s="393">
        <v>11407</v>
      </c>
      <c r="M206" s="393">
        <v>2211195</v>
      </c>
      <c r="N206" s="393">
        <v>8718</v>
      </c>
      <c r="O206" s="393">
        <v>1911196</v>
      </c>
      <c r="P206" s="393"/>
      <c r="Q206" s="393"/>
      <c r="R206" s="393"/>
      <c r="S206" s="393"/>
      <c r="T206" s="393"/>
      <c r="U206" s="393"/>
      <c r="V206" s="393"/>
      <c r="W206" s="393"/>
      <c r="X206" s="393"/>
      <c r="Y206" s="393"/>
      <c r="Z206" s="393">
        <f>SUM(B206,D206,F206,H206,J206,L206,N206,P206,R206,T206,V206,X206)</f>
        <v>53976</v>
      </c>
      <c r="AA206" s="387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opLeftCell="A22" zoomScaleNormal="100" workbookViewId="0">
      <selection activeCell="C39" sqref="C39"/>
    </sheetView>
  </sheetViews>
  <sheetFormatPr defaultRowHeight="16.5"/>
  <cols>
    <col min="1" max="1" width="7.125" style="5" customWidth="1"/>
    <col min="2" max="2" width="11.25" style="5" customWidth="1"/>
    <col min="3" max="3" width="12.375" style="58" customWidth="1"/>
    <col min="4" max="4" width="10" style="107" customWidth="1"/>
    <col min="5" max="5" width="13.375" style="5" customWidth="1"/>
    <col min="6" max="6" width="14.125" style="58" customWidth="1"/>
    <col min="7" max="7" width="11.125" style="107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8.75" customHeight="1">
      <c r="A1" s="464" t="s">
        <v>489</v>
      </c>
      <c r="B1" s="127"/>
      <c r="C1" s="128"/>
      <c r="D1" s="129"/>
      <c r="E1" s="127"/>
      <c r="F1" s="128"/>
      <c r="G1" s="129"/>
    </row>
    <row r="2" spans="1:7" ht="7.5" customHeight="1"/>
    <row r="3" spans="1:7" s="120" customFormat="1">
      <c r="A3" s="130" t="s">
        <v>412</v>
      </c>
      <c r="B3" s="131"/>
      <c r="C3" s="132"/>
      <c r="D3" s="133"/>
      <c r="E3" s="131"/>
      <c r="F3" s="134"/>
      <c r="G3" s="135"/>
    </row>
    <row r="4" spans="1:7">
      <c r="A4" s="136" t="s">
        <v>448</v>
      </c>
      <c r="B4" s="67"/>
      <c r="C4" s="137"/>
      <c r="D4" s="138"/>
      <c r="E4" s="67"/>
      <c r="F4" s="139"/>
      <c r="G4" s="140"/>
    </row>
    <row r="5" spans="1:7">
      <c r="A5" s="596" t="s">
        <v>49</v>
      </c>
      <c r="B5" s="141" t="s">
        <v>50</v>
      </c>
      <c r="C5" s="142"/>
      <c r="D5" s="143"/>
      <c r="E5" s="144" t="s">
        <v>51</v>
      </c>
      <c r="F5" s="142"/>
      <c r="G5" s="143"/>
    </row>
    <row r="6" spans="1:7">
      <c r="A6" s="597"/>
      <c r="B6" s="30" t="s">
        <v>446</v>
      </c>
      <c r="C6" s="145" t="s">
        <v>447</v>
      </c>
      <c r="D6" s="146" t="s">
        <v>413</v>
      </c>
      <c r="E6" s="30" t="s">
        <v>446</v>
      </c>
      <c r="F6" s="145" t="s">
        <v>447</v>
      </c>
      <c r="G6" s="146" t="s">
        <v>413</v>
      </c>
    </row>
    <row r="7" spans="1:7">
      <c r="A7" s="31">
        <v>1</v>
      </c>
      <c r="B7" s="352">
        <v>75072</v>
      </c>
      <c r="C7" s="357">
        <v>162493</v>
      </c>
      <c r="D7" s="458">
        <f>IFERROR((B7-C7)/C7,0)</f>
        <v>-0.53799855993796653</v>
      </c>
      <c r="E7" s="459">
        <v>84279913</v>
      </c>
      <c r="F7" s="357">
        <v>152006314</v>
      </c>
      <c r="G7" s="458">
        <f>IFERROR((E7-F7)/F7,0)</f>
        <v>-0.44554991972241365</v>
      </c>
    </row>
    <row r="8" spans="1:7">
      <c r="A8" s="31">
        <v>2</v>
      </c>
      <c r="B8" s="27">
        <v>71119</v>
      </c>
      <c r="C8" s="357">
        <v>115013</v>
      </c>
      <c r="D8" s="458">
        <f>IFERROR((B8-C8)/C8,0)</f>
        <v>-0.38164381417752774</v>
      </c>
      <c r="E8" s="459">
        <v>75549991</v>
      </c>
      <c r="F8" s="357">
        <v>109496132</v>
      </c>
      <c r="G8" s="458">
        <f>IFERROR((E8-F8)/F8,0)</f>
        <v>-0.31002137134853314</v>
      </c>
    </row>
    <row r="9" spans="1:7">
      <c r="A9" s="31">
        <v>3</v>
      </c>
      <c r="B9" s="352">
        <v>86310</v>
      </c>
      <c r="C9" s="357">
        <v>134607</v>
      </c>
      <c r="D9" s="458">
        <f t="shared" ref="D9:D18" si="0">IFERROR((B9-C9)/C9,0)</f>
        <v>-0.35880006240388684</v>
      </c>
      <c r="E9" s="459">
        <v>92588841</v>
      </c>
      <c r="F9" s="357">
        <v>122140642</v>
      </c>
      <c r="G9" s="458">
        <f t="shared" ref="G9:G18" si="1">IFERROR((E9-F9)/F9,0)</f>
        <v>-0.24194895749770171</v>
      </c>
    </row>
    <row r="10" spans="1:7">
      <c r="A10" s="31">
        <v>4</v>
      </c>
      <c r="B10" s="356">
        <v>71548</v>
      </c>
      <c r="C10" s="355">
        <v>133349</v>
      </c>
      <c r="D10" s="458">
        <f t="shared" si="0"/>
        <v>-0.46345304426729861</v>
      </c>
      <c r="E10" s="459">
        <v>79101984</v>
      </c>
      <c r="F10" s="355">
        <v>126190344</v>
      </c>
      <c r="G10" s="458">
        <f t="shared" si="1"/>
        <v>-0.373153432405256</v>
      </c>
    </row>
    <row r="11" spans="1:7">
      <c r="A11" s="31">
        <v>5</v>
      </c>
      <c r="B11" s="352">
        <v>68033</v>
      </c>
      <c r="C11" s="357">
        <v>676162</v>
      </c>
      <c r="D11" s="458">
        <f t="shared" si="0"/>
        <v>-0.89938357967469329</v>
      </c>
      <c r="E11" s="459">
        <v>81820830</v>
      </c>
      <c r="F11" s="357">
        <v>634747287</v>
      </c>
      <c r="G11" s="458">
        <f t="shared" si="1"/>
        <v>-0.8710969992692541</v>
      </c>
    </row>
    <row r="12" spans="1:7">
      <c r="A12" s="31">
        <v>6</v>
      </c>
      <c r="B12" s="352">
        <v>83757</v>
      </c>
      <c r="C12" s="357">
        <v>105847</v>
      </c>
      <c r="D12" s="458">
        <f t="shared" si="0"/>
        <v>-0.20869745954065774</v>
      </c>
      <c r="E12" s="459">
        <v>104083035</v>
      </c>
      <c r="F12" s="357">
        <v>117464564</v>
      </c>
      <c r="G12" s="458">
        <f t="shared" si="1"/>
        <v>-0.11391970943679662</v>
      </c>
    </row>
    <row r="13" spans="1:7">
      <c r="A13" s="31">
        <v>7</v>
      </c>
      <c r="B13" s="352">
        <v>67057</v>
      </c>
      <c r="C13" s="357">
        <v>104885</v>
      </c>
      <c r="D13" s="458">
        <f t="shared" si="0"/>
        <v>-0.36066167707489155</v>
      </c>
      <c r="E13" s="459">
        <v>75867574</v>
      </c>
      <c r="F13" s="357">
        <v>119683695</v>
      </c>
      <c r="G13" s="458">
        <f t="shared" si="1"/>
        <v>-0.36609933374800968</v>
      </c>
    </row>
    <row r="14" spans="1:7">
      <c r="A14" s="31">
        <v>8</v>
      </c>
      <c r="B14" s="352">
        <v>90894</v>
      </c>
      <c r="C14" s="357">
        <v>110278</v>
      </c>
      <c r="D14" s="458">
        <f t="shared" si="0"/>
        <v>-0.17577395310034641</v>
      </c>
      <c r="E14" s="459">
        <v>107821952</v>
      </c>
      <c r="F14" s="357">
        <v>131898544</v>
      </c>
      <c r="G14" s="458">
        <f t="shared" si="1"/>
        <v>-0.18253872461245668</v>
      </c>
    </row>
    <row r="15" spans="1:7">
      <c r="A15" s="31">
        <v>9</v>
      </c>
      <c r="B15" s="27">
        <v>67360</v>
      </c>
      <c r="C15" s="88">
        <v>92961</v>
      </c>
      <c r="D15" s="458">
        <f t="shared" si="0"/>
        <v>-0.27539505814266196</v>
      </c>
      <c r="E15" s="459">
        <v>75470252</v>
      </c>
      <c r="F15" s="88">
        <v>107794928</v>
      </c>
      <c r="G15" s="458">
        <f t="shared" si="1"/>
        <v>-0.29987195686980744</v>
      </c>
    </row>
    <row r="16" spans="1:7">
      <c r="A16" s="31">
        <v>10</v>
      </c>
      <c r="B16" s="27"/>
      <c r="C16" s="88"/>
      <c r="D16" s="458">
        <f t="shared" si="0"/>
        <v>0</v>
      </c>
      <c r="E16" s="459"/>
      <c r="F16" s="88"/>
      <c r="G16" s="458">
        <f t="shared" si="1"/>
        <v>0</v>
      </c>
    </row>
    <row r="17" spans="1:7">
      <c r="A17" s="31">
        <v>11</v>
      </c>
      <c r="B17" s="27"/>
      <c r="C17" s="88"/>
      <c r="D17" s="458">
        <f t="shared" si="0"/>
        <v>0</v>
      </c>
      <c r="E17" s="459"/>
      <c r="F17" s="88"/>
      <c r="G17" s="458">
        <f t="shared" si="1"/>
        <v>0</v>
      </c>
    </row>
    <row r="18" spans="1:7">
      <c r="A18" s="31">
        <v>12</v>
      </c>
      <c r="B18" s="27"/>
      <c r="C18" s="88"/>
      <c r="D18" s="458">
        <f t="shared" si="0"/>
        <v>0</v>
      </c>
      <c r="E18" s="459"/>
      <c r="F18" s="88"/>
      <c r="G18" s="458">
        <f t="shared" si="1"/>
        <v>0</v>
      </c>
    </row>
    <row r="19" spans="1:7" s="113" customFormat="1">
      <c r="A19" s="32" t="s">
        <v>48</v>
      </c>
      <c r="B19" s="33">
        <f>SUM(B7:B18)</f>
        <v>681150</v>
      </c>
      <c r="C19" s="88">
        <f>SUM(C7:C18)</f>
        <v>1635595</v>
      </c>
      <c r="D19" s="458">
        <f>(B19-C19)/C19</f>
        <v>-0.58354604899134566</v>
      </c>
      <c r="E19" s="33">
        <f>SUM(E7:E18)</f>
        <v>776584372</v>
      </c>
      <c r="F19" s="88">
        <f>SUM(F7:F18)</f>
        <v>1621422450</v>
      </c>
      <c r="G19" s="516">
        <f>(E19-F19)/F19</f>
        <v>-0.52104747778717386</v>
      </c>
    </row>
    <row r="20" spans="1:7" s="113" customFormat="1" ht="6" customHeight="1">
      <c r="A20" s="38"/>
      <c r="B20" s="39"/>
      <c r="C20" s="460"/>
      <c r="D20" s="147"/>
      <c r="E20" s="39"/>
      <c r="F20" s="460"/>
      <c r="G20" s="147"/>
    </row>
    <row r="21" spans="1:7" ht="15" customHeight="1">
      <c r="A21" s="1" t="s">
        <v>490</v>
      </c>
      <c r="B21" s="127"/>
      <c r="C21" s="128"/>
      <c r="D21" s="129"/>
      <c r="E21" s="127"/>
      <c r="F21" s="128"/>
      <c r="G21" s="129"/>
    </row>
    <row r="22" spans="1:7" ht="9.75" customHeight="1">
      <c r="B22" s="95"/>
      <c r="C22" s="148"/>
      <c r="D22" s="149"/>
      <c r="E22" s="95"/>
      <c r="F22" s="148"/>
      <c r="G22" s="149"/>
    </row>
    <row r="23" spans="1:7" s="120" customFormat="1">
      <c r="A23" s="150" t="s">
        <v>455</v>
      </c>
      <c r="B23" s="151"/>
      <c r="C23" s="152"/>
      <c r="D23" s="153"/>
      <c r="E23" s="151"/>
      <c r="F23" s="154"/>
      <c r="G23" s="155"/>
    </row>
    <row r="24" spans="1:7">
      <c r="A24" s="136" t="s">
        <v>449</v>
      </c>
      <c r="B24" s="156"/>
      <c r="C24" s="157"/>
      <c r="D24" s="158"/>
      <c r="E24" s="156"/>
      <c r="F24" s="159"/>
      <c r="G24" s="160"/>
    </row>
    <row r="25" spans="1:7">
      <c r="A25" s="596" t="s">
        <v>49</v>
      </c>
      <c r="B25" s="161" t="s">
        <v>50</v>
      </c>
      <c r="C25" s="162"/>
      <c r="D25" s="163"/>
      <c r="E25" s="164" t="s">
        <v>51</v>
      </c>
      <c r="F25" s="162"/>
      <c r="G25" s="163"/>
    </row>
    <row r="26" spans="1:7">
      <c r="A26" s="597"/>
      <c r="B26" s="30" t="s">
        <v>446</v>
      </c>
      <c r="C26" s="145" t="s">
        <v>447</v>
      </c>
      <c r="D26" s="146" t="s">
        <v>413</v>
      </c>
      <c r="E26" s="30" t="s">
        <v>446</v>
      </c>
      <c r="F26" s="145" t="s">
        <v>447</v>
      </c>
      <c r="G26" s="146" t="s">
        <v>413</v>
      </c>
    </row>
    <row r="27" spans="1:7">
      <c r="A27" s="31">
        <v>1</v>
      </c>
      <c r="B27" s="461">
        <v>1098</v>
      </c>
      <c r="C27" s="357">
        <v>1565</v>
      </c>
      <c r="D27" s="458">
        <f>IFERROR((B27-C27)/C27,0)</f>
        <v>-0.29840255591054315</v>
      </c>
      <c r="E27" s="459">
        <v>559193</v>
      </c>
      <c r="F27" s="357">
        <v>764739</v>
      </c>
      <c r="G27" s="458">
        <f>IFERROR((E27-F27)/F27,0)</f>
        <v>-0.26877928286644204</v>
      </c>
    </row>
    <row r="28" spans="1:7">
      <c r="A28" s="31">
        <v>2</v>
      </c>
      <c r="B28" s="27">
        <v>1715</v>
      </c>
      <c r="C28" s="357">
        <v>1930</v>
      </c>
      <c r="D28" s="458">
        <f>IFERROR((B28-C28)/C28,0)</f>
        <v>-0.11139896373056994</v>
      </c>
      <c r="E28" s="459">
        <v>415174</v>
      </c>
      <c r="F28" s="357">
        <v>1217458</v>
      </c>
      <c r="G28" s="458">
        <f t="shared" ref="G28:G29" si="2">IFERROR((E28-F28)/F28,0)</f>
        <v>-0.65898289715127745</v>
      </c>
    </row>
    <row r="29" spans="1:7">
      <c r="A29" s="31">
        <v>3</v>
      </c>
      <c r="B29" s="461">
        <v>1861</v>
      </c>
      <c r="C29" s="357">
        <v>3134</v>
      </c>
      <c r="D29" s="458">
        <f t="shared" ref="D29:D39" si="3">IFERROR((B29-C29)/C29,0)</f>
        <v>-0.40619017230376514</v>
      </c>
      <c r="E29" s="459">
        <v>424138</v>
      </c>
      <c r="F29" s="357">
        <v>1286924</v>
      </c>
      <c r="G29" s="458">
        <f t="shared" si="2"/>
        <v>-0.67042498236104076</v>
      </c>
    </row>
    <row r="30" spans="1:7">
      <c r="A30" s="31">
        <v>4</v>
      </c>
      <c r="B30" s="27">
        <v>2294</v>
      </c>
      <c r="C30" s="357">
        <v>4931</v>
      </c>
      <c r="D30" s="458">
        <f t="shared" si="3"/>
        <v>-0.53477996349624823</v>
      </c>
      <c r="E30" s="27">
        <v>763396</v>
      </c>
      <c r="F30" s="355">
        <v>1618535</v>
      </c>
      <c r="G30" s="458">
        <f t="shared" ref="G30:G39" si="4">IFERROR((E30-F30)/F30,0)</f>
        <v>-0.5283413704368457</v>
      </c>
    </row>
    <row r="31" spans="1:7">
      <c r="A31" s="31">
        <v>5</v>
      </c>
      <c r="B31" s="461">
        <v>1577</v>
      </c>
      <c r="C31" s="357">
        <v>5530</v>
      </c>
      <c r="D31" s="458">
        <f t="shared" si="3"/>
        <v>-0.71482820976491868</v>
      </c>
      <c r="E31" s="459">
        <v>402746</v>
      </c>
      <c r="F31" s="357">
        <v>2047150</v>
      </c>
      <c r="G31" s="458">
        <f t="shared" si="4"/>
        <v>-0.80326502698874047</v>
      </c>
    </row>
    <row r="32" spans="1:7">
      <c r="A32" s="31">
        <v>6</v>
      </c>
      <c r="B32" s="461">
        <v>2880</v>
      </c>
      <c r="C32" s="357">
        <v>2471</v>
      </c>
      <c r="D32" s="458">
        <f t="shared" si="3"/>
        <v>0.16552003237555646</v>
      </c>
      <c r="E32" s="459">
        <v>499132</v>
      </c>
      <c r="F32" s="357">
        <v>1171692</v>
      </c>
      <c r="G32" s="458">
        <f t="shared" si="4"/>
        <v>-0.57400750367844111</v>
      </c>
    </row>
    <row r="33" spans="1:12">
      <c r="A33" s="31">
        <v>7</v>
      </c>
      <c r="B33" s="461">
        <v>1298</v>
      </c>
      <c r="C33" s="357">
        <v>2849</v>
      </c>
      <c r="D33" s="458">
        <f t="shared" si="3"/>
        <v>-0.54440154440154442</v>
      </c>
      <c r="E33" s="459">
        <v>364769</v>
      </c>
      <c r="F33" s="357">
        <v>726920</v>
      </c>
      <c r="G33" s="458">
        <f t="shared" si="4"/>
        <v>-0.49819925163704398</v>
      </c>
    </row>
    <row r="34" spans="1:12">
      <c r="A34" s="31">
        <v>8</v>
      </c>
      <c r="B34" s="461">
        <v>1004</v>
      </c>
      <c r="C34" s="357">
        <v>2069</v>
      </c>
      <c r="D34" s="458">
        <f t="shared" si="3"/>
        <v>-0.51474142097631703</v>
      </c>
      <c r="E34" s="459">
        <v>396532</v>
      </c>
      <c r="F34" s="357">
        <v>778476</v>
      </c>
      <c r="G34" s="458">
        <f t="shared" si="4"/>
        <v>-0.49063041121370471</v>
      </c>
    </row>
    <row r="35" spans="1:12">
      <c r="A35" s="31">
        <v>9</v>
      </c>
      <c r="B35" s="462">
        <v>3312</v>
      </c>
      <c r="C35" s="88">
        <v>1907</v>
      </c>
      <c r="D35" s="458">
        <f t="shared" si="3"/>
        <v>0.73675930781331933</v>
      </c>
      <c r="E35" s="27">
        <v>631771</v>
      </c>
      <c r="F35" s="88">
        <v>737123</v>
      </c>
      <c r="G35" s="458">
        <f t="shared" si="4"/>
        <v>-0.14292322990871265</v>
      </c>
    </row>
    <row r="36" spans="1:12">
      <c r="A36" s="31">
        <v>10</v>
      </c>
      <c r="B36" s="462"/>
      <c r="C36" s="88"/>
      <c r="D36" s="458">
        <f t="shared" si="3"/>
        <v>0</v>
      </c>
      <c r="E36" s="27"/>
      <c r="F36" s="88"/>
      <c r="G36" s="458">
        <f t="shared" si="4"/>
        <v>0</v>
      </c>
    </row>
    <row r="37" spans="1:12">
      <c r="A37" s="31">
        <v>11</v>
      </c>
      <c r="B37" s="462"/>
      <c r="C37" s="88"/>
      <c r="D37" s="458">
        <f t="shared" si="3"/>
        <v>0</v>
      </c>
      <c r="E37" s="27"/>
      <c r="F37" s="88"/>
      <c r="G37" s="458">
        <f t="shared" si="4"/>
        <v>0</v>
      </c>
      <c r="I37" s="455"/>
      <c r="J37" s="455"/>
      <c r="K37" s="455"/>
      <c r="L37" s="455"/>
    </row>
    <row r="38" spans="1:12">
      <c r="A38" s="31">
        <v>12</v>
      </c>
      <c r="B38" s="33"/>
      <c r="C38" s="88"/>
      <c r="D38" s="458">
        <f t="shared" si="3"/>
        <v>0</v>
      </c>
      <c r="E38" s="33"/>
      <c r="F38" s="88"/>
      <c r="G38" s="458">
        <f t="shared" si="4"/>
        <v>0</v>
      </c>
      <c r="I38" s="455"/>
      <c r="J38" s="455"/>
      <c r="K38" s="455"/>
      <c r="L38" s="455"/>
    </row>
    <row r="39" spans="1:12" s="113" customFormat="1">
      <c r="A39" s="32" t="s">
        <v>48</v>
      </c>
      <c r="B39" s="33">
        <f>SUM(B27:B38)</f>
        <v>17039</v>
      </c>
      <c r="C39" s="88">
        <f>SUM(C27:C38)</f>
        <v>26386</v>
      </c>
      <c r="D39" s="458">
        <f t="shared" si="3"/>
        <v>-0.35424088531797165</v>
      </c>
      <c r="E39" s="33">
        <f>SUM(E27:E38)</f>
        <v>4456851</v>
      </c>
      <c r="F39" s="88">
        <f>SUM(F27:F38)</f>
        <v>10349017</v>
      </c>
      <c r="G39" s="458">
        <f t="shared" si="4"/>
        <v>-0.56934547503400568</v>
      </c>
    </row>
    <row r="40" spans="1:12" s="113" customFormat="1" ht="6.75" customHeight="1">
      <c r="A40" s="38"/>
      <c r="B40" s="39"/>
      <c r="C40" s="460"/>
      <c r="D40" s="147"/>
      <c r="E40" s="39"/>
      <c r="F40" s="460"/>
      <c r="G40" s="165"/>
    </row>
    <row r="41" spans="1:12" s="13" customFormat="1">
      <c r="A41" s="54" t="s">
        <v>469</v>
      </c>
      <c r="C41" s="166"/>
      <c r="D41" s="167"/>
      <c r="F41" s="166"/>
      <c r="G41" s="167"/>
    </row>
  </sheetData>
  <mergeCells count="2">
    <mergeCell ref="A5:A6"/>
    <mergeCell ref="A25:A26"/>
  </mergeCells>
  <phoneticPr fontId="3" type="noConversion"/>
  <conditionalFormatting sqref="B7:C9 B11:C14">
    <cfRule type="cellIs" dxfId="68" priority="11" operator="lessThan">
      <formula>0</formula>
    </cfRule>
  </conditionalFormatting>
  <conditionalFormatting sqref="B27:C34">
    <cfRule type="cellIs" dxfId="67" priority="8" operator="lessThan">
      <formula>0</formula>
    </cfRule>
    <cfRule type="cellIs" dxfId="66" priority="9" operator="lessThan">
      <formula>0</formula>
    </cfRule>
  </conditionalFormatting>
  <conditionalFormatting sqref="E10:E18">
    <cfRule type="cellIs" dxfId="65" priority="1" operator="lessThan">
      <formula>0</formula>
    </cfRule>
  </conditionalFormatting>
  <conditionalFormatting sqref="E7:F9 F11:F14">
    <cfRule type="cellIs" dxfId="64" priority="10" operator="lessThan">
      <formula>0</formula>
    </cfRule>
  </conditionalFormatting>
  <conditionalFormatting sqref="E27:F29">
    <cfRule type="cellIs" dxfId="63" priority="6" operator="lessThan">
      <formula>0</formula>
    </cfRule>
    <cfRule type="cellIs" dxfId="62" priority="7" operator="lessThan">
      <formula>0</formula>
    </cfRule>
  </conditionalFormatting>
  <conditionalFormatting sqref="E31:F34">
    <cfRule type="cellIs" dxfId="61" priority="2" operator="lessThan">
      <formula>0</formula>
    </cfRule>
    <cfRule type="cellIs" dxfId="6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topLeftCell="A7" zoomScaleNormal="100" workbookViewId="0">
      <selection activeCell="I32" sqref="I32"/>
    </sheetView>
  </sheetViews>
  <sheetFormatPr defaultRowHeight="16.5"/>
  <cols>
    <col min="1" max="1" width="6.5" style="94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9" customFormat="1" ht="19.5">
      <c r="B1" s="1"/>
      <c r="C1" s="1"/>
      <c r="D1" s="1"/>
      <c r="E1" s="176" t="s">
        <v>491</v>
      </c>
      <c r="F1" s="1"/>
      <c r="G1" s="1"/>
      <c r="H1" s="1"/>
      <c r="I1" s="1"/>
      <c r="J1" s="1"/>
      <c r="K1" s="5"/>
      <c r="L1" s="5"/>
      <c r="M1" s="5"/>
      <c r="N1" s="5"/>
    </row>
    <row r="3" spans="1:14" s="113" customFormat="1">
      <c r="A3" s="110" t="s">
        <v>477</v>
      </c>
      <c r="B3" s="111"/>
      <c r="C3" s="111"/>
      <c r="D3" s="111"/>
      <c r="E3" s="111"/>
      <c r="F3" s="111"/>
      <c r="G3" s="111"/>
      <c r="H3" s="111"/>
      <c r="I3" s="111"/>
      <c r="J3" s="112"/>
      <c r="K3" s="5"/>
      <c r="L3" s="5"/>
      <c r="M3" s="5"/>
      <c r="N3" s="5"/>
    </row>
    <row r="4" spans="1:14" s="13" customFormat="1">
      <c r="A4" s="114" t="s">
        <v>37</v>
      </c>
      <c r="B4" s="115"/>
      <c r="C4" s="115"/>
      <c r="D4" s="115"/>
      <c r="E4" s="115"/>
      <c r="F4" s="115"/>
      <c r="G4" s="115"/>
      <c r="H4" s="115"/>
      <c r="I4" s="115"/>
      <c r="J4" s="116"/>
      <c r="K4" s="5"/>
      <c r="L4" s="5"/>
      <c r="M4" s="5"/>
      <c r="N4" s="5"/>
    </row>
    <row r="5" spans="1:14" s="120" customFormat="1">
      <c r="A5" s="117" t="s">
        <v>38</v>
      </c>
      <c r="B5" s="118" t="s">
        <v>39</v>
      </c>
      <c r="C5" s="119" t="s">
        <v>40</v>
      </c>
      <c r="D5" s="118" t="s">
        <v>41</v>
      </c>
      <c r="E5" s="118" t="s">
        <v>42</v>
      </c>
      <c r="F5" s="118" t="s">
        <v>43</v>
      </c>
      <c r="G5" s="118" t="s">
        <v>44</v>
      </c>
      <c r="H5" s="118" t="s">
        <v>45</v>
      </c>
      <c r="I5" s="533" t="s">
        <v>473</v>
      </c>
      <c r="J5" s="118" t="s">
        <v>46</v>
      </c>
      <c r="K5" s="5"/>
      <c r="L5" s="5"/>
      <c r="M5" s="5"/>
      <c r="N5" s="5"/>
    </row>
    <row r="6" spans="1:14" s="120" customFormat="1">
      <c r="A6" s="121"/>
      <c r="B6" s="122" t="s">
        <v>47</v>
      </c>
      <c r="C6" s="123"/>
      <c r="D6" s="123"/>
      <c r="E6" s="123"/>
      <c r="F6" s="123"/>
      <c r="G6" s="123"/>
      <c r="H6" s="123"/>
      <c r="I6" s="123"/>
      <c r="J6" s="123"/>
      <c r="K6" s="5"/>
      <c r="L6" s="5"/>
      <c r="M6" s="5"/>
      <c r="N6" s="5"/>
    </row>
    <row r="7" spans="1:14">
      <c r="A7" s="124">
        <v>1</v>
      </c>
      <c r="B7" s="27">
        <f t="shared" ref="B7:B16" si="0">SUM(C7:I7)</f>
        <v>75072</v>
      </c>
      <c r="C7" s="352">
        <v>27895</v>
      </c>
      <c r="D7" s="502">
        <f>28137+90</f>
        <v>28227</v>
      </c>
      <c r="E7" s="352">
        <v>15926</v>
      </c>
      <c r="F7" s="352">
        <v>780</v>
      </c>
      <c r="G7" s="352">
        <v>235</v>
      </c>
      <c r="H7" s="352">
        <v>1957</v>
      </c>
      <c r="I7" s="353">
        <v>52</v>
      </c>
      <c r="J7" s="353">
        <v>0</v>
      </c>
    </row>
    <row r="8" spans="1:14">
      <c r="A8" s="125"/>
      <c r="B8" s="27">
        <f t="shared" si="0"/>
        <v>84279913</v>
      </c>
      <c r="C8" s="354">
        <v>28357488</v>
      </c>
      <c r="D8" s="502">
        <f>33798386+16677</f>
        <v>33815063</v>
      </c>
      <c r="E8" s="354">
        <v>17808712</v>
      </c>
      <c r="F8" s="354">
        <v>1216581</v>
      </c>
      <c r="G8" s="354">
        <v>190649</v>
      </c>
      <c r="H8" s="354">
        <v>2850675</v>
      </c>
      <c r="I8" s="352">
        <v>40745</v>
      </c>
      <c r="J8" s="352">
        <v>0</v>
      </c>
    </row>
    <row r="9" spans="1:14">
      <c r="A9" s="124">
        <v>2</v>
      </c>
      <c r="B9" s="27">
        <f t="shared" si="0"/>
        <v>71119</v>
      </c>
      <c r="C9" s="352">
        <v>24935</v>
      </c>
      <c r="D9" s="502">
        <v>30905</v>
      </c>
      <c r="E9" s="352">
        <v>10198</v>
      </c>
      <c r="F9" s="352">
        <v>1414</v>
      </c>
      <c r="G9" s="352">
        <v>301</v>
      </c>
      <c r="H9" s="352">
        <v>2980</v>
      </c>
      <c r="I9" s="352">
        <v>386</v>
      </c>
      <c r="J9" s="353">
        <v>0</v>
      </c>
    </row>
    <row r="10" spans="1:14">
      <c r="A10" s="125"/>
      <c r="B10" s="27">
        <f t="shared" si="0"/>
        <v>75549991</v>
      </c>
      <c r="C10" s="354">
        <v>23275171</v>
      </c>
      <c r="D10" s="502">
        <v>32375071</v>
      </c>
      <c r="E10" s="354">
        <v>14064909</v>
      </c>
      <c r="F10" s="354">
        <v>2125214</v>
      </c>
      <c r="G10" s="354">
        <v>150112</v>
      </c>
      <c r="H10" s="354">
        <v>2797130</v>
      </c>
      <c r="I10" s="354">
        <v>762384</v>
      </c>
      <c r="J10" s="352">
        <v>0</v>
      </c>
    </row>
    <row r="11" spans="1:14">
      <c r="A11" s="124">
        <v>3</v>
      </c>
      <c r="B11" s="27">
        <f t="shared" si="0"/>
        <v>86310</v>
      </c>
      <c r="C11" s="352">
        <v>28425</v>
      </c>
      <c r="D11" s="352">
        <v>34628</v>
      </c>
      <c r="E11" s="352">
        <v>18448</v>
      </c>
      <c r="F11" s="352">
        <v>1580</v>
      </c>
      <c r="G11" s="352">
        <v>27</v>
      </c>
      <c r="H11" s="352">
        <v>2882</v>
      </c>
      <c r="I11" s="352">
        <v>320</v>
      </c>
      <c r="J11" s="353">
        <v>0</v>
      </c>
    </row>
    <row r="12" spans="1:14">
      <c r="A12" s="125"/>
      <c r="B12" s="27">
        <f t="shared" si="0"/>
        <v>92588841</v>
      </c>
      <c r="C12" s="354">
        <v>33425153</v>
      </c>
      <c r="D12" s="354">
        <v>31822454</v>
      </c>
      <c r="E12" s="354">
        <v>20960589</v>
      </c>
      <c r="F12" s="354">
        <v>2512035</v>
      </c>
      <c r="G12" s="354">
        <v>50238</v>
      </c>
      <c r="H12" s="354">
        <v>3226291</v>
      </c>
      <c r="I12" s="354">
        <v>592081</v>
      </c>
      <c r="J12" s="352">
        <v>0</v>
      </c>
      <c r="L12" s="455"/>
    </row>
    <row r="13" spans="1:14">
      <c r="A13" s="124">
        <v>4</v>
      </c>
      <c r="B13" s="27">
        <f t="shared" si="0"/>
        <v>71548</v>
      </c>
      <c r="C13" s="353">
        <v>27557</v>
      </c>
      <c r="D13" s="353">
        <v>28654</v>
      </c>
      <c r="E13" s="353">
        <v>13398</v>
      </c>
      <c r="F13" s="353">
        <v>847</v>
      </c>
      <c r="G13" s="353">
        <v>123</v>
      </c>
      <c r="H13" s="353">
        <v>680</v>
      </c>
      <c r="I13" s="353">
        <v>289</v>
      </c>
      <c r="J13" s="353">
        <v>0</v>
      </c>
    </row>
    <row r="14" spans="1:14">
      <c r="A14" s="125"/>
      <c r="B14" s="27">
        <f t="shared" si="0"/>
        <v>79101984</v>
      </c>
      <c r="C14" s="352">
        <v>30062551</v>
      </c>
      <c r="D14" s="352">
        <v>28060875</v>
      </c>
      <c r="E14" s="352">
        <v>17352891</v>
      </c>
      <c r="F14" s="352">
        <v>1530186</v>
      </c>
      <c r="G14" s="352">
        <v>292647</v>
      </c>
      <c r="H14" s="352">
        <v>1284017</v>
      </c>
      <c r="I14" s="352">
        <v>518817</v>
      </c>
      <c r="J14" s="352">
        <v>0</v>
      </c>
    </row>
    <row r="15" spans="1:14">
      <c r="A15" s="126">
        <v>5</v>
      </c>
      <c r="B15" s="27">
        <f t="shared" si="0"/>
        <v>68033</v>
      </c>
      <c r="C15" s="352">
        <v>24680</v>
      </c>
      <c r="D15" s="352">
        <v>25566</v>
      </c>
      <c r="E15" s="352">
        <v>14411</v>
      </c>
      <c r="F15" s="352">
        <v>1167</v>
      </c>
      <c r="G15" s="352">
        <v>232</v>
      </c>
      <c r="H15" s="352">
        <v>1641</v>
      </c>
      <c r="I15" s="352">
        <v>336</v>
      </c>
      <c r="J15" s="352">
        <v>0</v>
      </c>
    </row>
    <row r="16" spans="1:14">
      <c r="A16" s="126"/>
      <c r="B16" s="27">
        <f t="shared" si="0"/>
        <v>81820830</v>
      </c>
      <c r="C16" s="352">
        <v>31968911</v>
      </c>
      <c r="D16" s="352">
        <v>27734644</v>
      </c>
      <c r="E16" s="352">
        <v>16942783</v>
      </c>
      <c r="F16" s="352">
        <v>1864433</v>
      </c>
      <c r="G16" s="352">
        <v>266194</v>
      </c>
      <c r="H16" s="352">
        <v>2432514</v>
      </c>
      <c r="I16" s="352">
        <v>611351</v>
      </c>
      <c r="J16" s="352">
        <v>0</v>
      </c>
    </row>
    <row r="17" spans="1:10">
      <c r="A17" s="124">
        <v>6</v>
      </c>
      <c r="B17" s="27">
        <f>SUM(C17:I17)</f>
        <v>83757</v>
      </c>
      <c r="C17" s="352">
        <v>29393</v>
      </c>
      <c r="D17" s="352">
        <v>30599</v>
      </c>
      <c r="E17" s="352">
        <v>18119</v>
      </c>
      <c r="F17" s="352">
        <v>1591</v>
      </c>
      <c r="G17" s="352">
        <v>170</v>
      </c>
      <c r="H17" s="352">
        <v>3661</v>
      </c>
      <c r="I17" s="352">
        <v>224</v>
      </c>
      <c r="J17" s="352">
        <v>0</v>
      </c>
    </row>
    <row r="18" spans="1:10">
      <c r="A18" s="125"/>
      <c r="B18" s="27">
        <f>SUM(C18:I18)</f>
        <v>104083035</v>
      </c>
      <c r="C18" s="352">
        <v>32879418</v>
      </c>
      <c r="D18" s="352">
        <v>39762182</v>
      </c>
      <c r="E18" s="352">
        <v>24002383</v>
      </c>
      <c r="F18" s="352">
        <v>2586263</v>
      </c>
      <c r="G18" s="352">
        <v>417265</v>
      </c>
      <c r="H18" s="352">
        <v>3870827</v>
      </c>
      <c r="I18" s="352">
        <v>564697</v>
      </c>
      <c r="J18" s="352">
        <v>0</v>
      </c>
    </row>
    <row r="19" spans="1:10">
      <c r="A19" s="124">
        <v>7</v>
      </c>
      <c r="B19" s="27">
        <f t="shared" ref="B19:B24" si="1">SUM(C19:J19)</f>
        <v>67057</v>
      </c>
      <c r="C19" s="352">
        <v>29391</v>
      </c>
      <c r="D19" s="352">
        <v>21124</v>
      </c>
      <c r="E19" s="352">
        <v>12414</v>
      </c>
      <c r="F19" s="352">
        <v>500</v>
      </c>
      <c r="G19" s="352">
        <v>439</v>
      </c>
      <c r="H19" s="352">
        <v>2937</v>
      </c>
      <c r="I19" s="352">
        <v>252</v>
      </c>
      <c r="J19" s="352">
        <v>0</v>
      </c>
    </row>
    <row r="20" spans="1:10">
      <c r="A20" s="125"/>
      <c r="B20" s="27">
        <f t="shared" si="1"/>
        <v>75867574</v>
      </c>
      <c r="C20" s="352">
        <v>28554770</v>
      </c>
      <c r="D20" s="352">
        <v>24486705</v>
      </c>
      <c r="E20" s="352">
        <v>16714187</v>
      </c>
      <c r="F20" s="352">
        <v>1016064</v>
      </c>
      <c r="G20" s="352">
        <v>230801</v>
      </c>
      <c r="H20" s="352">
        <v>4363600</v>
      </c>
      <c r="I20" s="352">
        <v>501447</v>
      </c>
      <c r="J20" s="352">
        <v>0</v>
      </c>
    </row>
    <row r="21" spans="1:10">
      <c r="A21" s="124">
        <v>8</v>
      </c>
      <c r="B21" s="27">
        <f t="shared" si="1"/>
        <v>90894</v>
      </c>
      <c r="C21" s="352">
        <v>33177</v>
      </c>
      <c r="D21" s="352">
        <v>36734</v>
      </c>
      <c r="E21" s="352">
        <v>13062</v>
      </c>
      <c r="F21" s="352">
        <v>2074</v>
      </c>
      <c r="G21" s="352">
        <v>726</v>
      </c>
      <c r="H21" s="352">
        <v>4675</v>
      </c>
      <c r="I21" s="352">
        <v>446</v>
      </c>
      <c r="J21" s="352">
        <v>0</v>
      </c>
    </row>
    <row r="22" spans="1:10">
      <c r="A22" s="125"/>
      <c r="B22" s="27">
        <f t="shared" si="1"/>
        <v>107821952</v>
      </c>
      <c r="C22" s="352">
        <v>40069349</v>
      </c>
      <c r="D22" s="352">
        <v>40745228</v>
      </c>
      <c r="E22" s="352">
        <v>16605751</v>
      </c>
      <c r="F22" s="352">
        <v>4097296</v>
      </c>
      <c r="G22" s="352">
        <v>514514</v>
      </c>
      <c r="H22" s="352">
        <v>4874502</v>
      </c>
      <c r="I22" s="352">
        <v>915312</v>
      </c>
      <c r="J22" s="352">
        <v>0</v>
      </c>
    </row>
    <row r="23" spans="1:10">
      <c r="A23" s="124">
        <v>9</v>
      </c>
      <c r="B23" s="27">
        <f t="shared" si="1"/>
        <v>67360</v>
      </c>
      <c r="C23" s="27">
        <v>27451</v>
      </c>
      <c r="D23" s="27">
        <v>19479</v>
      </c>
      <c r="E23" s="27">
        <v>13486</v>
      </c>
      <c r="F23" s="27">
        <v>2094</v>
      </c>
      <c r="G23" s="27">
        <v>427</v>
      </c>
      <c r="H23" s="27">
        <v>3984</v>
      </c>
      <c r="I23" s="27">
        <v>439</v>
      </c>
      <c r="J23" s="352">
        <v>0</v>
      </c>
    </row>
    <row r="24" spans="1:10">
      <c r="A24" s="125"/>
      <c r="B24" s="27">
        <f t="shared" si="1"/>
        <v>75470252</v>
      </c>
      <c r="C24" s="27">
        <v>28175159</v>
      </c>
      <c r="D24" s="27">
        <v>20639803</v>
      </c>
      <c r="E24" s="27">
        <v>18282378</v>
      </c>
      <c r="F24" s="27">
        <v>3683159</v>
      </c>
      <c r="G24" s="27">
        <v>353828</v>
      </c>
      <c r="H24" s="27">
        <v>3507903</v>
      </c>
      <c r="I24" s="27">
        <v>828022</v>
      </c>
      <c r="J24" s="352">
        <v>0</v>
      </c>
    </row>
    <row r="25" spans="1:10">
      <c r="A25" s="124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5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4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5"/>
      <c r="B28" s="27"/>
      <c r="C28" s="27"/>
      <c r="D28" s="27"/>
      <c r="E28" s="27"/>
      <c r="F28" s="27"/>
      <c r="G28" s="27"/>
      <c r="H28" s="27"/>
      <c r="I28" s="476"/>
      <c r="J28" s="27"/>
    </row>
    <row r="29" spans="1:10">
      <c r="A29" s="124">
        <v>12</v>
      </c>
      <c r="B29" s="27"/>
      <c r="C29" s="27"/>
      <c r="D29" s="27"/>
      <c r="E29" s="27"/>
      <c r="F29" s="27"/>
      <c r="G29" s="27"/>
      <c r="H29" s="27"/>
      <c r="I29" s="477"/>
      <c r="J29" s="27"/>
    </row>
    <row r="30" spans="1:10">
      <c r="A30" s="125"/>
      <c r="B30" s="27"/>
      <c r="C30" s="27"/>
      <c r="D30" s="27"/>
      <c r="E30" s="27"/>
      <c r="F30" s="27"/>
      <c r="G30" s="27"/>
      <c r="H30" s="27"/>
      <c r="I30" s="207"/>
      <c r="J30" s="27">
        <v>0</v>
      </c>
    </row>
    <row r="31" spans="1:10" s="113" customFormat="1">
      <c r="A31" s="598" t="s">
        <v>48</v>
      </c>
      <c r="B31" s="33">
        <f>SUM(B7,B9,B11,B13,B15,B17,B19,B21,B23,B25,B27,B29)</f>
        <v>681150</v>
      </c>
      <c r="C31" s="33">
        <f>SUM(C7+C9+C11+C13+C15+C17+C19+C21+C23+C25+C27+C29)</f>
        <v>252904</v>
      </c>
      <c r="D31" s="33">
        <f t="shared" ref="D31:J31" si="2">SUM(D7+D9+D11+D13+D15+D17+D19+D21+D23+D25+D27+D29)</f>
        <v>255916</v>
      </c>
      <c r="E31" s="33">
        <f t="shared" si="2"/>
        <v>129462</v>
      </c>
      <c r="F31" s="33">
        <f t="shared" si="2"/>
        <v>12047</v>
      </c>
      <c r="G31" s="33">
        <f t="shared" si="2"/>
        <v>2680</v>
      </c>
      <c r="H31" s="33">
        <f t="shared" si="2"/>
        <v>25397</v>
      </c>
      <c r="I31" s="33">
        <f t="shared" si="2"/>
        <v>2744</v>
      </c>
      <c r="J31" s="33">
        <f t="shared" si="2"/>
        <v>0</v>
      </c>
    </row>
    <row r="32" spans="1:10" s="113" customFormat="1">
      <c r="A32" s="597"/>
      <c r="B32" s="33">
        <f>SUM(B8,B10,B12,B14,B16,B18,B20,B22,B24,B26,B28,B30)</f>
        <v>776584372</v>
      </c>
      <c r="C32" s="33">
        <f t="shared" ref="C32:J32" si="3">SUM(C8,C10,C12,C14,C16,C18,C20,C22,C24,C26,C28,C30)</f>
        <v>276767970</v>
      </c>
      <c r="D32" s="33">
        <f t="shared" si="3"/>
        <v>279442025</v>
      </c>
      <c r="E32" s="33">
        <f t="shared" si="3"/>
        <v>162734583</v>
      </c>
      <c r="F32" s="33">
        <f t="shared" si="3"/>
        <v>20631231</v>
      </c>
      <c r="G32" s="33">
        <f t="shared" si="3"/>
        <v>2466248</v>
      </c>
      <c r="H32" s="33">
        <f t="shared" si="3"/>
        <v>29207459</v>
      </c>
      <c r="I32" s="33">
        <f t="shared" si="3"/>
        <v>5334856</v>
      </c>
      <c r="J32" s="33">
        <f t="shared" si="3"/>
        <v>0</v>
      </c>
    </row>
    <row r="33" spans="1:10" s="113" customFormat="1" ht="12" customHeight="1">
      <c r="A33" s="463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14" t="s">
        <v>469</v>
      </c>
    </row>
    <row r="35" spans="1:10">
      <c r="D35" s="455"/>
      <c r="E35" s="455"/>
      <c r="F35" s="455"/>
      <c r="G35" s="455"/>
      <c r="H35" s="455"/>
    </row>
    <row r="36" spans="1:10">
      <c r="D36" s="455"/>
      <c r="E36" s="455"/>
      <c r="F36" s="455"/>
      <c r="G36" s="455"/>
      <c r="H36" s="455"/>
    </row>
    <row r="37" spans="1:10">
      <c r="D37" s="455"/>
      <c r="F37" s="455"/>
      <c r="G37" s="455"/>
    </row>
    <row r="38" spans="1:10">
      <c r="D38" s="455"/>
      <c r="E38" s="455"/>
      <c r="G38" s="455"/>
      <c r="H38" s="455"/>
    </row>
    <row r="39" spans="1:10">
      <c r="F39" s="455"/>
      <c r="G39" s="455"/>
      <c r="H39" s="455"/>
    </row>
    <row r="40" spans="1:10">
      <c r="F40" s="455"/>
      <c r="G40" s="455"/>
      <c r="H40" s="455"/>
    </row>
    <row r="41" spans="1:10">
      <c r="G41" s="455"/>
      <c r="H41" s="455"/>
    </row>
    <row r="42" spans="1:10">
      <c r="G42" s="455"/>
      <c r="H42" s="455"/>
    </row>
    <row r="43" spans="1:10">
      <c r="G43" s="455"/>
      <c r="H43" s="455"/>
    </row>
    <row r="44" spans="1:10">
      <c r="G44" s="455"/>
      <c r="H44" s="455"/>
    </row>
    <row r="45" spans="1:10">
      <c r="G45" s="455"/>
      <c r="H45" s="455"/>
    </row>
    <row r="46" spans="1:10">
      <c r="G46" s="455"/>
      <c r="H46" s="455"/>
    </row>
    <row r="47" spans="1:10">
      <c r="G47" s="455"/>
    </row>
    <row r="48" spans="1:10">
      <c r="G48" s="455"/>
      <c r="H48" s="455"/>
    </row>
    <row r="49" spans="7:8">
      <c r="G49" s="455"/>
    </row>
    <row r="50" spans="7:8">
      <c r="G50" s="455"/>
    </row>
    <row r="51" spans="7:8">
      <c r="G51" s="455"/>
    </row>
    <row r="52" spans="7:8">
      <c r="G52" s="455"/>
    </row>
    <row r="53" spans="7:8">
      <c r="G53" s="455"/>
    </row>
    <row r="54" spans="7:8">
      <c r="G54" s="455"/>
    </row>
    <row r="55" spans="7:8">
      <c r="G55" s="455"/>
    </row>
    <row r="56" spans="7:8">
      <c r="G56" s="455"/>
    </row>
    <row r="57" spans="7:8">
      <c r="G57" s="455"/>
    </row>
    <row r="58" spans="7:8">
      <c r="G58" s="455"/>
    </row>
    <row r="59" spans="7:8">
      <c r="G59" s="455"/>
    </row>
    <row r="60" spans="7:8">
      <c r="G60" s="455"/>
    </row>
    <row r="62" spans="7:8">
      <c r="G62" s="455"/>
      <c r="H62" s="455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workbookViewId="0">
      <selection activeCell="B71" sqref="B71"/>
    </sheetView>
  </sheetViews>
  <sheetFormatPr defaultRowHeight="16.5"/>
  <cols>
    <col min="1" max="1" width="16.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93" t="s">
        <v>492</v>
      </c>
      <c r="B1" s="593"/>
      <c r="C1" s="593"/>
      <c r="D1" s="593"/>
      <c r="E1" s="593"/>
      <c r="F1" s="593"/>
      <c r="G1" s="593"/>
      <c r="H1" s="593"/>
      <c r="I1" s="593"/>
    </row>
    <row r="2" spans="1:9" ht="9" customHeight="1"/>
    <row r="3" spans="1:9">
      <c r="A3" s="599" t="s">
        <v>104</v>
      </c>
      <c r="B3" s="600"/>
      <c r="C3" s="600"/>
      <c r="D3" s="600"/>
      <c r="E3" s="600"/>
      <c r="F3" s="600"/>
      <c r="G3" s="600"/>
      <c r="H3" s="600"/>
      <c r="I3" s="601"/>
    </row>
    <row r="4" spans="1:9">
      <c r="A4" s="8" t="s">
        <v>481</v>
      </c>
      <c r="B4" s="8" t="s">
        <v>482</v>
      </c>
      <c r="C4" s="8" t="s">
        <v>483</v>
      </c>
      <c r="D4" s="9" t="s">
        <v>0</v>
      </c>
      <c r="E4" s="10" t="s">
        <v>484</v>
      </c>
      <c r="F4" s="11" t="s">
        <v>1</v>
      </c>
      <c r="G4" s="8" t="s">
        <v>486</v>
      </c>
      <c r="H4" s="11" t="s">
        <v>1</v>
      </c>
      <c r="I4" s="168" t="s">
        <v>52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53</v>
      </c>
      <c r="H5" s="8"/>
      <c r="I5" s="12" t="s">
        <v>3</v>
      </c>
    </row>
    <row r="6" spans="1:9">
      <c r="A6" s="169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7</v>
      </c>
      <c r="C7" s="22">
        <f>SUM(C8:C10)</f>
        <v>21087</v>
      </c>
      <c r="D7" s="23">
        <f>IF(B7,C7/B7,0)</f>
        <v>3012.4285714285716</v>
      </c>
      <c r="E7" s="206">
        <f>SUM(E8:E10)</f>
        <v>47</v>
      </c>
      <c r="F7" s="206">
        <f t="shared" ref="F7:G7" si="0">SUM(F8:F10)</f>
        <v>2.9235946529319922E-4</v>
      </c>
      <c r="G7" s="206">
        <f t="shared" si="0"/>
        <v>130305</v>
      </c>
      <c r="H7" s="24">
        <f>G7/$G$66</f>
        <v>5.7587190201201831E-3</v>
      </c>
      <c r="I7" s="25">
        <f>IF(E7,G7/E7,0)</f>
        <v>2772.4468085106382</v>
      </c>
    </row>
    <row r="8" spans="1:9">
      <c r="A8" s="26" t="s">
        <v>387</v>
      </c>
      <c r="B8" s="27">
        <f>VLOOKUP(A8,[6]進出口值表查詢結果!$A$3:$C$13,3,0)</f>
        <v>7</v>
      </c>
      <c r="C8" s="27">
        <f>VLOOKUP(A8,[6]進出口值表查詢結果!$A$3:$C$13,2,0)</f>
        <v>21087</v>
      </c>
      <c r="D8" s="23">
        <f t="shared" ref="D8:D66" si="1">IF(B8,C8/B8,0)</f>
        <v>3012.4285714285716</v>
      </c>
      <c r="E8" s="28">
        <f>VLOOKUP(A8,[7]進出口值表查詢結果!$A$3:$C$22,3,0)</f>
        <v>47</v>
      </c>
      <c r="F8" s="24">
        <f>E8/$E$66</f>
        <v>2.9235946529319922E-4</v>
      </c>
      <c r="G8" s="28">
        <f>VLOOKUP(A8,[7]進出口值表查詢結果!$A$3:$C$22,2,0)</f>
        <v>130305</v>
      </c>
      <c r="H8" s="24">
        <f>G8/$G$66</f>
        <v>5.7587190201201831E-3</v>
      </c>
      <c r="I8" s="25">
        <f t="shared" ref="I8:I65" si="2">IF(E8,G8/E8,0)</f>
        <v>2772.4468085106382</v>
      </c>
    </row>
    <row r="9" spans="1:9">
      <c r="A9" s="30" t="s">
        <v>6</v>
      </c>
      <c r="B9" s="27">
        <v>0</v>
      </c>
      <c r="C9" s="27">
        <v>0</v>
      </c>
      <c r="D9" s="23">
        <f t="shared" si="1"/>
        <v>0</v>
      </c>
      <c r="E9" s="28">
        <v>0</v>
      </c>
      <c r="F9" s="24">
        <f t="shared" ref="F9:F10" si="3">E9/$E$66</f>
        <v>0</v>
      </c>
      <c r="G9" s="28">
        <v>0</v>
      </c>
      <c r="H9" s="24">
        <f>G9/$G$66</f>
        <v>0</v>
      </c>
      <c r="I9" s="25">
        <f t="shared" si="2"/>
        <v>0</v>
      </c>
    </row>
    <row r="10" spans="1:9">
      <c r="A10" s="30" t="s">
        <v>7</v>
      </c>
      <c r="B10" s="27">
        <v>0</v>
      </c>
      <c r="C10" s="27">
        <v>0</v>
      </c>
      <c r="D10" s="23">
        <f t="shared" si="1"/>
        <v>0</v>
      </c>
      <c r="E10" s="28">
        <v>0</v>
      </c>
      <c r="F10" s="24">
        <f t="shared" si="3"/>
        <v>0</v>
      </c>
      <c r="G10" s="28">
        <v>0</v>
      </c>
      <c r="H10" s="24">
        <f>G10/$G$66</f>
        <v>0</v>
      </c>
      <c r="I10" s="25">
        <f t="shared" si="2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21">
        <f>SUM(B13:B39)</f>
        <v>26</v>
      </c>
      <c r="C12" s="33">
        <f>SUM(C13:C39)</f>
        <v>128208</v>
      </c>
      <c r="D12" s="23">
        <f t="shared" si="1"/>
        <v>4931.0769230769229</v>
      </c>
      <c r="E12" s="33">
        <f>SUM(E13:E39)</f>
        <v>227</v>
      </c>
      <c r="F12" s="24">
        <f t="shared" ref="F12" si="4">E12/$E$66</f>
        <v>1.4120340132246004E-3</v>
      </c>
      <c r="G12" s="33">
        <f>SUM(G13:G39)</f>
        <v>849112</v>
      </c>
      <c r="H12" s="24">
        <f t="shared" ref="H12:H39" si="5">G12/$G$66</f>
        <v>3.7525785078180336E-2</v>
      </c>
      <c r="I12" s="25">
        <f t="shared" si="2"/>
        <v>3740.5814977973569</v>
      </c>
    </row>
    <row r="13" spans="1:9">
      <c r="A13" s="425" t="s">
        <v>198</v>
      </c>
      <c r="B13" s="27">
        <v>0</v>
      </c>
      <c r="C13" s="27">
        <v>0</v>
      </c>
      <c r="D13" s="23">
        <f t="shared" si="1"/>
        <v>0</v>
      </c>
      <c r="E13" s="28">
        <f>VLOOKUP(A13,[7]進出口值表查詢結果!$A$3:$C$22,3,0)</f>
        <v>1</v>
      </c>
      <c r="F13" s="24">
        <f>E13/$E$66</f>
        <v>6.2204141551744519E-6</v>
      </c>
      <c r="G13" s="28">
        <f>VLOOKUP(A13,[7]進出口值表查詢結果!$A$3:$C$22,2,0)</f>
        <v>225</v>
      </c>
      <c r="H13" s="24">
        <f t="shared" si="5"/>
        <v>9.9436842755615007E-6</v>
      </c>
      <c r="I13" s="25">
        <f t="shared" si="2"/>
        <v>225</v>
      </c>
    </row>
    <row r="14" spans="1:9">
      <c r="A14" s="425" t="s">
        <v>199</v>
      </c>
      <c r="B14" s="27">
        <f>VLOOKUP(A14,[6]進出口值表查詢結果!$A$3:$C$13,3,0)</f>
        <v>13</v>
      </c>
      <c r="C14" s="27">
        <f>VLOOKUP(A14,[6]進出口值表查詢結果!$A$3:$C$13,2,0)</f>
        <v>70102</v>
      </c>
      <c r="D14" s="23">
        <f t="shared" si="1"/>
        <v>5392.4615384615381</v>
      </c>
      <c r="E14" s="28">
        <f>VLOOKUP(A14,[7]進出口值表查詢結果!$A$3:$C$22,3,0)</f>
        <v>80</v>
      </c>
      <c r="F14" s="24">
        <f t="shared" ref="F14:F39" si="6">E14/$E$66</f>
        <v>4.9763313241395614E-4</v>
      </c>
      <c r="G14" s="28">
        <f>VLOOKUP(A14,[7]進出口值表查詢結果!$A$3:$C$22,2,0)</f>
        <v>432740</v>
      </c>
      <c r="H14" s="24">
        <f t="shared" si="5"/>
        <v>1.9124577481806595E-2</v>
      </c>
      <c r="I14" s="25">
        <f t="shared" si="2"/>
        <v>5409.25</v>
      </c>
    </row>
    <row r="15" spans="1:9">
      <c r="A15" s="426" t="s">
        <v>9</v>
      </c>
      <c r="B15" s="27">
        <f>VLOOKUP(A15,[6]進出口值表查詢結果!$A$3:$C$13,3,0)</f>
        <v>1</v>
      </c>
      <c r="C15" s="27">
        <f>VLOOKUP(A15,[6]進出口值表查詢結果!$A$3:$C$13,2,0)</f>
        <v>1874</v>
      </c>
      <c r="D15" s="23">
        <f t="shared" si="1"/>
        <v>1874</v>
      </c>
      <c r="E15" s="28">
        <f>VLOOKUP(A15,[7]進出口值表查詢結果!$A$3:$C$22,3,0)</f>
        <v>14</v>
      </c>
      <c r="F15" s="24">
        <f t="shared" si="6"/>
        <v>8.7085798172442322E-5</v>
      </c>
      <c r="G15" s="28">
        <f>VLOOKUP(A15,[7]進出口值表查詢結果!$A$3:$C$22,2,0)</f>
        <v>42834</v>
      </c>
      <c r="H15" s="24">
        <f t="shared" si="5"/>
        <v>1.8930123211528945E-3</v>
      </c>
      <c r="I15" s="25">
        <f t="shared" si="2"/>
        <v>3059.5714285714284</v>
      </c>
    </row>
    <row r="16" spans="1:9">
      <c r="A16" s="425" t="s">
        <v>200</v>
      </c>
      <c r="B16" s="27">
        <v>0</v>
      </c>
      <c r="C16" s="27">
        <v>0</v>
      </c>
      <c r="D16" s="23">
        <f t="shared" si="1"/>
        <v>0</v>
      </c>
      <c r="E16" s="28">
        <f>VLOOKUP(A16,[7]進出口值表查詢結果!$A$3:$C$22,3,0)</f>
        <v>11</v>
      </c>
      <c r="F16" s="24">
        <f t="shared" si="6"/>
        <v>6.8424555706918965E-5</v>
      </c>
      <c r="G16" s="28">
        <f>VLOOKUP(A16,[7]進出口值表查詢結果!$A$3:$C$22,2,0)</f>
        <v>25566</v>
      </c>
      <c r="H16" s="24">
        <f t="shared" si="5"/>
        <v>1.1298676986178013E-3</v>
      </c>
      <c r="I16" s="25">
        <f t="shared" si="2"/>
        <v>2324.181818181818</v>
      </c>
    </row>
    <row r="17" spans="1:9">
      <c r="A17" s="426" t="s">
        <v>10</v>
      </c>
      <c r="B17" s="27">
        <f>VLOOKUP(A17,[6]進出口值表查詢結果!$A$3:$C$13,3,0)</f>
        <v>9</v>
      </c>
      <c r="C17" s="27">
        <f>VLOOKUP(A17,[6]進出口值表查詢結果!$A$3:$C$13,2,0)</f>
        <v>47329</v>
      </c>
      <c r="D17" s="23">
        <f t="shared" si="1"/>
        <v>5258.7777777777774</v>
      </c>
      <c r="E17" s="28">
        <f>VLOOKUP(A17,[7]進出口值表查詢結果!$A$3:$C$22,3,0)</f>
        <v>58</v>
      </c>
      <c r="F17" s="24">
        <f t="shared" si="6"/>
        <v>3.6078402100011821E-4</v>
      </c>
      <c r="G17" s="28">
        <f>VLOOKUP(A17,[7]進出口值表查詢結果!$A$3:$C$22,2,0)</f>
        <v>230972</v>
      </c>
      <c r="H17" s="24">
        <f t="shared" si="5"/>
        <v>1.020761175331107E-2</v>
      </c>
      <c r="I17" s="25">
        <f t="shared" si="2"/>
        <v>3982.2758620689656</v>
      </c>
    </row>
    <row r="18" spans="1:9">
      <c r="A18" s="426" t="s">
        <v>11</v>
      </c>
      <c r="B18" s="27">
        <v>0</v>
      </c>
      <c r="C18" s="27">
        <v>0</v>
      </c>
      <c r="D18" s="23">
        <f t="shared" si="1"/>
        <v>0</v>
      </c>
      <c r="E18" s="28">
        <f>VLOOKUP(A18,[7]進出口值表查詢結果!$A$3:$C$22,3,0)</f>
        <v>57</v>
      </c>
      <c r="F18" s="24">
        <f t="shared" si="6"/>
        <v>3.5456360684494372E-4</v>
      </c>
      <c r="G18" s="28">
        <f>VLOOKUP(A18,[7]進出口值表查詢結果!$A$3:$C$22,2,0)</f>
        <v>103833</v>
      </c>
      <c r="H18" s="24">
        <f t="shared" si="5"/>
        <v>4.5888114194861211E-3</v>
      </c>
      <c r="I18" s="25">
        <f t="shared" si="2"/>
        <v>1821.6315789473683</v>
      </c>
    </row>
    <row r="19" spans="1:9">
      <c r="A19" s="425" t="s">
        <v>201</v>
      </c>
      <c r="B19" s="27">
        <v>0</v>
      </c>
      <c r="C19" s="27">
        <v>0</v>
      </c>
      <c r="D19" s="23">
        <f t="shared" si="1"/>
        <v>0</v>
      </c>
      <c r="E19" s="28">
        <v>0</v>
      </c>
      <c r="F19" s="24">
        <f t="shared" si="6"/>
        <v>0</v>
      </c>
      <c r="G19" s="28">
        <v>0</v>
      </c>
      <c r="H19" s="24">
        <f t="shared" si="5"/>
        <v>0</v>
      </c>
      <c r="I19" s="25">
        <f t="shared" si="2"/>
        <v>0</v>
      </c>
    </row>
    <row r="20" spans="1:9">
      <c r="A20" s="426" t="s">
        <v>202</v>
      </c>
      <c r="B20" s="27">
        <v>0</v>
      </c>
      <c r="C20" s="27">
        <v>0</v>
      </c>
      <c r="D20" s="23">
        <f t="shared" si="1"/>
        <v>0</v>
      </c>
      <c r="E20" s="28">
        <v>0</v>
      </c>
      <c r="F20" s="24">
        <f t="shared" si="6"/>
        <v>0</v>
      </c>
      <c r="G20" s="28">
        <v>0</v>
      </c>
      <c r="H20" s="24">
        <f t="shared" si="5"/>
        <v>0</v>
      </c>
      <c r="I20" s="25">
        <f t="shared" si="2"/>
        <v>0</v>
      </c>
    </row>
    <row r="21" spans="1:9">
      <c r="A21" s="425" t="s">
        <v>203</v>
      </c>
      <c r="B21" s="27">
        <v>0</v>
      </c>
      <c r="C21" s="27">
        <v>0</v>
      </c>
      <c r="D21" s="23">
        <f t="shared" si="1"/>
        <v>0</v>
      </c>
      <c r="E21" s="28">
        <v>0</v>
      </c>
      <c r="F21" s="24">
        <f t="shared" si="6"/>
        <v>0</v>
      </c>
      <c r="G21" s="28">
        <v>0</v>
      </c>
      <c r="H21" s="24">
        <f t="shared" si="5"/>
        <v>0</v>
      </c>
      <c r="I21" s="25">
        <f t="shared" si="2"/>
        <v>0</v>
      </c>
    </row>
    <row r="22" spans="1:9">
      <c r="A22" s="426" t="s">
        <v>13</v>
      </c>
      <c r="B22" s="27">
        <v>0</v>
      </c>
      <c r="C22" s="27">
        <v>0</v>
      </c>
      <c r="D22" s="23">
        <f t="shared" si="1"/>
        <v>0</v>
      </c>
      <c r="E22" s="28">
        <v>0</v>
      </c>
      <c r="F22" s="24">
        <f t="shared" si="6"/>
        <v>0</v>
      </c>
      <c r="G22" s="28">
        <v>0</v>
      </c>
      <c r="H22" s="24">
        <f t="shared" si="5"/>
        <v>0</v>
      </c>
      <c r="I22" s="25">
        <f t="shared" si="2"/>
        <v>0</v>
      </c>
    </row>
    <row r="23" spans="1:9">
      <c r="A23" s="426" t="s">
        <v>14</v>
      </c>
      <c r="B23" s="27">
        <v>0</v>
      </c>
      <c r="C23" s="27">
        <v>0</v>
      </c>
      <c r="D23" s="23">
        <f t="shared" si="1"/>
        <v>0</v>
      </c>
      <c r="E23" s="28">
        <v>0</v>
      </c>
      <c r="F23" s="24">
        <f t="shared" si="6"/>
        <v>0</v>
      </c>
      <c r="G23" s="28">
        <v>0</v>
      </c>
      <c r="H23" s="24">
        <f t="shared" si="5"/>
        <v>0</v>
      </c>
      <c r="I23" s="25">
        <f t="shared" si="2"/>
        <v>0</v>
      </c>
    </row>
    <row r="24" spans="1:9">
      <c r="A24" s="426" t="s">
        <v>15</v>
      </c>
      <c r="B24" s="27">
        <f>VLOOKUP(A24,[6]進出口值表查詢結果!$A$3:$C$13,3,0)</f>
        <v>3</v>
      </c>
      <c r="C24" s="27">
        <f>VLOOKUP(A24,[6]進出口值表查詢結果!$A$3:$C$13,2,0)</f>
        <v>8903</v>
      </c>
      <c r="D24" s="23">
        <f t="shared" si="1"/>
        <v>2967.6666666666665</v>
      </c>
      <c r="E24" s="28">
        <f>VLOOKUP(A24,[7]進出口值表查詢結果!$A$3:$C$22,3,0)</f>
        <v>4</v>
      </c>
      <c r="F24" s="24">
        <f t="shared" si="6"/>
        <v>2.4881656620697808E-5</v>
      </c>
      <c r="G24" s="28">
        <f>VLOOKUP(A24,[7]進出口值表查詢結果!$A$3:$C$22,2,0)</f>
        <v>10927</v>
      </c>
      <c r="H24" s="24">
        <f t="shared" si="5"/>
        <v>4.8290950257360226E-4</v>
      </c>
      <c r="I24" s="25">
        <f t="shared" si="2"/>
        <v>2731.75</v>
      </c>
    </row>
    <row r="25" spans="1:9">
      <c r="A25" s="425" t="s">
        <v>204</v>
      </c>
      <c r="B25" s="27">
        <v>0</v>
      </c>
      <c r="C25" s="27">
        <v>0</v>
      </c>
      <c r="D25" s="23">
        <f t="shared" si="1"/>
        <v>0</v>
      </c>
      <c r="E25" s="28">
        <v>0</v>
      </c>
      <c r="F25" s="24">
        <f t="shared" si="6"/>
        <v>0</v>
      </c>
      <c r="G25" s="28">
        <v>0</v>
      </c>
      <c r="H25" s="24">
        <f t="shared" si="5"/>
        <v>0</v>
      </c>
      <c r="I25" s="25">
        <f t="shared" si="2"/>
        <v>0</v>
      </c>
    </row>
    <row r="26" spans="1:9">
      <c r="A26" s="425" t="s">
        <v>205</v>
      </c>
      <c r="B26" s="27">
        <v>0</v>
      </c>
      <c r="C26" s="27">
        <v>0</v>
      </c>
      <c r="D26" s="23">
        <f t="shared" si="1"/>
        <v>0</v>
      </c>
      <c r="E26" s="28">
        <v>0</v>
      </c>
      <c r="F26" s="24">
        <f t="shared" si="6"/>
        <v>0</v>
      </c>
      <c r="G26" s="28">
        <v>0</v>
      </c>
      <c r="H26" s="24">
        <f t="shared" si="5"/>
        <v>0</v>
      </c>
      <c r="I26" s="25">
        <f t="shared" si="2"/>
        <v>0</v>
      </c>
    </row>
    <row r="27" spans="1:9">
      <c r="A27" s="427" t="s">
        <v>206</v>
      </c>
      <c r="B27" s="27">
        <v>0</v>
      </c>
      <c r="C27" s="27">
        <v>0</v>
      </c>
      <c r="D27" s="23">
        <f t="shared" si="1"/>
        <v>0</v>
      </c>
      <c r="E27" s="28">
        <v>0</v>
      </c>
      <c r="F27" s="24">
        <f t="shared" si="6"/>
        <v>0</v>
      </c>
      <c r="G27" s="28">
        <v>0</v>
      </c>
      <c r="H27" s="24">
        <f t="shared" si="5"/>
        <v>0</v>
      </c>
      <c r="I27" s="25">
        <f t="shared" si="2"/>
        <v>0</v>
      </c>
    </row>
    <row r="28" spans="1:9">
      <c r="A28" s="427" t="s">
        <v>207</v>
      </c>
      <c r="B28" s="27">
        <v>0</v>
      </c>
      <c r="C28" s="27">
        <v>0</v>
      </c>
      <c r="D28" s="23">
        <f t="shared" si="1"/>
        <v>0</v>
      </c>
      <c r="E28" s="28">
        <v>0</v>
      </c>
      <c r="F28" s="24">
        <f t="shared" si="6"/>
        <v>0</v>
      </c>
      <c r="G28" s="28">
        <v>0</v>
      </c>
      <c r="H28" s="24">
        <f t="shared" si="5"/>
        <v>0</v>
      </c>
      <c r="I28" s="25">
        <f t="shared" si="2"/>
        <v>0</v>
      </c>
    </row>
    <row r="29" spans="1:9">
      <c r="A29" s="426" t="s">
        <v>208</v>
      </c>
      <c r="B29" s="27">
        <v>0</v>
      </c>
      <c r="C29" s="27">
        <v>0</v>
      </c>
      <c r="D29" s="23">
        <f t="shared" si="1"/>
        <v>0</v>
      </c>
      <c r="E29" s="28">
        <v>0</v>
      </c>
      <c r="F29" s="24">
        <f t="shared" si="6"/>
        <v>0</v>
      </c>
      <c r="G29" s="28">
        <v>0</v>
      </c>
      <c r="H29" s="24">
        <f t="shared" si="5"/>
        <v>0</v>
      </c>
      <c r="I29" s="25">
        <f t="shared" si="2"/>
        <v>0</v>
      </c>
    </row>
    <row r="30" spans="1:9">
      <c r="A30" s="426" t="s">
        <v>209</v>
      </c>
      <c r="B30" s="27">
        <v>0</v>
      </c>
      <c r="C30" s="27">
        <v>0</v>
      </c>
      <c r="D30" s="23">
        <f t="shared" si="1"/>
        <v>0</v>
      </c>
      <c r="E30" s="28">
        <v>0</v>
      </c>
      <c r="F30" s="24">
        <f t="shared" si="6"/>
        <v>0</v>
      </c>
      <c r="G30" s="28">
        <v>0</v>
      </c>
      <c r="H30" s="24">
        <f t="shared" si="5"/>
        <v>0</v>
      </c>
      <c r="I30" s="25">
        <f t="shared" si="2"/>
        <v>0</v>
      </c>
    </row>
    <row r="31" spans="1:9">
      <c r="A31" s="426" t="s">
        <v>16</v>
      </c>
      <c r="B31" s="27">
        <v>0</v>
      </c>
      <c r="C31" s="27">
        <v>0</v>
      </c>
      <c r="D31" s="23">
        <f t="shared" si="1"/>
        <v>0</v>
      </c>
      <c r="E31" s="28">
        <v>0</v>
      </c>
      <c r="F31" s="24">
        <f t="shared" si="6"/>
        <v>0</v>
      </c>
      <c r="G31" s="28">
        <v>0</v>
      </c>
      <c r="H31" s="24">
        <f t="shared" si="5"/>
        <v>0</v>
      </c>
      <c r="I31" s="25">
        <f t="shared" si="2"/>
        <v>0</v>
      </c>
    </row>
    <row r="32" spans="1:9">
      <c r="A32" s="426" t="s">
        <v>17</v>
      </c>
      <c r="B32" s="27">
        <v>0</v>
      </c>
      <c r="C32" s="27">
        <v>0</v>
      </c>
      <c r="D32" s="23">
        <f t="shared" si="1"/>
        <v>0</v>
      </c>
      <c r="E32" s="28">
        <v>0</v>
      </c>
      <c r="F32" s="24">
        <f t="shared" si="6"/>
        <v>0</v>
      </c>
      <c r="G32" s="28">
        <v>0</v>
      </c>
      <c r="H32" s="24">
        <f t="shared" si="5"/>
        <v>0</v>
      </c>
      <c r="I32" s="25">
        <f t="shared" si="2"/>
        <v>0</v>
      </c>
    </row>
    <row r="33" spans="1:9">
      <c r="A33" s="426" t="s">
        <v>210</v>
      </c>
      <c r="B33" s="27">
        <v>0</v>
      </c>
      <c r="C33" s="27">
        <v>0</v>
      </c>
      <c r="D33" s="23">
        <f t="shared" si="1"/>
        <v>0</v>
      </c>
      <c r="E33" s="28">
        <v>0</v>
      </c>
      <c r="F33" s="24">
        <f t="shared" si="6"/>
        <v>0</v>
      </c>
      <c r="G33" s="28">
        <v>0</v>
      </c>
      <c r="H33" s="24">
        <f t="shared" si="5"/>
        <v>0</v>
      </c>
      <c r="I33" s="25">
        <f t="shared" si="2"/>
        <v>0</v>
      </c>
    </row>
    <row r="34" spans="1:9">
      <c r="A34" s="426" t="s">
        <v>211</v>
      </c>
      <c r="B34" s="27">
        <v>0</v>
      </c>
      <c r="C34" s="27">
        <v>0</v>
      </c>
      <c r="D34" s="23">
        <f t="shared" si="1"/>
        <v>0</v>
      </c>
      <c r="E34" s="28">
        <v>0</v>
      </c>
      <c r="F34" s="24">
        <f t="shared" si="6"/>
        <v>0</v>
      </c>
      <c r="G34" s="28">
        <v>0</v>
      </c>
      <c r="H34" s="24">
        <f t="shared" si="5"/>
        <v>0</v>
      </c>
      <c r="I34" s="25">
        <f t="shared" si="2"/>
        <v>0</v>
      </c>
    </row>
    <row r="35" spans="1:9">
      <c r="A35" s="426" t="s">
        <v>212</v>
      </c>
      <c r="B35" s="27">
        <v>0</v>
      </c>
      <c r="C35" s="27">
        <v>0</v>
      </c>
      <c r="D35" s="23">
        <f t="shared" si="1"/>
        <v>0</v>
      </c>
      <c r="E35" s="28">
        <v>0</v>
      </c>
      <c r="F35" s="24">
        <f t="shared" si="6"/>
        <v>0</v>
      </c>
      <c r="G35" s="28">
        <v>0</v>
      </c>
      <c r="H35" s="24">
        <f t="shared" si="5"/>
        <v>0</v>
      </c>
      <c r="I35" s="25">
        <f t="shared" si="2"/>
        <v>0</v>
      </c>
    </row>
    <row r="36" spans="1:9">
      <c r="A36" s="426" t="s">
        <v>213</v>
      </c>
      <c r="B36" s="27">
        <v>0</v>
      </c>
      <c r="C36" s="27">
        <v>0</v>
      </c>
      <c r="D36" s="23">
        <f t="shared" si="1"/>
        <v>0</v>
      </c>
      <c r="E36" s="28">
        <v>0</v>
      </c>
      <c r="F36" s="24">
        <f t="shared" si="6"/>
        <v>0</v>
      </c>
      <c r="G36" s="28">
        <v>0</v>
      </c>
      <c r="H36" s="24">
        <f t="shared" si="5"/>
        <v>0</v>
      </c>
      <c r="I36" s="25">
        <f t="shared" si="2"/>
        <v>0</v>
      </c>
    </row>
    <row r="37" spans="1:9">
      <c r="A37" s="426" t="s">
        <v>214</v>
      </c>
      <c r="B37" s="27">
        <v>0</v>
      </c>
      <c r="C37" s="27">
        <v>0</v>
      </c>
      <c r="D37" s="23">
        <f t="shared" si="1"/>
        <v>0</v>
      </c>
      <c r="E37" s="28">
        <v>0</v>
      </c>
      <c r="F37" s="24">
        <f t="shared" si="6"/>
        <v>0</v>
      </c>
      <c r="G37" s="28">
        <v>0</v>
      </c>
      <c r="H37" s="24">
        <f t="shared" si="5"/>
        <v>0</v>
      </c>
      <c r="I37" s="25">
        <f t="shared" si="2"/>
        <v>0</v>
      </c>
    </row>
    <row r="38" spans="1:9">
      <c r="A38" s="426" t="s">
        <v>215</v>
      </c>
      <c r="B38" s="27">
        <v>0</v>
      </c>
      <c r="C38" s="27">
        <v>0</v>
      </c>
      <c r="D38" s="23">
        <f t="shared" si="1"/>
        <v>0</v>
      </c>
      <c r="E38" s="28">
        <f>VLOOKUP(A38,[7]進出口值表查詢結果!$A$3:$C$22,3,0)</f>
        <v>2</v>
      </c>
      <c r="F38" s="24">
        <f t="shared" si="6"/>
        <v>1.2440828310348904E-5</v>
      </c>
      <c r="G38" s="28">
        <f>VLOOKUP(A38,[7]進出口值表查詢結果!$A$3:$C$22,2,0)</f>
        <v>2015</v>
      </c>
      <c r="H38" s="24">
        <f t="shared" si="5"/>
        <v>8.9051216956695216E-5</v>
      </c>
      <c r="I38" s="25">
        <f t="shared" si="2"/>
        <v>1007.5</v>
      </c>
    </row>
    <row r="39" spans="1:9">
      <c r="A39" s="426" t="s">
        <v>18</v>
      </c>
      <c r="B39" s="27">
        <v>0</v>
      </c>
      <c r="C39" s="27">
        <v>0</v>
      </c>
      <c r="D39" s="23">
        <f t="shared" si="1"/>
        <v>0</v>
      </c>
      <c r="E39" s="28">
        <v>0</v>
      </c>
      <c r="F39" s="24">
        <f t="shared" si="6"/>
        <v>0</v>
      </c>
      <c r="G39" s="28">
        <v>0</v>
      </c>
      <c r="H39" s="24">
        <f t="shared" si="5"/>
        <v>0</v>
      </c>
      <c r="I39" s="25">
        <f t="shared" si="2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1"/>
        <v>0</v>
      </c>
      <c r="E41" s="33">
        <f>SUM(E42:E45)</f>
        <v>1</v>
      </c>
      <c r="F41" s="33">
        <f t="shared" ref="F41:G41" si="7">SUM(F42:F45)</f>
        <v>6.2204141551744519E-6</v>
      </c>
      <c r="G41" s="33">
        <f t="shared" si="7"/>
        <v>155</v>
      </c>
      <c r="H41" s="24">
        <f>G41/$G$66</f>
        <v>6.8500936120534774E-6</v>
      </c>
      <c r="I41" s="25">
        <f t="shared" si="2"/>
        <v>155</v>
      </c>
    </row>
    <row r="42" spans="1:9">
      <c r="A42" s="26" t="s">
        <v>216</v>
      </c>
      <c r="B42" s="27">
        <v>0</v>
      </c>
      <c r="C42" s="27">
        <v>0</v>
      </c>
      <c r="D42" s="23">
        <f t="shared" si="1"/>
        <v>0</v>
      </c>
      <c r="E42" s="28">
        <f>VLOOKUP(A42,[7]進出口值表查詢結果!$A$3:$C$22,3,0)</f>
        <v>1</v>
      </c>
      <c r="F42" s="24">
        <f t="shared" ref="F42:F45" si="8">E42/$E$66</f>
        <v>6.2204141551744519E-6</v>
      </c>
      <c r="G42" s="28">
        <f>VLOOKUP(A42,[7]進出口值表查詢結果!$A$3:$C$22,2,0)</f>
        <v>155</v>
      </c>
      <c r="H42" s="24">
        <f>G42/$G$66</f>
        <v>6.8500936120534774E-6</v>
      </c>
      <c r="I42" s="25">
        <f t="shared" si="2"/>
        <v>155</v>
      </c>
    </row>
    <row r="43" spans="1:9">
      <c r="A43" s="26" t="s">
        <v>217</v>
      </c>
      <c r="B43" s="27">
        <v>0</v>
      </c>
      <c r="C43" s="27">
        <v>0</v>
      </c>
      <c r="D43" s="23">
        <f t="shared" si="1"/>
        <v>0</v>
      </c>
      <c r="E43" s="28">
        <v>0</v>
      </c>
      <c r="F43" s="24">
        <f t="shared" si="8"/>
        <v>0</v>
      </c>
      <c r="G43" s="28">
        <v>0</v>
      </c>
      <c r="H43" s="24">
        <f>G43/$G$66</f>
        <v>0</v>
      </c>
      <c r="I43" s="25">
        <f t="shared" si="2"/>
        <v>0</v>
      </c>
    </row>
    <row r="44" spans="1:9">
      <c r="A44" s="26" t="s">
        <v>218</v>
      </c>
      <c r="B44" s="27">
        <v>0</v>
      </c>
      <c r="C44" s="27">
        <v>0</v>
      </c>
      <c r="D44" s="23">
        <f t="shared" si="1"/>
        <v>0</v>
      </c>
      <c r="E44" s="28">
        <v>0</v>
      </c>
      <c r="F44" s="24">
        <f t="shared" si="8"/>
        <v>0</v>
      </c>
      <c r="G44" s="28">
        <v>0</v>
      </c>
      <c r="H44" s="24">
        <f>G44/$G$66</f>
        <v>0</v>
      </c>
      <c r="I44" s="25">
        <f t="shared" si="2"/>
        <v>0</v>
      </c>
    </row>
    <row r="45" spans="1:9">
      <c r="A45" s="30" t="s">
        <v>20</v>
      </c>
      <c r="B45" s="27">
        <v>0</v>
      </c>
      <c r="C45" s="27">
        <v>0</v>
      </c>
      <c r="D45" s="23">
        <f t="shared" si="1"/>
        <v>0</v>
      </c>
      <c r="E45" s="28">
        <v>0</v>
      </c>
      <c r="F45" s="24">
        <f t="shared" si="8"/>
        <v>0</v>
      </c>
      <c r="G45" s="28">
        <v>0</v>
      </c>
      <c r="H45" s="24">
        <f>G45/$G$66</f>
        <v>0</v>
      </c>
      <c r="I45" s="25">
        <f t="shared" si="2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19197</v>
      </c>
      <c r="C47" s="33">
        <f>SUM(C48:C64)</f>
        <v>2289410</v>
      </c>
      <c r="D47" s="23">
        <f t="shared" si="1"/>
        <v>119.258738344533</v>
      </c>
      <c r="E47" s="33">
        <f>SUM(E48:E64)</f>
        <v>158720</v>
      </c>
      <c r="F47" s="33">
        <f t="shared" ref="F47:G47" si="9">SUM(F48:F64)</f>
        <v>0.98730413470928891</v>
      </c>
      <c r="G47" s="33">
        <f t="shared" si="9"/>
        <v>20935539</v>
      </c>
      <c r="H47" s="24">
        <f t="shared" ref="H47:H66" si="10">G47/$G$66</f>
        <v>0.92522839979868676</v>
      </c>
      <c r="I47" s="25">
        <f t="shared" si="2"/>
        <v>131.90233744959679</v>
      </c>
    </row>
    <row r="48" spans="1:9" ht="16.899999999999999" customHeight="1">
      <c r="A48" s="453" t="s">
        <v>159</v>
      </c>
      <c r="B48" s="27">
        <f>VLOOKUP(A48,[6]進出口值表查詢結果!$A$3:$C$13,3,0)</f>
        <v>105</v>
      </c>
      <c r="C48" s="27">
        <f>VLOOKUP(A48,[6]進出口值表查詢結果!$A$3:$C$13,2,0)</f>
        <v>166104</v>
      </c>
      <c r="D48" s="23">
        <f t="shared" si="1"/>
        <v>1581.9428571428571</v>
      </c>
      <c r="E48" s="28">
        <f>VLOOKUP(A48,[7]進出口值表查詢結果!$A$3:$C$22,3,0)</f>
        <v>437</v>
      </c>
      <c r="F48" s="24">
        <f t="shared" ref="F48:F66" si="11">E48/$E$66</f>
        <v>2.7183209858112354E-3</v>
      </c>
      <c r="G48" s="28">
        <f>VLOOKUP(A48,[7]進出口值表查詢結果!$A$3:$C$22,2,0)</f>
        <v>632575</v>
      </c>
      <c r="H48" s="24">
        <f t="shared" si="10"/>
        <v>2.7956115913836958E-2</v>
      </c>
      <c r="I48" s="25">
        <f t="shared" si="2"/>
        <v>1447.5400457665903</v>
      </c>
    </row>
    <row r="49" spans="1:9">
      <c r="A49" s="26" t="s">
        <v>219</v>
      </c>
      <c r="B49" s="27">
        <f>VLOOKUP(A49,[6]進出口值表查詢結果!$A$3:$C$13,3,0)</f>
        <v>10</v>
      </c>
      <c r="C49" s="27">
        <f>VLOOKUP(A49,[6]進出口值表查詢結果!$A$3:$C$13,2,0)</f>
        <v>1186</v>
      </c>
      <c r="D49" s="23">
        <f t="shared" si="1"/>
        <v>118.6</v>
      </c>
      <c r="E49" s="28">
        <f>VLOOKUP(A49,[7]進出口值表查詢結果!$A$3:$C$22,3,0)</f>
        <v>168</v>
      </c>
      <c r="F49" s="24">
        <f t="shared" si="11"/>
        <v>1.0450295780693078E-3</v>
      </c>
      <c r="G49" s="28">
        <f>VLOOKUP(A49,[7]進出口值表查詢結果!$A$3:$C$22,2,0)</f>
        <v>31008</v>
      </c>
      <c r="H49" s="24">
        <f t="shared" si="10"/>
        <v>1.3703722756293821E-3</v>
      </c>
      <c r="I49" s="25">
        <f t="shared" si="2"/>
        <v>184.57142857142858</v>
      </c>
    </row>
    <row r="50" spans="1:9">
      <c r="A50" s="438" t="s">
        <v>220</v>
      </c>
      <c r="B50" s="27">
        <v>0</v>
      </c>
      <c r="C50" s="27">
        <v>0</v>
      </c>
      <c r="D50" s="23">
        <f t="shared" si="1"/>
        <v>0</v>
      </c>
      <c r="E50" s="28">
        <v>0</v>
      </c>
      <c r="F50" s="24">
        <f t="shared" si="11"/>
        <v>0</v>
      </c>
      <c r="G50" s="28">
        <v>0</v>
      </c>
      <c r="H50" s="24">
        <f t="shared" si="10"/>
        <v>0</v>
      </c>
      <c r="I50" s="25">
        <f t="shared" si="2"/>
        <v>0</v>
      </c>
    </row>
    <row r="51" spans="1:9">
      <c r="A51" s="26" t="s">
        <v>221</v>
      </c>
      <c r="B51" s="27">
        <v>0</v>
      </c>
      <c r="C51" s="27">
        <v>0</v>
      </c>
      <c r="D51" s="23">
        <f t="shared" si="1"/>
        <v>0</v>
      </c>
      <c r="E51" s="28">
        <v>0</v>
      </c>
      <c r="F51" s="24">
        <f t="shared" si="11"/>
        <v>0</v>
      </c>
      <c r="G51" s="28">
        <v>0</v>
      </c>
      <c r="H51" s="24">
        <f t="shared" si="10"/>
        <v>0</v>
      </c>
      <c r="I51" s="25">
        <f t="shared" si="2"/>
        <v>0</v>
      </c>
    </row>
    <row r="52" spans="1:9">
      <c r="A52" s="30" t="s">
        <v>22</v>
      </c>
      <c r="B52" s="27">
        <v>0</v>
      </c>
      <c r="C52" s="27">
        <v>0</v>
      </c>
      <c r="D52" s="23">
        <f t="shared" si="1"/>
        <v>0</v>
      </c>
      <c r="E52" s="28">
        <v>0</v>
      </c>
      <c r="F52" s="24">
        <f t="shared" si="11"/>
        <v>0</v>
      </c>
      <c r="G52" s="28">
        <v>0</v>
      </c>
      <c r="H52" s="24">
        <f t="shared" si="10"/>
        <v>0</v>
      </c>
      <c r="I52" s="25">
        <f t="shared" si="2"/>
        <v>0</v>
      </c>
    </row>
    <row r="53" spans="1:9">
      <c r="A53" s="26" t="s">
        <v>222</v>
      </c>
      <c r="B53" s="27">
        <v>0</v>
      </c>
      <c r="C53" s="27">
        <v>0</v>
      </c>
      <c r="D53" s="23">
        <f t="shared" si="1"/>
        <v>0</v>
      </c>
      <c r="E53" s="28">
        <v>0</v>
      </c>
      <c r="F53" s="24">
        <f t="shared" si="11"/>
        <v>0</v>
      </c>
      <c r="G53" s="28">
        <v>0</v>
      </c>
      <c r="H53" s="24">
        <f t="shared" si="10"/>
        <v>0</v>
      </c>
      <c r="I53" s="25">
        <f t="shared" si="2"/>
        <v>0</v>
      </c>
    </row>
    <row r="54" spans="1:9">
      <c r="A54" s="30" t="s">
        <v>108</v>
      </c>
      <c r="B54" s="27">
        <v>0</v>
      </c>
      <c r="C54" s="27">
        <v>0</v>
      </c>
      <c r="D54" s="23">
        <f t="shared" si="1"/>
        <v>0</v>
      </c>
      <c r="E54" s="28">
        <v>0</v>
      </c>
      <c r="F54" s="24">
        <f t="shared" si="11"/>
        <v>0</v>
      </c>
      <c r="G54" s="28">
        <v>0</v>
      </c>
      <c r="H54" s="24">
        <f t="shared" si="10"/>
        <v>0</v>
      </c>
      <c r="I54" s="25">
        <f t="shared" si="2"/>
        <v>0</v>
      </c>
    </row>
    <row r="55" spans="1:9">
      <c r="A55" s="30" t="s">
        <v>23</v>
      </c>
      <c r="B55" s="27">
        <v>0</v>
      </c>
      <c r="C55" s="27">
        <v>0</v>
      </c>
      <c r="D55" s="23">
        <f t="shared" si="1"/>
        <v>0</v>
      </c>
      <c r="E55" s="28">
        <v>0</v>
      </c>
      <c r="F55" s="24">
        <f t="shared" si="11"/>
        <v>0</v>
      </c>
      <c r="G55" s="28">
        <v>0</v>
      </c>
      <c r="H55" s="24">
        <f t="shared" si="10"/>
        <v>0</v>
      </c>
      <c r="I55" s="25">
        <f t="shared" si="2"/>
        <v>0</v>
      </c>
    </row>
    <row r="56" spans="1:9">
      <c r="A56" s="285" t="s">
        <v>227</v>
      </c>
      <c r="B56" s="27">
        <v>0</v>
      </c>
      <c r="C56" s="27">
        <v>0</v>
      </c>
      <c r="D56" s="23">
        <f t="shared" si="1"/>
        <v>0</v>
      </c>
      <c r="E56" s="28">
        <v>0</v>
      </c>
      <c r="F56" s="24">
        <f t="shared" si="11"/>
        <v>0</v>
      </c>
      <c r="G56" s="28">
        <v>0</v>
      </c>
      <c r="H56" s="24">
        <f t="shared" si="10"/>
        <v>0</v>
      </c>
      <c r="I56" s="25">
        <f t="shared" si="2"/>
        <v>0</v>
      </c>
    </row>
    <row r="57" spans="1:9">
      <c r="A57" s="37" t="s">
        <v>225</v>
      </c>
      <c r="B57" s="27">
        <v>0</v>
      </c>
      <c r="C57" s="27">
        <v>0</v>
      </c>
      <c r="D57" s="23">
        <f t="shared" si="1"/>
        <v>0</v>
      </c>
      <c r="E57" s="28">
        <v>0</v>
      </c>
      <c r="F57" s="24">
        <f t="shared" si="11"/>
        <v>0</v>
      </c>
      <c r="G57" s="28">
        <v>0</v>
      </c>
      <c r="H57" s="24">
        <f t="shared" si="10"/>
        <v>0</v>
      </c>
      <c r="I57" s="25">
        <f t="shared" si="2"/>
        <v>0</v>
      </c>
    </row>
    <row r="58" spans="1:9">
      <c r="A58" s="37" t="s">
        <v>388</v>
      </c>
      <c r="B58" s="27">
        <v>0</v>
      </c>
      <c r="C58" s="27">
        <v>0</v>
      </c>
      <c r="D58" s="23">
        <f t="shared" si="1"/>
        <v>0</v>
      </c>
      <c r="E58" s="28">
        <f>VLOOKUP(A58,[7]進出口值表查詢結果!$A$3:$C$22,3,0)</f>
        <v>762</v>
      </c>
      <c r="F58" s="24">
        <f t="shared" si="11"/>
        <v>4.7399555862429324E-3</v>
      </c>
      <c r="G58" s="28">
        <f>VLOOKUP(A58,[7]進出口值表查詢結果!$A$3:$C$22,2,0)</f>
        <v>845137</v>
      </c>
      <c r="H58" s="24">
        <f t="shared" si="10"/>
        <v>3.7350113322645422E-2</v>
      </c>
      <c r="I58" s="25">
        <f t="shared" si="2"/>
        <v>1109.1036745406825</v>
      </c>
    </row>
    <row r="59" spans="1:9">
      <c r="A59" s="37" t="s">
        <v>109</v>
      </c>
      <c r="B59" s="27">
        <f>VLOOKUP(A59,[6]進出口值表查詢結果!$A$3:$C$13,3,0)</f>
        <v>12</v>
      </c>
      <c r="C59" s="27">
        <f>VLOOKUP(A59,[6]進出口值表查詢結果!$A$3:$C$13,2,0)</f>
        <v>14152</v>
      </c>
      <c r="D59" s="23">
        <f t="shared" si="1"/>
        <v>1179.3333333333333</v>
      </c>
      <c r="E59" s="28">
        <f>VLOOKUP(A59,[7]進出口值表查詢結果!$A$3:$C$22,3,0)</f>
        <v>612</v>
      </c>
      <c r="F59" s="24">
        <f t="shared" si="11"/>
        <v>3.8068934629667643E-3</v>
      </c>
      <c r="G59" s="28">
        <f>VLOOKUP(A59,[7]進出口值表查詢結果!$A$3:$C$22,2,0)</f>
        <v>272458</v>
      </c>
      <c r="H59" s="24">
        <f t="shared" si="10"/>
        <v>1.2041050357115267E-2</v>
      </c>
      <c r="I59" s="25">
        <f t="shared" si="2"/>
        <v>445.19281045751632</v>
      </c>
    </row>
    <row r="60" spans="1:9">
      <c r="A60" s="37" t="s">
        <v>110</v>
      </c>
      <c r="B60" s="27">
        <v>0</v>
      </c>
      <c r="C60" s="27">
        <v>0</v>
      </c>
      <c r="D60" s="23">
        <f t="shared" si="1"/>
        <v>0</v>
      </c>
      <c r="E60" s="28">
        <f>VLOOKUP(A60,[7]進出口值表查詢結果!$A$3:$C$22,3,0)</f>
        <v>1</v>
      </c>
      <c r="F60" s="24">
        <f t="shared" si="11"/>
        <v>6.2204141551744519E-6</v>
      </c>
      <c r="G60" s="28">
        <f>VLOOKUP(A60,[7]進出口值表查詢結果!$A$3:$C$22,2,0)</f>
        <v>866</v>
      </c>
      <c r="H60" s="24">
        <f t="shared" si="10"/>
        <v>3.8272135922827818E-5</v>
      </c>
      <c r="I60" s="25">
        <f t="shared" si="2"/>
        <v>866</v>
      </c>
    </row>
    <row r="61" spans="1:9">
      <c r="A61" s="37" t="s">
        <v>111</v>
      </c>
      <c r="B61" s="27">
        <f>VLOOKUP(A61,[6]進出口值表查詢結果!$A$3:$C$13,3,0)</f>
        <v>19070</v>
      </c>
      <c r="C61" s="27">
        <f>VLOOKUP(A61,[6]進出口值表查詢結果!$A$3:$C$13,2,0)</f>
        <v>2107968</v>
      </c>
      <c r="D61" s="23">
        <f t="shared" si="1"/>
        <v>110.53843733613004</v>
      </c>
      <c r="E61" s="28">
        <f>VLOOKUP(A61,[7]進出口值表查詢結果!$A$3:$C$22,3,0)</f>
        <v>156740</v>
      </c>
      <c r="F61" s="24">
        <f t="shared" si="11"/>
        <v>0.97498771468204348</v>
      </c>
      <c r="G61" s="28">
        <f>VLOOKUP(A61,[7]進出口值表查詢結果!$A$3:$C$22,2,0)</f>
        <v>19153495</v>
      </c>
      <c r="H61" s="24">
        <f t="shared" si="10"/>
        <v>0.8464724757935369</v>
      </c>
      <c r="I61" s="25">
        <f t="shared" si="2"/>
        <v>122.19915146101825</v>
      </c>
    </row>
    <row r="62" spans="1:9">
      <c r="A62" s="37" t="s">
        <v>389</v>
      </c>
      <c r="B62" s="27">
        <v>0</v>
      </c>
      <c r="C62" s="27">
        <v>0</v>
      </c>
      <c r="D62" s="23">
        <f t="shared" si="1"/>
        <v>0</v>
      </c>
      <c r="E62" s="28">
        <v>0</v>
      </c>
      <c r="F62" s="24">
        <f t="shared" si="11"/>
        <v>0</v>
      </c>
      <c r="G62" s="28">
        <v>0</v>
      </c>
      <c r="H62" s="24">
        <f t="shared" si="10"/>
        <v>0</v>
      </c>
      <c r="I62" s="25">
        <f t="shared" si="2"/>
        <v>0</v>
      </c>
    </row>
    <row r="63" spans="1:9">
      <c r="A63" s="37" t="s">
        <v>390</v>
      </c>
      <c r="B63" s="27">
        <v>0</v>
      </c>
      <c r="C63" s="27">
        <v>0</v>
      </c>
      <c r="D63" s="23">
        <f t="shared" si="1"/>
        <v>0</v>
      </c>
      <c r="E63" s="28">
        <v>0</v>
      </c>
      <c r="F63" s="24">
        <f t="shared" si="11"/>
        <v>0</v>
      </c>
      <c r="G63" s="28">
        <v>0</v>
      </c>
      <c r="H63" s="24">
        <f t="shared" si="10"/>
        <v>0</v>
      </c>
      <c r="I63" s="25">
        <f t="shared" si="2"/>
        <v>0</v>
      </c>
    </row>
    <row r="64" spans="1:9">
      <c r="A64" s="37" t="s">
        <v>391</v>
      </c>
      <c r="B64" s="27">
        <v>0</v>
      </c>
      <c r="C64" s="27">
        <v>0</v>
      </c>
      <c r="D64" s="23">
        <f t="shared" si="1"/>
        <v>0</v>
      </c>
      <c r="E64" s="28">
        <v>0</v>
      </c>
      <c r="F64" s="24">
        <f t="shared" si="11"/>
        <v>0</v>
      </c>
      <c r="G64" s="28">
        <v>0</v>
      </c>
      <c r="H64" s="24">
        <f t="shared" si="10"/>
        <v>0</v>
      </c>
      <c r="I64" s="25">
        <f t="shared" si="2"/>
        <v>0</v>
      </c>
    </row>
    <row r="65" spans="1:9">
      <c r="A65" s="30" t="s">
        <v>29</v>
      </c>
      <c r="B65" s="27">
        <f>B66-B47-B41-B12-B7</f>
        <v>2</v>
      </c>
      <c r="C65" s="27">
        <f>C66-C47-C41-C12-C7</f>
        <v>250</v>
      </c>
      <c r="D65" s="23">
        <f t="shared" si="1"/>
        <v>125</v>
      </c>
      <c r="E65" s="27">
        <f>E66-E47-E41-E12-E7</f>
        <v>1766</v>
      </c>
      <c r="F65" s="27">
        <f>F66-F47-F41-F12-F7</f>
        <v>1.0985251398038121E-2</v>
      </c>
      <c r="G65" s="558">
        <f>G66-G7-G12-G41-G47</f>
        <v>712317</v>
      </c>
      <c r="H65" s="24">
        <f t="shared" si="10"/>
        <v>3.148024600940063E-2</v>
      </c>
      <c r="I65" s="25">
        <f t="shared" si="2"/>
        <v>403.35050962627406</v>
      </c>
    </row>
    <row r="66" spans="1:9">
      <c r="A66" s="32" t="s">
        <v>400</v>
      </c>
      <c r="B66" s="27">
        <f>VLOOKUP(A66,[6]進出口值表查詢結果!$A$3:$C$13,3,0)</f>
        <v>19232</v>
      </c>
      <c r="C66" s="27">
        <f>VLOOKUP(A66,[6]進出口值表查詢結果!$A$3:$C$13,2,0)</f>
        <v>2438955</v>
      </c>
      <c r="D66" s="23">
        <f t="shared" si="1"/>
        <v>126.81754367720465</v>
      </c>
      <c r="E66" s="28">
        <f>VLOOKUP(A66,[7]進出口值表查詢結果!$A$3:$C$22,3,0)</f>
        <v>160761</v>
      </c>
      <c r="F66" s="24">
        <f t="shared" si="11"/>
        <v>1</v>
      </c>
      <c r="G66" s="28">
        <f>VLOOKUP(A66,[7]進出口值表查詢結果!$A$3:$C$22,2,0)</f>
        <v>22627428</v>
      </c>
      <c r="H66" s="515">
        <f t="shared" si="10"/>
        <v>1</v>
      </c>
      <c r="I66" s="52">
        <f>G66/E66</f>
        <v>140.75197342639072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99" t="s">
        <v>149</v>
      </c>
      <c r="B68" s="100"/>
      <c r="C68" s="100"/>
      <c r="D68" s="170"/>
      <c r="E68" s="100"/>
      <c r="F68" s="171"/>
      <c r="G68" s="100"/>
      <c r="H68" s="172"/>
      <c r="I68" s="173"/>
    </row>
    <row r="69" spans="1:9">
      <c r="A69" s="8" t="s">
        <v>481</v>
      </c>
      <c r="B69" s="8" t="s">
        <v>482</v>
      </c>
      <c r="C69" s="8" t="s">
        <v>483</v>
      </c>
      <c r="D69" s="9" t="s">
        <v>0</v>
      </c>
      <c r="E69" s="10" t="s">
        <v>484</v>
      </c>
      <c r="F69" s="11" t="s">
        <v>1</v>
      </c>
      <c r="G69" s="72" t="s">
        <v>486</v>
      </c>
      <c r="H69" s="45" t="s">
        <v>1</v>
      </c>
      <c r="I69" s="468" t="s">
        <v>112</v>
      </c>
    </row>
    <row r="70" spans="1:9">
      <c r="A70" s="46"/>
      <c r="B70" s="47" t="s">
        <v>2</v>
      </c>
      <c r="C70" s="48" t="s">
        <v>3</v>
      </c>
      <c r="D70" s="517" t="s">
        <v>3</v>
      </c>
      <c r="E70" s="47" t="s">
        <v>2</v>
      </c>
      <c r="F70" s="44"/>
      <c r="G70" s="50" t="s">
        <v>3</v>
      </c>
      <c r="H70" s="51"/>
      <c r="I70" s="43" t="s">
        <v>3</v>
      </c>
    </row>
    <row r="71" spans="1:9">
      <c r="A71" s="32" t="s">
        <v>30</v>
      </c>
      <c r="B71" s="27">
        <v>474</v>
      </c>
      <c r="C71" s="27">
        <v>72789</v>
      </c>
      <c r="D71" s="23">
        <f t="shared" ref="D71" si="12">IF(B71,C71/B71,0)</f>
        <v>153.5632911392405</v>
      </c>
      <c r="E71" s="27">
        <v>3387</v>
      </c>
      <c r="F71" s="27">
        <v>15682</v>
      </c>
      <c r="G71" s="27">
        <v>634217</v>
      </c>
      <c r="H71" s="53">
        <v>1</v>
      </c>
      <c r="I71" s="52">
        <f>G71/E71</f>
        <v>187.25036905816356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471</v>
      </c>
      <c r="B73" s="13"/>
      <c r="C73" s="166"/>
      <c r="D73" s="174"/>
      <c r="E73" s="13"/>
      <c r="F73" s="166"/>
      <c r="G73" s="167"/>
      <c r="H73" s="13"/>
      <c r="I73" s="175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2">
    <mergeCell ref="A1:I1"/>
    <mergeCell ref="A3:I3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zoomScaleNormal="100" workbookViewId="0">
      <selection activeCell="A17" sqref="A17:XFD17"/>
    </sheetView>
  </sheetViews>
  <sheetFormatPr defaultRowHeight="16.5"/>
  <cols>
    <col min="1" max="1" width="17.125" style="5" customWidth="1"/>
    <col min="2" max="2" width="14.75" style="5" customWidth="1"/>
    <col min="3" max="3" width="15.5" style="5" customWidth="1"/>
    <col min="4" max="4" width="13.875" style="5" customWidth="1"/>
    <col min="5" max="5" width="14.125" style="5" customWidth="1"/>
    <col min="6" max="6" width="10.25" style="5" customWidth="1"/>
    <col min="7" max="7" width="1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493</v>
      </c>
      <c r="B1" s="1"/>
      <c r="C1" s="1"/>
      <c r="D1" s="1"/>
      <c r="E1" s="2"/>
      <c r="F1" s="2"/>
      <c r="G1" s="2"/>
      <c r="H1" s="2"/>
      <c r="I1" s="2"/>
    </row>
    <row r="2" spans="1:9" ht="6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3" customFormat="1" ht="17.25">
      <c r="A3" s="209" t="s">
        <v>153</v>
      </c>
      <c r="B3" s="210"/>
      <c r="C3" s="210"/>
      <c r="D3" s="210"/>
      <c r="E3" s="211"/>
      <c r="F3" s="211"/>
      <c r="G3" s="211"/>
      <c r="H3" s="211"/>
      <c r="I3" s="212"/>
    </row>
    <row r="4" spans="1:9" s="213" customFormat="1" ht="17.25">
      <c r="A4" s="214" t="s">
        <v>157</v>
      </c>
      <c r="B4" s="215"/>
      <c r="C4" s="215"/>
      <c r="D4" s="215"/>
      <c r="E4" s="216"/>
      <c r="F4" s="216"/>
      <c r="G4" s="216"/>
      <c r="H4" s="216"/>
      <c r="I4" s="217"/>
    </row>
    <row r="5" spans="1:9" s="221" customFormat="1">
      <c r="A5" s="8" t="s">
        <v>481</v>
      </c>
      <c r="B5" s="8" t="s">
        <v>482</v>
      </c>
      <c r="C5" s="8" t="s">
        <v>483</v>
      </c>
      <c r="D5" s="9" t="s">
        <v>0</v>
      </c>
      <c r="E5" s="10" t="s">
        <v>484</v>
      </c>
      <c r="F5" s="11" t="s">
        <v>1</v>
      </c>
      <c r="G5" s="8" t="s">
        <v>486</v>
      </c>
      <c r="H5" s="220" t="s">
        <v>1</v>
      </c>
      <c r="I5" s="219" t="s">
        <v>0</v>
      </c>
    </row>
    <row r="6" spans="1:9" s="221" customFormat="1">
      <c r="A6" s="222"/>
      <c r="B6" s="223" t="s">
        <v>2</v>
      </c>
      <c r="C6" s="224" t="s">
        <v>3</v>
      </c>
      <c r="D6" s="222" t="s">
        <v>3</v>
      </c>
      <c r="E6" s="220" t="s">
        <v>2</v>
      </c>
      <c r="F6" s="220"/>
      <c r="G6" s="218" t="s">
        <v>3</v>
      </c>
      <c r="H6" s="218"/>
      <c r="I6" s="219" t="s">
        <v>3</v>
      </c>
    </row>
    <row r="7" spans="1:9" s="221" customFormat="1">
      <c r="A7" s="225" t="s">
        <v>4</v>
      </c>
      <c r="B7" s="226"/>
      <c r="C7" s="227"/>
      <c r="D7" s="226"/>
      <c r="E7" s="229"/>
      <c r="F7" s="228"/>
      <c r="G7" s="229"/>
      <c r="H7" s="228"/>
      <c r="I7" s="229"/>
    </row>
    <row r="8" spans="1:9" s="221" customFormat="1">
      <c r="A8" s="230" t="s">
        <v>5</v>
      </c>
      <c r="B8" s="231">
        <f>SUM(B9:B11)</f>
        <v>6834</v>
      </c>
      <c r="C8" s="232">
        <f>SUM(C9:C11)</f>
        <v>15058263</v>
      </c>
      <c r="D8" s="505">
        <f>IF(B8,C8/B8,0)</f>
        <v>2203.4332748024581</v>
      </c>
      <c r="E8" s="508">
        <f>SUM(E9:E11)</f>
        <v>88230</v>
      </c>
      <c r="F8" s="506">
        <f>E8/E64</f>
        <v>0.31403717334510278</v>
      </c>
      <c r="G8" s="508">
        <f>SUM(G9:G11)</f>
        <v>183843723</v>
      </c>
      <c r="H8" s="506">
        <f>G8/G64</f>
        <v>0.35341511854345725</v>
      </c>
      <c r="I8" s="235">
        <f>IF(E8,G8/E8,0)</f>
        <v>2083.6872152329138</v>
      </c>
    </row>
    <row r="9" spans="1:9" s="221" customFormat="1">
      <c r="A9" s="236" t="s">
        <v>160</v>
      </c>
      <c r="B9" s="237">
        <f>VLOOKUP(A9,[8]進出口值表查詢結果!$A$3:$C$34,3,0)</f>
        <v>6297</v>
      </c>
      <c r="C9" s="237">
        <f>VLOOKUP(A9,[8]進出口值表查詢結果!$A$3:$C$34,2,0)</f>
        <v>13764667</v>
      </c>
      <c r="D9" s="233">
        <f t="shared" ref="D9:D63" si="0">IF(B9,C9/B9,0)</f>
        <v>2185.908686676195</v>
      </c>
      <c r="E9" s="238">
        <f>VLOOKUP(A9,[9]進出口值表查詢結果!$A$3:$C$57,3,0)</f>
        <v>78294</v>
      </c>
      <c r="F9" s="234">
        <f>E9/E64</f>
        <v>0.27867195341586165</v>
      </c>
      <c r="G9" s="507">
        <f>VLOOKUP(A9,[9]進出口值表查詢結果!$A$3:$C$57,2,0)</f>
        <v>164054749</v>
      </c>
      <c r="H9" s="234">
        <f>G9/G64</f>
        <v>0.31537344663898109</v>
      </c>
      <c r="I9" s="235">
        <f t="shared" ref="I9:I63" si="1">IF(E9,G9/E9,0)</f>
        <v>2095.3680869543005</v>
      </c>
    </row>
    <row r="10" spans="1:9" s="221" customFormat="1">
      <c r="A10" s="37" t="s">
        <v>6</v>
      </c>
      <c r="B10" s="237">
        <f>VLOOKUP(A10,[8]進出口值表查詢結果!$A$3:$C$34,3,0)</f>
        <v>510</v>
      </c>
      <c r="C10" s="237">
        <f>VLOOKUP(A10,[8]進出口值表查詢結果!$A$3:$C$34,2,0)</f>
        <v>1243956</v>
      </c>
      <c r="D10" s="233">
        <f t="shared" si="0"/>
        <v>2439.1294117647058</v>
      </c>
      <c r="E10" s="238">
        <f>VLOOKUP(A10,[9]進出口值表查詢結果!$A$3:$C$57,3,0)</f>
        <v>9579</v>
      </c>
      <c r="F10" s="234">
        <f>E10/E64</f>
        <v>3.4094549285648187E-2</v>
      </c>
      <c r="G10" s="507">
        <f>VLOOKUP(A10,[9]進出口值表查詢結果!$A$3:$C$57,2,0)</f>
        <v>19140915</v>
      </c>
      <c r="H10" s="234">
        <f>G10/G64</f>
        <v>3.6795864625496291E-2</v>
      </c>
      <c r="I10" s="235">
        <f t="shared" si="1"/>
        <v>1998.2164108988411</v>
      </c>
    </row>
    <row r="11" spans="1:9" s="221" customFormat="1">
      <c r="A11" s="37" t="s">
        <v>7</v>
      </c>
      <c r="B11" s="237">
        <f>VLOOKUP(A11,[8]進出口值表查詢結果!$A$3:$C$34,3,0)</f>
        <v>27</v>
      </c>
      <c r="C11" s="237">
        <f>VLOOKUP(A11,[8]進出口值表查詢結果!$A$3:$C$34,2,0)</f>
        <v>49640</v>
      </c>
      <c r="D11" s="233">
        <f t="shared" si="0"/>
        <v>1838.5185185185185</v>
      </c>
      <c r="E11" s="238">
        <f>VLOOKUP(A11,[9]進出口值表查詢結果!$A$3:$C$57,3,0)</f>
        <v>357</v>
      </c>
      <c r="F11" s="234">
        <f>E11/E64</f>
        <v>1.2706706435929014E-3</v>
      </c>
      <c r="G11" s="507">
        <f>VLOOKUP(A11,[9]進出口值表查詢結果!$A$3:$C$57,2,0)</f>
        <v>648059</v>
      </c>
      <c r="H11" s="234">
        <f>G11/G64</f>
        <v>1.2458072789798451E-3</v>
      </c>
      <c r="I11" s="235">
        <f t="shared" si="1"/>
        <v>1815.2913165266107</v>
      </c>
    </row>
    <row r="12" spans="1:9" s="221" customFormat="1">
      <c r="A12" s="37"/>
      <c r="B12" s="34"/>
      <c r="C12" s="34"/>
      <c r="D12" s="233"/>
      <c r="E12" s="239"/>
      <c r="F12" s="240"/>
      <c r="G12" s="239"/>
      <c r="H12" s="240"/>
      <c r="I12" s="235"/>
    </row>
    <row r="13" spans="1:9" s="221" customFormat="1">
      <c r="A13" s="241" t="s">
        <v>8</v>
      </c>
      <c r="B13" s="242">
        <f>SUM(B14:B40)</f>
        <v>9666</v>
      </c>
      <c r="C13" s="242">
        <f>SUM(C14:C40)</f>
        <v>17267014</v>
      </c>
      <c r="D13" s="233">
        <f t="shared" si="0"/>
        <v>1786.3660252431202</v>
      </c>
      <c r="E13" s="242">
        <f>SUM(E14:E40)</f>
        <v>147225</v>
      </c>
      <c r="F13" s="234">
        <f>E13/E64</f>
        <v>0.5240181666749717</v>
      </c>
      <c r="G13" s="242">
        <f>SUM(G14:G40)</f>
        <v>246758976</v>
      </c>
      <c r="H13" s="234">
        <f>G13/G64</f>
        <v>0.47436132891359101</v>
      </c>
      <c r="I13" s="235">
        <f t="shared" si="1"/>
        <v>1676.0670809984717</v>
      </c>
    </row>
    <row r="14" spans="1:9" s="221" customFormat="1">
      <c r="A14" s="236" t="s">
        <v>245</v>
      </c>
      <c r="B14" s="237">
        <f>VLOOKUP(A14,[8]進出口值表查詢結果!$A$3:$C$34,3,0)</f>
        <v>5985</v>
      </c>
      <c r="C14" s="237">
        <f>VLOOKUP(A14,[8]進出口值表查詢結果!$A$3:$C$34,2,0)</f>
        <v>11057674</v>
      </c>
      <c r="D14" s="233">
        <f t="shared" si="0"/>
        <v>1847.5645781119465</v>
      </c>
      <c r="E14" s="238">
        <f>VLOOKUP(A14,[9]進出口值表查詢結果!$A$3:$C$57,3,0)</f>
        <v>85618</v>
      </c>
      <c r="F14" s="234">
        <f>E14/E64</f>
        <v>0.30474027776789081</v>
      </c>
      <c r="G14" s="507">
        <f>VLOOKUP(A14,[9]進出口值表查詢結果!$A$3:$C$57,2,0)</f>
        <v>149823419</v>
      </c>
      <c r="H14" s="234">
        <f>G14/G64</f>
        <v>0.28801560652941666</v>
      </c>
      <c r="I14" s="235">
        <f t="shared" si="1"/>
        <v>1749.9056156415706</v>
      </c>
    </row>
    <row r="15" spans="1:9" s="221" customFormat="1">
      <c r="A15" s="236" t="s">
        <v>246</v>
      </c>
      <c r="B15" s="237">
        <f>VLOOKUP(A15,[8]進出口值表查詢結果!$A$3:$C$34,3,0)</f>
        <v>1965</v>
      </c>
      <c r="C15" s="237">
        <f>VLOOKUP(A15,[8]進出口值表查詢結果!$A$3:$C$34,2,0)</f>
        <v>2638988</v>
      </c>
      <c r="D15" s="233">
        <f t="shared" si="0"/>
        <v>1342.9964376590331</v>
      </c>
      <c r="E15" s="238">
        <f>VLOOKUP(A15,[9]進出口值表查詢結果!$A$3:$C$57,3,0)</f>
        <v>27676</v>
      </c>
      <c r="F15" s="234">
        <f>E15/E64</f>
        <v>9.8507228941392536E-2</v>
      </c>
      <c r="G15" s="507">
        <f>VLOOKUP(A15,[9]進出口值表查詢結果!$A$3:$C$57,2,0)</f>
        <v>36359105</v>
      </c>
      <c r="H15" s="234">
        <f>G15/G64</f>
        <v>6.9895546032371247E-2</v>
      </c>
      <c r="I15" s="235">
        <f t="shared" si="1"/>
        <v>1313.7413282266223</v>
      </c>
    </row>
    <row r="16" spans="1:9" s="221" customFormat="1">
      <c r="A16" s="37" t="s">
        <v>9</v>
      </c>
      <c r="B16" s="237">
        <f>VLOOKUP(A16,[8]進出口值表查詢結果!$A$3:$C$34,3,0)</f>
        <v>588</v>
      </c>
      <c r="C16" s="237">
        <f>VLOOKUP(A16,[8]進出口值表查詢結果!$A$3:$C$34,2,0)</f>
        <v>1267697</v>
      </c>
      <c r="D16" s="233">
        <f t="shared" si="0"/>
        <v>2155.9472789115648</v>
      </c>
      <c r="E16" s="238">
        <f>VLOOKUP(A16,[9]進出口值表查詢結果!$A$3:$C$57,3,0)</f>
        <v>5996</v>
      </c>
      <c r="F16" s="234">
        <f>E16/E64</f>
        <v>2.1341571929924471E-2</v>
      </c>
      <c r="G16" s="507">
        <f>VLOOKUP(A16,[9]進出口值表查詢結果!$A$3:$C$57,2,0)</f>
        <v>12414968</v>
      </c>
      <c r="H16" s="234">
        <f>G16/G64</f>
        <v>2.3866125619275171E-2</v>
      </c>
      <c r="I16" s="235">
        <f t="shared" si="1"/>
        <v>2070.5416944629751</v>
      </c>
    </row>
    <row r="17" spans="1:9" s="221" customFormat="1">
      <c r="A17" s="236" t="s">
        <v>247</v>
      </c>
      <c r="B17" s="237">
        <f>VLOOKUP(A17,[8]進出口值表查詢結果!$A$3:$C$34,3,0)</f>
        <v>275</v>
      </c>
      <c r="C17" s="237">
        <f>VLOOKUP(A17,[8]進出口值表查詢結果!$A$3:$C$34,2,0)</f>
        <v>493752</v>
      </c>
      <c r="D17" s="233">
        <f t="shared" si="0"/>
        <v>1795.4618181818182</v>
      </c>
      <c r="E17" s="238">
        <f>VLOOKUP(A17,[9]進出口值表查詢結果!$A$3:$C$57,3,0)</f>
        <v>5460</v>
      </c>
      <c r="F17" s="234">
        <f>E17/E64</f>
        <v>1.9433786313773786E-2</v>
      </c>
      <c r="G17" s="507">
        <f>VLOOKUP(A17,[9]進出口值表查詢結果!$A$3:$C$57,2,0)</f>
        <v>8020814</v>
      </c>
      <c r="H17" s="234">
        <f>G17/G64</f>
        <v>1.5418948682980171E-2</v>
      </c>
      <c r="I17" s="235">
        <f t="shared" si="1"/>
        <v>1469.0135531135531</v>
      </c>
    </row>
    <row r="18" spans="1:9" s="221" customFormat="1">
      <c r="A18" s="37" t="s">
        <v>10</v>
      </c>
      <c r="B18" s="237">
        <f>VLOOKUP(A18,[8]進出口值表查詢結果!$A$3:$C$34,3,0)</f>
        <v>437</v>
      </c>
      <c r="C18" s="237">
        <f>VLOOKUP(A18,[8]進出口值表查詢結果!$A$3:$C$34,2,0)</f>
        <v>1033739</v>
      </c>
      <c r="D18" s="233">
        <f t="shared" si="0"/>
        <v>2365.5354691075513</v>
      </c>
      <c r="E18" s="238">
        <f>VLOOKUP(A18,[9]進出口值表查詢結果!$A$3:$C$57,3,0)</f>
        <v>6345</v>
      </c>
      <c r="F18" s="234">
        <f>E18/E64</f>
        <v>2.2583768161336018E-2</v>
      </c>
      <c r="G18" s="507">
        <f>VLOOKUP(A18,[9]進出口值表查詢結果!$A$3:$C$57,2,0)</f>
        <v>14060450</v>
      </c>
      <c r="H18" s="234">
        <f>G18/G64</f>
        <v>2.7029346025180055E-2</v>
      </c>
      <c r="I18" s="235">
        <f t="shared" si="1"/>
        <v>2215.9889676910952</v>
      </c>
    </row>
    <row r="19" spans="1:9" s="221" customFormat="1">
      <c r="A19" s="37" t="s">
        <v>11</v>
      </c>
      <c r="B19" s="237">
        <v>0</v>
      </c>
      <c r="C19" s="237">
        <v>0</v>
      </c>
      <c r="D19" s="233">
        <f t="shared" si="0"/>
        <v>0</v>
      </c>
      <c r="E19" s="238">
        <f>VLOOKUP(A19,[9]進出口值表查詢結果!$A$3:$C$57,3,0)</f>
        <v>1173</v>
      </c>
      <c r="F19" s="234">
        <f>E19/E64</f>
        <v>4.1750606860909614E-3</v>
      </c>
      <c r="G19" s="507">
        <f>VLOOKUP(A19,[9]進出口值表查詢結果!$A$3:$C$57,2,0)</f>
        <v>3023253</v>
      </c>
      <c r="H19" s="234">
        <f>G19/G64</f>
        <v>5.8118020019745937E-3</v>
      </c>
      <c r="I19" s="235">
        <f t="shared" si="1"/>
        <v>2577.3682864450129</v>
      </c>
    </row>
    <row r="20" spans="1:9" s="221" customFormat="1">
      <c r="A20" s="236" t="s">
        <v>249</v>
      </c>
      <c r="B20" s="237">
        <f>VLOOKUP(A20,[8]進出口值表查詢結果!$A$3:$C$34,3,0)</f>
        <v>274</v>
      </c>
      <c r="C20" s="237">
        <f>VLOOKUP(A20,[8]進出口值表查詢結果!$A$3:$C$34,2,0)</f>
        <v>485911</v>
      </c>
      <c r="D20" s="233">
        <f t="shared" si="0"/>
        <v>1773.3978102189781</v>
      </c>
      <c r="E20" s="238">
        <f>VLOOKUP(A20,[9]進出口值表查詢結果!$A$3:$C$57,3,0)</f>
        <v>2176</v>
      </c>
      <c r="F20" s="234">
        <f>E20/E64</f>
        <v>7.7450401133281601E-3</v>
      </c>
      <c r="G20" s="507">
        <f>VLOOKUP(A20,[9]進出口值表查詢結果!$A$3:$C$57,2,0)</f>
        <v>3491568</v>
      </c>
      <c r="H20" s="234">
        <f>G20/G64</f>
        <v>6.7120753348894153E-3</v>
      </c>
      <c r="I20" s="235">
        <f t="shared" si="1"/>
        <v>1604.5808823529412</v>
      </c>
    </row>
    <row r="21" spans="1:9" s="221" customFormat="1">
      <c r="A21" s="37" t="s">
        <v>12</v>
      </c>
      <c r="B21" s="237">
        <v>0</v>
      </c>
      <c r="C21" s="237">
        <v>0</v>
      </c>
      <c r="D21" s="233">
        <f t="shared" si="0"/>
        <v>0</v>
      </c>
      <c r="E21" s="238">
        <f>VLOOKUP(A21,[9]進出口值表查詢結果!$A$3:$C$57,3,0)</f>
        <v>12</v>
      </c>
      <c r="F21" s="234">
        <f>E21/E64</f>
        <v>4.2711618272030298E-5</v>
      </c>
      <c r="G21" s="507">
        <f>VLOOKUP(A21,[9]進出口值表查詢結果!$A$3:$C$57,2,0)</f>
        <v>9282</v>
      </c>
      <c r="H21" s="234">
        <f>G21/G64</f>
        <v>1.7843411114560436E-5</v>
      </c>
      <c r="I21" s="235">
        <f t="shared" si="1"/>
        <v>773.5</v>
      </c>
    </row>
    <row r="22" spans="1:9" s="221" customFormat="1">
      <c r="A22" s="236" t="s">
        <v>250</v>
      </c>
      <c r="B22" s="237">
        <v>0</v>
      </c>
      <c r="C22" s="237">
        <v>0</v>
      </c>
      <c r="D22" s="233">
        <f t="shared" si="0"/>
        <v>0</v>
      </c>
      <c r="E22" s="238">
        <v>0</v>
      </c>
      <c r="F22" s="234">
        <f>E22/E64</f>
        <v>0</v>
      </c>
      <c r="G22" s="507">
        <v>0</v>
      </c>
      <c r="H22" s="234">
        <f>G22/G64</f>
        <v>0</v>
      </c>
      <c r="I22" s="235">
        <f t="shared" si="1"/>
        <v>0</v>
      </c>
    </row>
    <row r="23" spans="1:9" s="221" customFormat="1">
      <c r="A23" s="37" t="s">
        <v>13</v>
      </c>
      <c r="B23" s="237">
        <v>0</v>
      </c>
      <c r="C23" s="237">
        <v>0</v>
      </c>
      <c r="D23" s="233">
        <f t="shared" si="0"/>
        <v>0</v>
      </c>
      <c r="E23" s="238">
        <f>VLOOKUP(A23,[9]進出口值表查詢結果!$A$3:$C$57,3,0)</f>
        <v>52</v>
      </c>
      <c r="F23" s="234">
        <f>E23/E64</f>
        <v>1.8508367917879795E-4</v>
      </c>
      <c r="G23" s="507">
        <f>VLOOKUP(A23,[9]進出口值表查詢結果!$A$3:$C$57,2,0)</f>
        <v>62350</v>
      </c>
      <c r="H23" s="234">
        <f>G23/G64</f>
        <v>1.1985958661849204E-4</v>
      </c>
      <c r="I23" s="235">
        <f t="shared" si="1"/>
        <v>1199.0384615384614</v>
      </c>
    </row>
    <row r="24" spans="1:9" s="221" customFormat="1">
      <c r="A24" s="37" t="s">
        <v>14</v>
      </c>
      <c r="B24" s="237">
        <v>0</v>
      </c>
      <c r="C24" s="237">
        <v>0</v>
      </c>
      <c r="D24" s="233">
        <f t="shared" si="0"/>
        <v>0</v>
      </c>
      <c r="E24" s="238">
        <v>0</v>
      </c>
      <c r="F24" s="234">
        <f>E24/E64</f>
        <v>0</v>
      </c>
      <c r="G24" s="507">
        <v>0</v>
      </c>
      <c r="H24" s="234">
        <f>G24/G64</f>
        <v>0</v>
      </c>
      <c r="I24" s="235">
        <f t="shared" si="1"/>
        <v>0</v>
      </c>
    </row>
    <row r="25" spans="1:9" s="221" customFormat="1">
      <c r="A25" s="37" t="s">
        <v>15</v>
      </c>
      <c r="B25" s="237">
        <v>0</v>
      </c>
      <c r="C25" s="237">
        <v>0</v>
      </c>
      <c r="D25" s="233">
        <f t="shared" si="0"/>
        <v>0</v>
      </c>
      <c r="E25" s="238">
        <f>VLOOKUP(A25,[9]進出口值表查詢結果!$A$3:$C$57,3,0)</f>
        <v>223</v>
      </c>
      <c r="F25" s="234">
        <f>E25/E64</f>
        <v>7.937242395552297E-4</v>
      </c>
      <c r="G25" s="507">
        <f>VLOOKUP(A25,[9]進出口值表查詢結果!$A$3:$C$57,2,0)</f>
        <v>518810</v>
      </c>
      <c r="H25" s="234">
        <f>G25/G64</f>
        <v>9.9734325795573157E-4</v>
      </c>
      <c r="I25" s="235">
        <f t="shared" si="1"/>
        <v>2326.5022421524664</v>
      </c>
    </row>
    <row r="26" spans="1:9" s="221" customFormat="1">
      <c r="A26" s="236" t="s">
        <v>253</v>
      </c>
      <c r="B26" s="237">
        <v>0</v>
      </c>
      <c r="C26" s="237">
        <v>0</v>
      </c>
      <c r="D26" s="233">
        <f t="shared" si="0"/>
        <v>0</v>
      </c>
      <c r="E26" s="238">
        <f>VLOOKUP(A26,[9]進出口值表查詢結果!$A$3:$C$57,3,0)</f>
        <v>2580</v>
      </c>
      <c r="F26" s="234">
        <f>E26/E64</f>
        <v>9.1829979284865134E-3</v>
      </c>
      <c r="G26" s="507">
        <f>VLOOKUP(A26,[9]進出口值表查詢結果!$A$3:$C$57,2,0)</f>
        <v>1038824</v>
      </c>
      <c r="H26" s="234">
        <f>G26/G64</f>
        <v>1.9970010458599582E-3</v>
      </c>
      <c r="I26" s="235">
        <f t="shared" si="1"/>
        <v>402.64496124031007</v>
      </c>
    </row>
    <row r="27" spans="1:9" s="221" customFormat="1">
      <c r="A27" s="236" t="s">
        <v>255</v>
      </c>
      <c r="B27" s="237">
        <v>0</v>
      </c>
      <c r="C27" s="237">
        <v>0</v>
      </c>
      <c r="D27" s="233">
        <f t="shared" si="0"/>
        <v>0</v>
      </c>
      <c r="E27" s="238">
        <f>VLOOKUP(A27,[9]進出口值表查詢結果!$A$3:$C$57,3,0)</f>
        <v>405</v>
      </c>
      <c r="F27" s="234">
        <f>E27/E64</f>
        <v>1.4415171166810225E-3</v>
      </c>
      <c r="G27" s="507">
        <f>VLOOKUP(A27,[9]進出口值表查詢結果!$A$3:$C$57,2,0)</f>
        <v>601583</v>
      </c>
      <c r="H27" s="234">
        <f>G27/G64</f>
        <v>1.1564633471806303E-3</v>
      </c>
      <c r="I27" s="235">
        <f t="shared" si="1"/>
        <v>1485.3901234567902</v>
      </c>
    </row>
    <row r="28" spans="1:9" s="221" customFormat="1">
      <c r="A28" s="244" t="s">
        <v>256</v>
      </c>
      <c r="B28" s="237">
        <f>VLOOKUP(A28,[8]進出口值表查詢結果!$A$3:$C$34,3,0)</f>
        <v>142</v>
      </c>
      <c r="C28" s="237">
        <f>VLOOKUP(A28,[8]進出口值表查詢結果!$A$3:$C$34,2,0)</f>
        <v>289253</v>
      </c>
      <c r="D28" s="233">
        <f t="shared" si="0"/>
        <v>2036.9929577464789</v>
      </c>
      <c r="E28" s="238">
        <f>VLOOKUP(A28,[9]進出口值表查詢結果!$A$3:$C$57,3,0)</f>
        <v>710</v>
      </c>
      <c r="F28" s="234">
        <f>E28/E64</f>
        <v>2.5271040810951259E-3</v>
      </c>
      <c r="G28" s="507">
        <f>VLOOKUP(A28,[9]進出口值表查詢結果!$A$3:$C$57,2,0)</f>
        <v>1424561</v>
      </c>
      <c r="H28" s="234">
        <f>G28/G64</f>
        <v>2.7385291511279174E-3</v>
      </c>
      <c r="I28" s="235">
        <f t="shared" si="1"/>
        <v>2006.4239436619719</v>
      </c>
    </row>
    <row r="29" spans="1:9" s="221" customFormat="1">
      <c r="A29" s="244" t="s">
        <v>257</v>
      </c>
      <c r="B29" s="237">
        <v>0</v>
      </c>
      <c r="C29" s="237">
        <v>0</v>
      </c>
      <c r="D29" s="233">
        <f t="shared" si="0"/>
        <v>0</v>
      </c>
      <c r="E29" s="238">
        <f>VLOOKUP(A29,[9]進出口值表查詢結果!$A$3:$C$57,3,0)</f>
        <v>1444</v>
      </c>
      <c r="F29" s="234">
        <f>E29/E64</f>
        <v>5.1396313987343125E-3</v>
      </c>
      <c r="G29" s="507">
        <f>VLOOKUP(A29,[9]進出口值表查詢結果!$A$3:$C$57,2,0)</f>
        <v>1391907</v>
      </c>
      <c r="H29" s="234">
        <f>G29/G64</f>
        <v>2.675756176926791E-3</v>
      </c>
      <c r="I29" s="235">
        <f t="shared" si="1"/>
        <v>963.92451523545708</v>
      </c>
    </row>
    <row r="30" spans="1:9" s="221" customFormat="1">
      <c r="A30" s="244" t="s">
        <v>258</v>
      </c>
      <c r="B30" s="237">
        <v>0</v>
      </c>
      <c r="C30" s="237">
        <v>0</v>
      </c>
      <c r="D30" s="233">
        <f t="shared" si="0"/>
        <v>0</v>
      </c>
      <c r="E30" s="238">
        <f>VLOOKUP(A30,[9]進出口值表查詢結果!$A$3:$C$57,3,0)</f>
        <v>195</v>
      </c>
      <c r="F30" s="234">
        <f>E30/E64</f>
        <v>6.9406379692049235E-4</v>
      </c>
      <c r="G30" s="507">
        <f>VLOOKUP(A30,[9]進出口值表查詢結果!$A$3:$C$57,2,0)</f>
        <v>379576</v>
      </c>
      <c r="H30" s="234">
        <f>G30/G64</f>
        <v>7.2968440176905756E-4</v>
      </c>
      <c r="I30" s="235">
        <f t="shared" si="1"/>
        <v>1946.5435897435898</v>
      </c>
    </row>
    <row r="31" spans="1:9" s="221" customFormat="1">
      <c r="A31" s="244" t="s">
        <v>259</v>
      </c>
      <c r="B31" s="237">
        <v>0</v>
      </c>
      <c r="C31" s="237">
        <v>0</v>
      </c>
      <c r="D31" s="233">
        <f t="shared" si="0"/>
        <v>0</v>
      </c>
      <c r="E31" s="238">
        <v>0</v>
      </c>
      <c r="F31" s="234">
        <f>E31/E64</f>
        <v>0</v>
      </c>
      <c r="G31" s="507">
        <v>0</v>
      </c>
      <c r="H31" s="234">
        <f>G31/G64</f>
        <v>0</v>
      </c>
      <c r="I31" s="235">
        <f t="shared" si="1"/>
        <v>0</v>
      </c>
    </row>
    <row r="32" spans="1:9" s="221" customFormat="1">
      <c r="A32" s="30" t="s">
        <v>261</v>
      </c>
      <c r="B32" s="237">
        <v>0</v>
      </c>
      <c r="C32" s="237">
        <v>0</v>
      </c>
      <c r="D32" s="233">
        <f t="shared" si="0"/>
        <v>0</v>
      </c>
      <c r="E32" s="238">
        <v>0</v>
      </c>
      <c r="F32" s="234">
        <f>E32/E64</f>
        <v>0</v>
      </c>
      <c r="G32" s="507">
        <v>0</v>
      </c>
      <c r="H32" s="234">
        <f>G32/G64</f>
        <v>0</v>
      </c>
      <c r="I32" s="235">
        <f t="shared" si="1"/>
        <v>0</v>
      </c>
    </row>
    <row r="33" spans="1:9" s="221" customFormat="1">
      <c r="A33" s="244" t="s">
        <v>263</v>
      </c>
      <c r="B33" s="237">
        <v>0</v>
      </c>
      <c r="C33" s="237">
        <v>0</v>
      </c>
      <c r="D33" s="233">
        <f t="shared" si="0"/>
        <v>0</v>
      </c>
      <c r="E33" s="238">
        <v>0</v>
      </c>
      <c r="F33" s="234">
        <f>E33/E64</f>
        <v>0</v>
      </c>
      <c r="G33" s="507">
        <v>0</v>
      </c>
      <c r="H33" s="234">
        <f>G33/G64</f>
        <v>0</v>
      </c>
      <c r="I33" s="235">
        <f t="shared" si="1"/>
        <v>0</v>
      </c>
    </row>
    <row r="34" spans="1:9" s="221" customFormat="1">
      <c r="A34" s="244" t="s">
        <v>264</v>
      </c>
      <c r="B34" s="237">
        <v>0</v>
      </c>
      <c r="C34" s="237">
        <v>0</v>
      </c>
      <c r="D34" s="233">
        <f t="shared" si="0"/>
        <v>0</v>
      </c>
      <c r="E34" s="238">
        <v>0</v>
      </c>
      <c r="F34" s="234">
        <f>E34/E64</f>
        <v>0</v>
      </c>
      <c r="G34" s="507">
        <v>0</v>
      </c>
      <c r="H34" s="234">
        <f>G34/G64</f>
        <v>0</v>
      </c>
      <c r="I34" s="235">
        <f t="shared" si="1"/>
        <v>0</v>
      </c>
    </row>
    <row r="35" spans="1:9" s="221" customFormat="1">
      <c r="A35" s="245" t="s">
        <v>382</v>
      </c>
      <c r="B35" s="237">
        <v>0</v>
      </c>
      <c r="C35" s="237">
        <v>0</v>
      </c>
      <c r="D35" s="233">
        <f t="shared" si="0"/>
        <v>0</v>
      </c>
      <c r="E35" s="238">
        <v>0</v>
      </c>
      <c r="F35" s="234">
        <f>E35/E64</f>
        <v>0</v>
      </c>
      <c r="G35" s="507">
        <v>0</v>
      </c>
      <c r="H35" s="234">
        <f>G35/G64</f>
        <v>0</v>
      </c>
      <c r="I35" s="235">
        <f t="shared" si="1"/>
        <v>0</v>
      </c>
    </row>
    <row r="36" spans="1:9" s="221" customFormat="1">
      <c r="A36" s="244" t="s">
        <v>267</v>
      </c>
      <c r="B36" s="237">
        <v>0</v>
      </c>
      <c r="C36" s="237">
        <v>0</v>
      </c>
      <c r="D36" s="233">
        <f t="shared" si="0"/>
        <v>0</v>
      </c>
      <c r="E36" s="238">
        <v>0</v>
      </c>
      <c r="F36" s="234">
        <f>E36/E64</f>
        <v>0</v>
      </c>
      <c r="G36" s="507">
        <v>0</v>
      </c>
      <c r="H36" s="234">
        <f>G36/G64</f>
        <v>0</v>
      </c>
      <c r="I36" s="235">
        <f t="shared" si="1"/>
        <v>0</v>
      </c>
    </row>
    <row r="37" spans="1:9" s="221" customFormat="1">
      <c r="A37" s="244" t="s">
        <v>383</v>
      </c>
      <c r="B37" s="237">
        <v>0</v>
      </c>
      <c r="C37" s="237">
        <v>0</v>
      </c>
      <c r="D37" s="233">
        <f t="shared" si="0"/>
        <v>0</v>
      </c>
      <c r="E37" s="238">
        <v>0</v>
      </c>
      <c r="F37" s="234">
        <f>E37/E64</f>
        <v>0</v>
      </c>
      <c r="G37" s="507">
        <v>0</v>
      </c>
      <c r="H37" s="234">
        <f>G37/G64</f>
        <v>0</v>
      </c>
      <c r="I37" s="235">
        <f t="shared" si="1"/>
        <v>0</v>
      </c>
    </row>
    <row r="38" spans="1:9" s="221" customFormat="1">
      <c r="A38" s="244" t="s">
        <v>269</v>
      </c>
      <c r="B38" s="237">
        <v>0</v>
      </c>
      <c r="C38" s="237">
        <v>0</v>
      </c>
      <c r="D38" s="233">
        <f t="shared" si="0"/>
        <v>0</v>
      </c>
      <c r="E38" s="238">
        <v>0</v>
      </c>
      <c r="F38" s="234">
        <f>E38/E64</f>
        <v>0</v>
      </c>
      <c r="G38" s="507">
        <v>0</v>
      </c>
      <c r="H38" s="234">
        <f>G38/G64</f>
        <v>0</v>
      </c>
      <c r="I38" s="235">
        <f t="shared" si="1"/>
        <v>0</v>
      </c>
    </row>
    <row r="39" spans="1:9" s="221" customFormat="1">
      <c r="A39" s="244" t="s">
        <v>270</v>
      </c>
      <c r="B39" s="237">
        <v>0</v>
      </c>
      <c r="C39" s="237">
        <v>0</v>
      </c>
      <c r="D39" s="233">
        <f t="shared" si="0"/>
        <v>0</v>
      </c>
      <c r="E39" s="238">
        <f>VLOOKUP(A39,[9]進出口值表查詢結果!$A$3:$C$57,3,0)</f>
        <v>7160</v>
      </c>
      <c r="F39" s="234">
        <f>E39/E64</f>
        <v>2.548459890231141E-2</v>
      </c>
      <c r="G39" s="507">
        <f>VLOOKUP(A39,[9]進出口值表查詢結果!$A$3:$C$57,2,0)</f>
        <v>14138506</v>
      </c>
      <c r="H39" s="234">
        <f>G39/G64</f>
        <v>2.7179398308950595E-2</v>
      </c>
      <c r="I39" s="235">
        <f t="shared" si="1"/>
        <v>1974.6516759776537</v>
      </c>
    </row>
    <row r="40" spans="1:9" s="221" customFormat="1">
      <c r="A40" s="30" t="s">
        <v>271</v>
      </c>
      <c r="B40" s="237">
        <v>0</v>
      </c>
      <c r="C40" s="237">
        <v>0</v>
      </c>
      <c r="D40" s="233">
        <f t="shared" si="0"/>
        <v>0</v>
      </c>
      <c r="E40" s="238">
        <v>0</v>
      </c>
      <c r="F40" s="234">
        <f>E40/E64</f>
        <v>0</v>
      </c>
      <c r="G40" s="507">
        <v>0</v>
      </c>
      <c r="H40" s="234">
        <f>G40/G64</f>
        <v>0</v>
      </c>
      <c r="I40" s="235">
        <f t="shared" si="1"/>
        <v>0</v>
      </c>
    </row>
    <row r="41" spans="1:9" s="221" customFormat="1">
      <c r="A41" s="30"/>
      <c r="B41" s="34"/>
      <c r="C41" s="35"/>
      <c r="D41" s="233"/>
      <c r="E41" s="239"/>
      <c r="F41" s="240"/>
      <c r="G41" s="239"/>
      <c r="H41" s="240"/>
      <c r="I41" s="235"/>
    </row>
    <row r="42" spans="1:9" s="221" customFormat="1">
      <c r="A42" s="243" t="s">
        <v>19</v>
      </c>
      <c r="B42" s="242">
        <f>SUM(B43:B46)</f>
        <v>527</v>
      </c>
      <c r="C42" s="242">
        <f>SUM(C43:C46)</f>
        <v>1298939</v>
      </c>
      <c r="D42" s="233">
        <f t="shared" si="0"/>
        <v>2464.7798861480078</v>
      </c>
      <c r="E42" s="242">
        <f>SUM(E43:E46)</f>
        <v>11511</v>
      </c>
      <c r="F42" s="234">
        <f>E42/E64</f>
        <v>4.0971119827445064E-2</v>
      </c>
      <c r="G42" s="242">
        <f>SUM(G43:G46)</f>
        <v>24912386</v>
      </c>
      <c r="H42" s="234">
        <f>G42/G64</f>
        <v>4.7890750403212647E-2</v>
      </c>
      <c r="I42" s="235">
        <f t="shared" si="1"/>
        <v>2164.2243071844323</v>
      </c>
    </row>
    <row r="43" spans="1:9" s="221" customFormat="1">
      <c r="A43" s="236" t="s">
        <v>180</v>
      </c>
      <c r="B43" s="237">
        <f>VLOOKUP(A43,[8]進出口值表查詢結果!$A$3:$C$34,3,0)</f>
        <v>527</v>
      </c>
      <c r="C43" s="237">
        <f>VLOOKUP(A43,[8]進出口值表查詢結果!$A$3:$C$34,2,0)</f>
        <v>1298939</v>
      </c>
      <c r="D43" s="233">
        <f t="shared" si="0"/>
        <v>2464.7798861480078</v>
      </c>
      <c r="E43" s="238">
        <f>VLOOKUP(A43,[9]進出口值表查詢結果!$A$3:$C$57,3,0)</f>
        <v>7427</v>
      </c>
      <c r="F43" s="234">
        <f>E43/E64</f>
        <v>2.6434932408864086E-2</v>
      </c>
      <c r="G43" s="507">
        <f>VLOOKUP(A43,[9]進出口值表查詢結果!$A$3:$C$57,2,0)</f>
        <v>17597740</v>
      </c>
      <c r="H43" s="234">
        <f>G43/G64</f>
        <v>3.3829315827100276E-2</v>
      </c>
      <c r="I43" s="235">
        <f t="shared" si="1"/>
        <v>2369.4277635653698</v>
      </c>
    </row>
    <row r="44" spans="1:9" s="221" customFormat="1">
      <c r="A44" s="236" t="s">
        <v>273</v>
      </c>
      <c r="B44" s="237">
        <v>0</v>
      </c>
      <c r="C44" s="237">
        <v>0</v>
      </c>
      <c r="D44" s="233">
        <f t="shared" si="0"/>
        <v>0</v>
      </c>
      <c r="E44" s="238">
        <f>VLOOKUP(A44,[9]進出口值表查詢結果!$A$3:$C$57,3,0)</f>
        <v>4039</v>
      </c>
      <c r="F44" s="234">
        <f>E44/E64</f>
        <v>1.4376018850060865E-2</v>
      </c>
      <c r="G44" s="507">
        <f>VLOOKUP(A44,[9]進出口值表查詢結果!$A$3:$C$57,2,0)</f>
        <v>7204796</v>
      </c>
      <c r="H44" s="234">
        <f>G44/G64</f>
        <v>1.3850262553818203E-2</v>
      </c>
      <c r="I44" s="235">
        <f t="shared" si="1"/>
        <v>1783.8068828918049</v>
      </c>
    </row>
    <row r="45" spans="1:9" s="221" customFormat="1">
      <c r="A45" s="236" t="s">
        <v>274</v>
      </c>
      <c r="B45" s="237">
        <v>0</v>
      </c>
      <c r="C45" s="237">
        <v>0</v>
      </c>
      <c r="D45" s="233">
        <f t="shared" si="0"/>
        <v>0</v>
      </c>
      <c r="E45" s="238">
        <f>VLOOKUP(A45,[9]進出口值表查詢結果!$A$3:$C$57,3,0)</f>
        <v>45</v>
      </c>
      <c r="F45" s="234">
        <f>E45/E64</f>
        <v>1.6016856852011361E-4</v>
      </c>
      <c r="G45" s="507">
        <f>VLOOKUP(A45,[9]進出口值表查詢結果!$A$3:$C$57,2,0)</f>
        <v>109850</v>
      </c>
      <c r="H45" s="234">
        <f>G45/G64</f>
        <v>2.1117202229416763E-4</v>
      </c>
      <c r="I45" s="235">
        <f t="shared" si="1"/>
        <v>2441.1111111111113</v>
      </c>
    </row>
    <row r="46" spans="1:9" s="221" customFormat="1">
      <c r="A46" s="37" t="s">
        <v>20</v>
      </c>
      <c r="B46" s="237">
        <v>0</v>
      </c>
      <c r="C46" s="237">
        <v>0</v>
      </c>
      <c r="D46" s="233">
        <f t="shared" si="0"/>
        <v>0</v>
      </c>
      <c r="E46" s="238">
        <v>0</v>
      </c>
      <c r="F46" s="234">
        <f>E46/E64</f>
        <v>0</v>
      </c>
      <c r="G46" s="507">
        <v>0</v>
      </c>
      <c r="H46" s="234">
        <f>G46/G64</f>
        <v>0</v>
      </c>
      <c r="I46" s="235">
        <f t="shared" si="1"/>
        <v>0</v>
      </c>
    </row>
    <row r="47" spans="1:9" s="221" customFormat="1">
      <c r="A47" s="37"/>
      <c r="B47" s="237"/>
      <c r="C47" s="35"/>
      <c r="D47" s="233"/>
      <c r="E47" s="239"/>
      <c r="F47" s="240"/>
      <c r="G47" s="239"/>
      <c r="H47" s="240"/>
      <c r="I47" s="235"/>
    </row>
    <row r="48" spans="1:9" s="221" customFormat="1">
      <c r="A48" s="243" t="s">
        <v>21</v>
      </c>
      <c r="B48" s="242">
        <f>SUM(B49:B62)</f>
        <v>2499</v>
      </c>
      <c r="C48" s="242">
        <f>SUM(C49:C62)</f>
        <v>6021117</v>
      </c>
      <c r="D48" s="233">
        <f t="shared" si="0"/>
        <v>2409.4105642256905</v>
      </c>
      <c r="E48" s="242">
        <f>SUM(E49:E62)</f>
        <v>31449</v>
      </c>
      <c r="F48" s="234">
        <f>E48/E64</f>
        <v>0.1119364735864234</v>
      </c>
      <c r="G48" s="242">
        <f>SUM(G49:G62)</f>
        <v>58047407</v>
      </c>
      <c r="H48" s="234">
        <f>G48/G64</f>
        <v>0.11158842353320547</v>
      </c>
      <c r="I48" s="235">
        <f t="shared" si="1"/>
        <v>1845.7632039174537</v>
      </c>
    </row>
    <row r="49" spans="1:9" s="221" customFormat="1">
      <c r="A49" s="243" t="s">
        <v>159</v>
      </c>
      <c r="B49" s="237">
        <f>VLOOKUP(A49,[8]進出口值表查詢結果!$A$3:$C$34,3,0)</f>
        <v>1050</v>
      </c>
      <c r="C49" s="237">
        <f>VLOOKUP(A49,[8]進出口值表查詢結果!$A$3:$C$34,2,0)</f>
        <v>2070759</v>
      </c>
      <c r="D49" s="233">
        <f t="shared" si="0"/>
        <v>1972.1514285714286</v>
      </c>
      <c r="E49" s="238">
        <f>VLOOKUP(A49,[9]進出口值表查詢結果!$A$3:$C$57,3,0)</f>
        <v>16237</v>
      </c>
      <c r="F49" s="234">
        <f>E49/E64</f>
        <v>5.7792378823579661E-2</v>
      </c>
      <c r="G49" s="507">
        <f>VLOOKUP(A49,[9]進出口值表查詢結果!$A$3:$C$57,2,0)</f>
        <v>25810119</v>
      </c>
      <c r="H49" s="234">
        <f>G49/G64</f>
        <v>4.9616522757242779E-2</v>
      </c>
      <c r="I49" s="235">
        <f t="shared" si="1"/>
        <v>1589.5866847324014</v>
      </c>
    </row>
    <row r="50" spans="1:9" s="221" customFormat="1">
      <c r="A50" s="236" t="s">
        <v>384</v>
      </c>
      <c r="B50" s="237">
        <f>VLOOKUP(A50,[8]進出口值表查詢結果!$A$3:$C$34,3,0)</f>
        <v>114</v>
      </c>
      <c r="C50" s="237">
        <f>VLOOKUP(A50,[8]進出口值表查詢結果!$A$3:$C$34,2,0)</f>
        <v>310465</v>
      </c>
      <c r="D50" s="233">
        <f t="shared" si="0"/>
        <v>2723.3771929824561</v>
      </c>
      <c r="E50" s="238">
        <f>VLOOKUP(A50,[9]進出口值表查詢結果!$A$3:$C$57,3,0)</f>
        <v>2752</v>
      </c>
      <c r="F50" s="234">
        <f>E50/E64</f>
        <v>9.7951977903856149E-3</v>
      </c>
      <c r="G50" s="507">
        <f>VLOOKUP(A50,[9]進出口值表查詢結果!$A$3:$C$57,2,0)</f>
        <v>3310178</v>
      </c>
      <c r="H50" s="234">
        <f>G50/G64</f>
        <v>6.3633771726323458E-3</v>
      </c>
      <c r="I50" s="235">
        <f t="shared" si="1"/>
        <v>1202.8263081395348</v>
      </c>
    </row>
    <row r="51" spans="1:9" s="221" customFormat="1">
      <c r="A51" s="236" t="s">
        <v>385</v>
      </c>
      <c r="B51" s="237">
        <v>0</v>
      </c>
      <c r="C51" s="237">
        <v>0</v>
      </c>
      <c r="D51" s="233">
        <f t="shared" si="0"/>
        <v>0</v>
      </c>
      <c r="E51" s="238">
        <v>0</v>
      </c>
      <c r="F51" s="234">
        <f>E51/E64</f>
        <v>0</v>
      </c>
      <c r="G51" s="507">
        <v>0</v>
      </c>
      <c r="H51" s="234">
        <f>G51/G64</f>
        <v>0</v>
      </c>
      <c r="I51" s="235">
        <f t="shared" si="1"/>
        <v>0</v>
      </c>
    </row>
    <row r="52" spans="1:9" s="221" customFormat="1">
      <c r="A52" s="236" t="s">
        <v>297</v>
      </c>
      <c r="B52" s="237">
        <f>VLOOKUP(A52,[8]進出口值表查詢結果!$A$3:$C$34,3,0)</f>
        <v>28</v>
      </c>
      <c r="C52" s="237">
        <f>VLOOKUP(A52,[8]進出口值表查詢結果!$A$3:$C$34,2,0)</f>
        <v>62261</v>
      </c>
      <c r="D52" s="233">
        <f t="shared" si="0"/>
        <v>2223.6071428571427</v>
      </c>
      <c r="E52" s="238">
        <f>VLOOKUP(A52,[9]進出口值表查詢結果!$A$3:$C$57,3,0)</f>
        <v>30</v>
      </c>
      <c r="F52" s="234">
        <f>E52/E64</f>
        <v>1.0677904568007575E-4</v>
      </c>
      <c r="G52" s="507">
        <f>VLOOKUP(A52,[9]進出口值表查詢結果!$A$3:$C$57,2,0)</f>
        <v>66933</v>
      </c>
      <c r="H52" s="234">
        <f>G52/G64</f>
        <v>1.2866979488589458E-4</v>
      </c>
      <c r="I52" s="235">
        <f t="shared" si="1"/>
        <v>2231.1</v>
      </c>
    </row>
    <row r="53" spans="1:9" s="221" customFormat="1">
      <c r="A53" s="37" t="s">
        <v>22</v>
      </c>
      <c r="B53" s="237">
        <v>0</v>
      </c>
      <c r="C53" s="237">
        <v>0</v>
      </c>
      <c r="D53" s="233">
        <f t="shared" si="0"/>
        <v>0</v>
      </c>
      <c r="E53" s="238">
        <f>VLOOKUP(A53,[9]進出口值表查詢結果!$A$3:$C$57,3,0)</f>
        <v>10</v>
      </c>
      <c r="F53" s="234">
        <f>E53/E64</f>
        <v>3.5593015226691913E-5</v>
      </c>
      <c r="G53" s="507">
        <f>VLOOKUP(A53,[9]進出口值表查詢結果!$A$3:$C$57,2,0)</f>
        <v>26511</v>
      </c>
      <c r="H53" s="234">
        <f>G53/G64</f>
        <v>5.096387330942811E-5</v>
      </c>
      <c r="I53" s="235">
        <f t="shared" si="1"/>
        <v>2651.1</v>
      </c>
    </row>
    <row r="54" spans="1:9" s="221" customFormat="1">
      <c r="A54" s="236" t="s">
        <v>303</v>
      </c>
      <c r="B54" s="237">
        <f>VLOOKUP(A54,[8]進出口值表查詢結果!$A$3:$C$34,3,0)</f>
        <v>94</v>
      </c>
      <c r="C54" s="237">
        <f>VLOOKUP(A54,[8]進出口值表查詢結果!$A$3:$C$34,2,0)</f>
        <v>271196</v>
      </c>
      <c r="D54" s="233">
        <f t="shared" si="0"/>
        <v>2885.0638297872342</v>
      </c>
      <c r="E54" s="238">
        <f>VLOOKUP(A54,[9]進出口值表查詢結果!$A$3:$C$57,3,0)</f>
        <v>121</v>
      </c>
      <c r="F54" s="234">
        <f>E54/E64</f>
        <v>4.3067548424297216E-4</v>
      </c>
      <c r="G54" s="507">
        <f>VLOOKUP(A54,[9]進出口值表查詢結果!$A$3:$C$57,2,0)</f>
        <v>324924</v>
      </c>
      <c r="H54" s="234">
        <f>G54/G64</f>
        <v>6.2462319683122551E-4</v>
      </c>
      <c r="I54" s="235">
        <f t="shared" si="1"/>
        <v>2685.3223140495866</v>
      </c>
    </row>
    <row r="55" spans="1:9" s="221" customFormat="1">
      <c r="A55" s="26" t="s">
        <v>386</v>
      </c>
      <c r="B55" s="237">
        <f>VLOOKUP(A55,[8]進出口值表查詢結果!$A$3:$C$34,3,0)</f>
        <v>471</v>
      </c>
      <c r="C55" s="237">
        <f>VLOOKUP(A55,[8]進出口值表查詢結果!$A$3:$C$34,2,0)</f>
        <v>1351765</v>
      </c>
      <c r="D55" s="233">
        <f t="shared" si="0"/>
        <v>2869.9893842887473</v>
      </c>
      <c r="E55" s="238">
        <f>VLOOKUP(A55,[9]進出口值表查詢結果!$A$3:$C$57,3,0)</f>
        <v>4828</v>
      </c>
      <c r="F55" s="234">
        <f>E55/E64</f>
        <v>1.7184307751446855E-2</v>
      </c>
      <c r="G55" s="507">
        <f>VLOOKUP(A55,[9]進出口值表查詢結果!$A$3:$C$57,2,0)</f>
        <v>10825233</v>
      </c>
      <c r="H55" s="234">
        <f>G55/G64</f>
        <v>2.0810071410246326E-2</v>
      </c>
      <c r="I55" s="235">
        <f t="shared" si="1"/>
        <v>2242.1775062137531</v>
      </c>
    </row>
    <row r="56" spans="1:9" s="221" customFormat="1">
      <c r="A56" s="37" t="s">
        <v>23</v>
      </c>
      <c r="B56" s="237">
        <f>VLOOKUP(A56,[8]進出口值表查詢結果!$A$3:$C$34,3,0)</f>
        <v>17</v>
      </c>
      <c r="C56" s="237">
        <f>VLOOKUP(A56,[8]進出口值表查詢結果!$A$3:$C$34,2,0)</f>
        <v>26585</v>
      </c>
      <c r="D56" s="233">
        <f t="shared" si="0"/>
        <v>1563.8235294117646</v>
      </c>
      <c r="E56" s="238">
        <f>VLOOKUP(A56,[9]進出口值表查詢結果!$A$3:$C$57,3,0)</f>
        <v>349</v>
      </c>
      <c r="F56" s="234">
        <f>E56/E64</f>
        <v>1.2421962314115478E-3</v>
      </c>
      <c r="G56" s="507">
        <f>VLOOKUP(A56,[9]進出口值表查詢結果!$A$3:$C$57,2,0)</f>
        <v>965629</v>
      </c>
      <c r="H56" s="234">
        <f>G56/G64</f>
        <v>1.8562933884014091E-3</v>
      </c>
      <c r="I56" s="235">
        <f t="shared" si="1"/>
        <v>2766.8452722063039</v>
      </c>
    </row>
    <row r="57" spans="1:9" s="221" customFormat="1">
      <c r="A57" s="37" t="s">
        <v>239</v>
      </c>
      <c r="B57" s="237">
        <f>VLOOKUP(A57,[8]進出口值表查詢結果!$A$3:$C$34,3,0)</f>
        <v>96</v>
      </c>
      <c r="C57" s="237">
        <f>VLOOKUP(A57,[8]進出口值表查詢結果!$A$3:$C$34,2,0)</f>
        <v>328210</v>
      </c>
      <c r="D57" s="233">
        <f t="shared" si="0"/>
        <v>3418.8541666666665</v>
      </c>
      <c r="E57" s="238">
        <f>VLOOKUP(A57,[9]進出口值表查詢結果!$A$3:$C$57,3,0)</f>
        <v>172</v>
      </c>
      <c r="F57" s="234">
        <f>E57/E64</f>
        <v>6.1219986189910093E-4</v>
      </c>
      <c r="G57" s="507">
        <f>VLOOKUP(A57,[9]進出口值表查詢結果!$A$3:$C$57,2,0)</f>
        <v>518624</v>
      </c>
      <c r="H57" s="234">
        <f>G57/G64</f>
        <v>9.9698569768129613E-4</v>
      </c>
      <c r="I57" s="235">
        <f t="shared" si="1"/>
        <v>3015.2558139534885</v>
      </c>
    </row>
    <row r="58" spans="1:9" s="221" customFormat="1">
      <c r="A58" s="37" t="s">
        <v>232</v>
      </c>
      <c r="B58" s="237">
        <f>VLOOKUP(A58,[8]進出口值表查詢結果!$A$3:$C$34,3,0)</f>
        <v>50</v>
      </c>
      <c r="C58" s="237">
        <f>VLOOKUP(A58,[8]進出口值表查詢結果!$A$3:$C$34,2,0)</f>
        <v>154389</v>
      </c>
      <c r="D58" s="233">
        <f t="shared" si="0"/>
        <v>3087.78</v>
      </c>
      <c r="E58" s="238">
        <f>VLOOKUP(A58,[9]進出口值表查詢結果!$A$3:$C$57,3,0)</f>
        <v>3235</v>
      </c>
      <c r="F58" s="234">
        <f>E58/E64</f>
        <v>1.1514340425834834E-2</v>
      </c>
      <c r="G58" s="507">
        <f>VLOOKUP(A58,[9]進出口值表查詢結果!$A$3:$C$57,2,0)</f>
        <v>6908733</v>
      </c>
      <c r="H58" s="234">
        <f>G58/G64</f>
        <v>1.3281120792903519E-2</v>
      </c>
      <c r="I58" s="235">
        <f t="shared" si="1"/>
        <v>2135.6207109737247</v>
      </c>
    </row>
    <row r="59" spans="1:9" s="221" customFormat="1">
      <c r="A59" s="37" t="s">
        <v>277</v>
      </c>
      <c r="B59" s="237">
        <v>0</v>
      </c>
      <c r="C59" s="237">
        <v>0</v>
      </c>
      <c r="D59" s="233">
        <f t="shared" si="0"/>
        <v>0</v>
      </c>
      <c r="E59" s="238">
        <v>0</v>
      </c>
      <c r="F59" s="234">
        <f>E59/E64</f>
        <v>0</v>
      </c>
      <c r="G59" s="507">
        <v>0</v>
      </c>
      <c r="H59" s="234">
        <f>G59/G64</f>
        <v>0</v>
      </c>
      <c r="I59" s="235">
        <f t="shared" si="1"/>
        <v>0</v>
      </c>
    </row>
    <row r="60" spans="1:9" s="221" customFormat="1">
      <c r="A60" s="37" t="s">
        <v>282</v>
      </c>
      <c r="B60" s="237">
        <v>0</v>
      </c>
      <c r="C60" s="237">
        <v>0</v>
      </c>
      <c r="D60" s="233">
        <f t="shared" si="0"/>
        <v>0</v>
      </c>
      <c r="E60" s="238">
        <v>0</v>
      </c>
      <c r="F60" s="234">
        <f>E60/E64</f>
        <v>0</v>
      </c>
      <c r="G60" s="507">
        <v>0</v>
      </c>
      <c r="H60" s="234">
        <f>G60/G64</f>
        <v>0</v>
      </c>
      <c r="I60" s="235">
        <f t="shared" si="1"/>
        <v>0</v>
      </c>
    </row>
    <row r="61" spans="1:9" s="221" customFormat="1">
      <c r="A61" s="37" t="s">
        <v>288</v>
      </c>
      <c r="B61" s="237">
        <f>VLOOKUP(A61,[8]進出口值表查詢結果!$A$3:$C$34,3,0)</f>
        <v>322</v>
      </c>
      <c r="C61" s="237">
        <f>VLOOKUP(A61,[8]進出口值表查詢結果!$A$3:$C$34,2,0)</f>
        <v>814653</v>
      </c>
      <c r="D61" s="233">
        <f t="shared" si="0"/>
        <v>2529.978260869565</v>
      </c>
      <c r="E61" s="238">
        <f>VLOOKUP(A61,[9]進出口值表查詢結果!$A$3:$C$57,3,0)</f>
        <v>2364</v>
      </c>
      <c r="F61" s="234">
        <f>E61/E64</f>
        <v>8.4141887995899684E-3</v>
      </c>
      <c r="G61" s="507">
        <f>VLOOKUP(A61,[9]進出口值表查詢結果!$A$3:$C$57,2,0)</f>
        <v>5837947</v>
      </c>
      <c r="H61" s="234">
        <f>G61/G64</f>
        <v>1.1222677050852699E-2</v>
      </c>
      <c r="I61" s="235">
        <f t="shared" si="1"/>
        <v>2469.5207275803723</v>
      </c>
    </row>
    <row r="62" spans="1:9" s="221" customFormat="1">
      <c r="A62" s="37" t="s">
        <v>336</v>
      </c>
      <c r="B62" s="237">
        <f>VLOOKUP(A62,[8]進出口值表查詢結果!$A$3:$C$34,3,0)</f>
        <v>257</v>
      </c>
      <c r="C62" s="237">
        <f>VLOOKUP(A62,[8]進出口值表查詢結果!$A$3:$C$34,2,0)</f>
        <v>630834</v>
      </c>
      <c r="D62" s="233">
        <f t="shared" si="0"/>
        <v>2454.6070038910507</v>
      </c>
      <c r="E62" s="238">
        <f>VLOOKUP(A62,[9]進出口值表查詢結果!$A$3:$C$57,3,0)</f>
        <v>1351</v>
      </c>
      <c r="F62" s="234">
        <f>E62/E64</f>
        <v>4.8086163571260778E-3</v>
      </c>
      <c r="G62" s="507">
        <f>VLOOKUP(A62,[9]進出口值表查詢結果!$A$3:$C$57,2,0)</f>
        <v>3452576</v>
      </c>
      <c r="H62" s="234">
        <f>G62/G64</f>
        <v>6.6371183982185536E-3</v>
      </c>
      <c r="I62" s="235">
        <f t="shared" si="1"/>
        <v>2555.5706883789785</v>
      </c>
    </row>
    <row r="63" spans="1:9" s="221" customFormat="1">
      <c r="A63" s="37" t="s">
        <v>29</v>
      </c>
      <c r="B63" s="34">
        <f>B64-B48-B42-B13-B8</f>
        <v>233</v>
      </c>
      <c r="C63" s="34">
        <f>C64-C48-C42-C13-C8</f>
        <v>638176</v>
      </c>
      <c r="D63" s="233">
        <f t="shared" si="0"/>
        <v>2738.952789699571</v>
      </c>
      <c r="E63" s="34">
        <f>E64-E48-E42-E13-E8</f>
        <v>2539</v>
      </c>
      <c r="F63" s="240">
        <f>E63/$E$64</f>
        <v>9.0370665660570778E-3</v>
      </c>
      <c r="G63" s="34">
        <f>G64-G48-G42-G13-G8</f>
        <v>6629524</v>
      </c>
      <c r="H63" s="240">
        <f>G63/$G$64</f>
        <v>1.2744378606533631E-2</v>
      </c>
      <c r="I63" s="235">
        <f t="shared" si="1"/>
        <v>2611.0768018905082</v>
      </c>
    </row>
    <row r="64" spans="1:9" s="221" customFormat="1">
      <c r="A64" s="241" t="s">
        <v>401</v>
      </c>
      <c r="B64" s="237">
        <f>VLOOKUP(A64,[8]進出口值表查詢結果!$A$3:$C$34,3,0)</f>
        <v>19759</v>
      </c>
      <c r="C64" s="237">
        <f>VLOOKUP(A64,[8]進出口值表查詢結果!$A$3:$C$34,2,0)</f>
        <v>40283509</v>
      </c>
      <c r="D64" s="480">
        <f t="shared" ref="D64" si="2">C64/B64</f>
        <v>2038.742294650539</v>
      </c>
      <c r="E64" s="238">
        <f>VLOOKUP(A64,[9]進出口值表查詢結果!$A$3:$C$57,3,0)</f>
        <v>280954</v>
      </c>
      <c r="F64" s="481">
        <f>E64/$E$64</f>
        <v>1</v>
      </c>
      <c r="G64" s="507">
        <f>VLOOKUP(A64,[9]進出口值表查詢結果!$A$3:$C$57,2,0)</f>
        <v>520192016</v>
      </c>
      <c r="H64" s="234">
        <f>G64/$G$64</f>
        <v>1</v>
      </c>
      <c r="I64" s="235">
        <f>G64/E64</f>
        <v>1851.5202346291564</v>
      </c>
    </row>
    <row r="65" spans="1:9" s="221" customFormat="1" ht="6" customHeight="1">
      <c r="A65" s="246"/>
      <c r="B65" s="247"/>
      <c r="C65" s="248"/>
      <c r="D65" s="249"/>
      <c r="E65" s="250"/>
      <c r="F65" s="251"/>
      <c r="G65" s="248"/>
      <c r="H65" s="251"/>
      <c r="I65" s="252"/>
    </row>
    <row r="66" spans="1:9" s="221" customFormat="1" ht="15" customHeight="1">
      <c r="A66" s="253" t="s">
        <v>470</v>
      </c>
      <c r="B66" s="254"/>
      <c r="C66" s="254"/>
      <c r="D66" s="254"/>
    </row>
    <row r="67" spans="1:9" s="221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F16" sqref="F16"/>
    </sheetView>
  </sheetViews>
  <sheetFormatPr defaultRowHeight="16.5"/>
  <cols>
    <col min="1" max="1" width="19.5" style="260" customWidth="1"/>
    <col min="2" max="2" width="12.125" style="260" customWidth="1"/>
    <col min="3" max="3" width="12.5" style="261" customWidth="1"/>
    <col min="4" max="4" width="13.75" style="262" customWidth="1"/>
    <col min="5" max="5" width="14.625" style="260" customWidth="1"/>
    <col min="6" max="6" width="15.125" style="261" customWidth="1"/>
    <col min="7" max="7" width="12.25" style="294" customWidth="1"/>
    <col min="8" max="8" width="12.5" style="260" customWidth="1"/>
    <col min="9" max="9" width="12.25" style="260" customWidth="1"/>
    <col min="10" max="10" width="11.625" style="260" customWidth="1"/>
    <col min="11" max="256" width="8.875" style="260"/>
    <col min="257" max="257" width="19.5" style="260" customWidth="1"/>
    <col min="258" max="259" width="12.125" style="260" customWidth="1"/>
    <col min="260" max="260" width="13.75" style="260" customWidth="1"/>
    <col min="261" max="261" width="14.625" style="260" customWidth="1"/>
    <col min="262" max="262" width="15.125" style="260" customWidth="1"/>
    <col min="263" max="263" width="12.25" style="260" customWidth="1"/>
    <col min="264" max="264" width="12.5" style="260" customWidth="1"/>
    <col min="265" max="265" width="12.25" style="260" customWidth="1"/>
    <col min="266" max="266" width="11.625" style="260" customWidth="1"/>
    <col min="267" max="512" width="8.875" style="260"/>
    <col min="513" max="513" width="19.5" style="260" customWidth="1"/>
    <col min="514" max="515" width="12.125" style="260" customWidth="1"/>
    <col min="516" max="516" width="13.75" style="260" customWidth="1"/>
    <col min="517" max="517" width="14.625" style="260" customWidth="1"/>
    <col min="518" max="518" width="15.125" style="260" customWidth="1"/>
    <col min="519" max="519" width="12.25" style="260" customWidth="1"/>
    <col min="520" max="520" width="12.5" style="260" customWidth="1"/>
    <col min="521" max="521" width="12.25" style="260" customWidth="1"/>
    <col min="522" max="522" width="11.625" style="260" customWidth="1"/>
    <col min="523" max="768" width="8.875" style="260"/>
    <col min="769" max="769" width="19.5" style="260" customWidth="1"/>
    <col min="770" max="771" width="12.125" style="260" customWidth="1"/>
    <col min="772" max="772" width="13.75" style="260" customWidth="1"/>
    <col min="773" max="773" width="14.625" style="260" customWidth="1"/>
    <col min="774" max="774" width="15.125" style="260" customWidth="1"/>
    <col min="775" max="775" width="12.25" style="260" customWidth="1"/>
    <col min="776" max="776" width="12.5" style="260" customWidth="1"/>
    <col min="777" max="777" width="12.25" style="260" customWidth="1"/>
    <col min="778" max="778" width="11.625" style="260" customWidth="1"/>
    <col min="779" max="1024" width="8.875" style="260"/>
    <col min="1025" max="1025" width="19.5" style="260" customWidth="1"/>
    <col min="1026" max="1027" width="12.125" style="260" customWidth="1"/>
    <col min="1028" max="1028" width="13.75" style="260" customWidth="1"/>
    <col min="1029" max="1029" width="14.625" style="260" customWidth="1"/>
    <col min="1030" max="1030" width="15.125" style="260" customWidth="1"/>
    <col min="1031" max="1031" width="12.25" style="260" customWidth="1"/>
    <col min="1032" max="1032" width="12.5" style="260" customWidth="1"/>
    <col min="1033" max="1033" width="12.25" style="260" customWidth="1"/>
    <col min="1034" max="1034" width="11.625" style="260" customWidth="1"/>
    <col min="1035" max="1280" width="8.875" style="260"/>
    <col min="1281" max="1281" width="19.5" style="260" customWidth="1"/>
    <col min="1282" max="1283" width="12.125" style="260" customWidth="1"/>
    <col min="1284" max="1284" width="13.75" style="260" customWidth="1"/>
    <col min="1285" max="1285" width="14.625" style="260" customWidth="1"/>
    <col min="1286" max="1286" width="15.125" style="260" customWidth="1"/>
    <col min="1287" max="1287" width="12.25" style="260" customWidth="1"/>
    <col min="1288" max="1288" width="12.5" style="260" customWidth="1"/>
    <col min="1289" max="1289" width="12.25" style="260" customWidth="1"/>
    <col min="1290" max="1290" width="11.625" style="260" customWidth="1"/>
    <col min="1291" max="1536" width="8.875" style="260"/>
    <col min="1537" max="1537" width="19.5" style="260" customWidth="1"/>
    <col min="1538" max="1539" width="12.125" style="260" customWidth="1"/>
    <col min="1540" max="1540" width="13.75" style="260" customWidth="1"/>
    <col min="1541" max="1541" width="14.625" style="260" customWidth="1"/>
    <col min="1542" max="1542" width="15.125" style="260" customWidth="1"/>
    <col min="1543" max="1543" width="12.25" style="260" customWidth="1"/>
    <col min="1544" max="1544" width="12.5" style="260" customWidth="1"/>
    <col min="1545" max="1545" width="12.25" style="260" customWidth="1"/>
    <col min="1546" max="1546" width="11.625" style="260" customWidth="1"/>
    <col min="1547" max="1792" width="8.875" style="260"/>
    <col min="1793" max="1793" width="19.5" style="260" customWidth="1"/>
    <col min="1794" max="1795" width="12.125" style="260" customWidth="1"/>
    <col min="1796" max="1796" width="13.75" style="260" customWidth="1"/>
    <col min="1797" max="1797" width="14.625" style="260" customWidth="1"/>
    <col min="1798" max="1798" width="15.125" style="260" customWidth="1"/>
    <col min="1799" max="1799" width="12.25" style="260" customWidth="1"/>
    <col min="1800" max="1800" width="12.5" style="260" customWidth="1"/>
    <col min="1801" max="1801" width="12.25" style="260" customWidth="1"/>
    <col min="1802" max="1802" width="11.625" style="260" customWidth="1"/>
    <col min="1803" max="2048" width="8.875" style="260"/>
    <col min="2049" max="2049" width="19.5" style="260" customWidth="1"/>
    <col min="2050" max="2051" width="12.125" style="260" customWidth="1"/>
    <col min="2052" max="2052" width="13.75" style="260" customWidth="1"/>
    <col min="2053" max="2053" width="14.625" style="260" customWidth="1"/>
    <col min="2054" max="2054" width="15.125" style="260" customWidth="1"/>
    <col min="2055" max="2055" width="12.25" style="260" customWidth="1"/>
    <col min="2056" max="2056" width="12.5" style="260" customWidth="1"/>
    <col min="2057" max="2057" width="12.25" style="260" customWidth="1"/>
    <col min="2058" max="2058" width="11.625" style="260" customWidth="1"/>
    <col min="2059" max="2304" width="8.875" style="260"/>
    <col min="2305" max="2305" width="19.5" style="260" customWidth="1"/>
    <col min="2306" max="2307" width="12.125" style="260" customWidth="1"/>
    <col min="2308" max="2308" width="13.75" style="260" customWidth="1"/>
    <col min="2309" max="2309" width="14.625" style="260" customWidth="1"/>
    <col min="2310" max="2310" width="15.125" style="260" customWidth="1"/>
    <col min="2311" max="2311" width="12.25" style="260" customWidth="1"/>
    <col min="2312" max="2312" width="12.5" style="260" customWidth="1"/>
    <col min="2313" max="2313" width="12.25" style="260" customWidth="1"/>
    <col min="2314" max="2314" width="11.625" style="260" customWidth="1"/>
    <col min="2315" max="2560" width="8.875" style="260"/>
    <col min="2561" max="2561" width="19.5" style="260" customWidth="1"/>
    <col min="2562" max="2563" width="12.125" style="260" customWidth="1"/>
    <col min="2564" max="2564" width="13.75" style="260" customWidth="1"/>
    <col min="2565" max="2565" width="14.625" style="260" customWidth="1"/>
    <col min="2566" max="2566" width="15.125" style="260" customWidth="1"/>
    <col min="2567" max="2567" width="12.25" style="260" customWidth="1"/>
    <col min="2568" max="2568" width="12.5" style="260" customWidth="1"/>
    <col min="2569" max="2569" width="12.25" style="260" customWidth="1"/>
    <col min="2570" max="2570" width="11.625" style="260" customWidth="1"/>
    <col min="2571" max="2816" width="8.875" style="260"/>
    <col min="2817" max="2817" width="19.5" style="260" customWidth="1"/>
    <col min="2818" max="2819" width="12.125" style="260" customWidth="1"/>
    <col min="2820" max="2820" width="13.75" style="260" customWidth="1"/>
    <col min="2821" max="2821" width="14.625" style="260" customWidth="1"/>
    <col min="2822" max="2822" width="15.125" style="260" customWidth="1"/>
    <col min="2823" max="2823" width="12.25" style="260" customWidth="1"/>
    <col min="2824" max="2824" width="12.5" style="260" customWidth="1"/>
    <col min="2825" max="2825" width="12.25" style="260" customWidth="1"/>
    <col min="2826" max="2826" width="11.625" style="260" customWidth="1"/>
    <col min="2827" max="3072" width="8.875" style="260"/>
    <col min="3073" max="3073" width="19.5" style="260" customWidth="1"/>
    <col min="3074" max="3075" width="12.125" style="260" customWidth="1"/>
    <col min="3076" max="3076" width="13.75" style="260" customWidth="1"/>
    <col min="3077" max="3077" width="14.625" style="260" customWidth="1"/>
    <col min="3078" max="3078" width="15.125" style="260" customWidth="1"/>
    <col min="3079" max="3079" width="12.25" style="260" customWidth="1"/>
    <col min="3080" max="3080" width="12.5" style="260" customWidth="1"/>
    <col min="3081" max="3081" width="12.25" style="260" customWidth="1"/>
    <col min="3082" max="3082" width="11.625" style="260" customWidth="1"/>
    <col min="3083" max="3328" width="8.875" style="260"/>
    <col min="3329" max="3329" width="19.5" style="260" customWidth="1"/>
    <col min="3330" max="3331" width="12.125" style="260" customWidth="1"/>
    <col min="3332" max="3332" width="13.75" style="260" customWidth="1"/>
    <col min="3333" max="3333" width="14.625" style="260" customWidth="1"/>
    <col min="3334" max="3334" width="15.125" style="260" customWidth="1"/>
    <col min="3335" max="3335" width="12.25" style="260" customWidth="1"/>
    <col min="3336" max="3336" width="12.5" style="260" customWidth="1"/>
    <col min="3337" max="3337" width="12.25" style="260" customWidth="1"/>
    <col min="3338" max="3338" width="11.625" style="260" customWidth="1"/>
    <col min="3339" max="3584" width="8.875" style="260"/>
    <col min="3585" max="3585" width="19.5" style="260" customWidth="1"/>
    <col min="3586" max="3587" width="12.125" style="260" customWidth="1"/>
    <col min="3588" max="3588" width="13.75" style="260" customWidth="1"/>
    <col min="3589" max="3589" width="14.625" style="260" customWidth="1"/>
    <col min="3590" max="3590" width="15.125" style="260" customWidth="1"/>
    <col min="3591" max="3591" width="12.25" style="260" customWidth="1"/>
    <col min="3592" max="3592" width="12.5" style="260" customWidth="1"/>
    <col min="3593" max="3593" width="12.25" style="260" customWidth="1"/>
    <col min="3594" max="3594" width="11.625" style="260" customWidth="1"/>
    <col min="3595" max="3840" width="8.875" style="260"/>
    <col min="3841" max="3841" width="19.5" style="260" customWidth="1"/>
    <col min="3842" max="3843" width="12.125" style="260" customWidth="1"/>
    <col min="3844" max="3844" width="13.75" style="260" customWidth="1"/>
    <col min="3845" max="3845" width="14.625" style="260" customWidth="1"/>
    <col min="3846" max="3846" width="15.125" style="260" customWidth="1"/>
    <col min="3847" max="3847" width="12.25" style="260" customWidth="1"/>
    <col min="3848" max="3848" width="12.5" style="260" customWidth="1"/>
    <col min="3849" max="3849" width="12.25" style="260" customWidth="1"/>
    <col min="3850" max="3850" width="11.625" style="260" customWidth="1"/>
    <col min="3851" max="4096" width="8.875" style="260"/>
    <col min="4097" max="4097" width="19.5" style="260" customWidth="1"/>
    <col min="4098" max="4099" width="12.125" style="260" customWidth="1"/>
    <col min="4100" max="4100" width="13.75" style="260" customWidth="1"/>
    <col min="4101" max="4101" width="14.625" style="260" customWidth="1"/>
    <col min="4102" max="4102" width="15.125" style="260" customWidth="1"/>
    <col min="4103" max="4103" width="12.25" style="260" customWidth="1"/>
    <col min="4104" max="4104" width="12.5" style="260" customWidth="1"/>
    <col min="4105" max="4105" width="12.25" style="260" customWidth="1"/>
    <col min="4106" max="4106" width="11.625" style="260" customWidth="1"/>
    <col min="4107" max="4352" width="8.875" style="260"/>
    <col min="4353" max="4353" width="19.5" style="260" customWidth="1"/>
    <col min="4354" max="4355" width="12.125" style="260" customWidth="1"/>
    <col min="4356" max="4356" width="13.75" style="260" customWidth="1"/>
    <col min="4357" max="4357" width="14.625" style="260" customWidth="1"/>
    <col min="4358" max="4358" width="15.125" style="260" customWidth="1"/>
    <col min="4359" max="4359" width="12.25" style="260" customWidth="1"/>
    <col min="4360" max="4360" width="12.5" style="260" customWidth="1"/>
    <col min="4361" max="4361" width="12.25" style="260" customWidth="1"/>
    <col min="4362" max="4362" width="11.625" style="260" customWidth="1"/>
    <col min="4363" max="4608" width="8.875" style="260"/>
    <col min="4609" max="4609" width="19.5" style="260" customWidth="1"/>
    <col min="4610" max="4611" width="12.125" style="260" customWidth="1"/>
    <col min="4612" max="4612" width="13.75" style="260" customWidth="1"/>
    <col min="4613" max="4613" width="14.625" style="260" customWidth="1"/>
    <col min="4614" max="4614" width="15.125" style="260" customWidth="1"/>
    <col min="4615" max="4615" width="12.25" style="260" customWidth="1"/>
    <col min="4616" max="4616" width="12.5" style="260" customWidth="1"/>
    <col min="4617" max="4617" width="12.25" style="260" customWidth="1"/>
    <col min="4618" max="4618" width="11.625" style="260" customWidth="1"/>
    <col min="4619" max="4864" width="8.875" style="260"/>
    <col min="4865" max="4865" width="19.5" style="260" customWidth="1"/>
    <col min="4866" max="4867" width="12.125" style="260" customWidth="1"/>
    <col min="4868" max="4868" width="13.75" style="260" customWidth="1"/>
    <col min="4869" max="4869" width="14.625" style="260" customWidth="1"/>
    <col min="4870" max="4870" width="15.125" style="260" customWidth="1"/>
    <col min="4871" max="4871" width="12.25" style="260" customWidth="1"/>
    <col min="4872" max="4872" width="12.5" style="260" customWidth="1"/>
    <col min="4873" max="4873" width="12.25" style="260" customWidth="1"/>
    <col min="4874" max="4874" width="11.625" style="260" customWidth="1"/>
    <col min="4875" max="5120" width="8.875" style="260"/>
    <col min="5121" max="5121" width="19.5" style="260" customWidth="1"/>
    <col min="5122" max="5123" width="12.125" style="260" customWidth="1"/>
    <col min="5124" max="5124" width="13.75" style="260" customWidth="1"/>
    <col min="5125" max="5125" width="14.625" style="260" customWidth="1"/>
    <col min="5126" max="5126" width="15.125" style="260" customWidth="1"/>
    <col min="5127" max="5127" width="12.25" style="260" customWidth="1"/>
    <col min="5128" max="5128" width="12.5" style="260" customWidth="1"/>
    <col min="5129" max="5129" width="12.25" style="260" customWidth="1"/>
    <col min="5130" max="5130" width="11.625" style="260" customWidth="1"/>
    <col min="5131" max="5376" width="8.875" style="260"/>
    <col min="5377" max="5377" width="19.5" style="260" customWidth="1"/>
    <col min="5378" max="5379" width="12.125" style="260" customWidth="1"/>
    <col min="5380" max="5380" width="13.75" style="260" customWidth="1"/>
    <col min="5381" max="5381" width="14.625" style="260" customWidth="1"/>
    <col min="5382" max="5382" width="15.125" style="260" customWidth="1"/>
    <col min="5383" max="5383" width="12.25" style="260" customWidth="1"/>
    <col min="5384" max="5384" width="12.5" style="260" customWidth="1"/>
    <col min="5385" max="5385" width="12.25" style="260" customWidth="1"/>
    <col min="5386" max="5386" width="11.625" style="260" customWidth="1"/>
    <col min="5387" max="5632" width="8.875" style="260"/>
    <col min="5633" max="5633" width="19.5" style="260" customWidth="1"/>
    <col min="5634" max="5635" width="12.125" style="260" customWidth="1"/>
    <col min="5636" max="5636" width="13.75" style="260" customWidth="1"/>
    <col min="5637" max="5637" width="14.625" style="260" customWidth="1"/>
    <col min="5638" max="5638" width="15.125" style="260" customWidth="1"/>
    <col min="5639" max="5639" width="12.25" style="260" customWidth="1"/>
    <col min="5640" max="5640" width="12.5" style="260" customWidth="1"/>
    <col min="5641" max="5641" width="12.25" style="260" customWidth="1"/>
    <col min="5642" max="5642" width="11.625" style="260" customWidth="1"/>
    <col min="5643" max="5888" width="8.875" style="260"/>
    <col min="5889" max="5889" width="19.5" style="260" customWidth="1"/>
    <col min="5890" max="5891" width="12.125" style="260" customWidth="1"/>
    <col min="5892" max="5892" width="13.75" style="260" customWidth="1"/>
    <col min="5893" max="5893" width="14.625" style="260" customWidth="1"/>
    <col min="5894" max="5894" width="15.125" style="260" customWidth="1"/>
    <col min="5895" max="5895" width="12.25" style="260" customWidth="1"/>
    <col min="5896" max="5896" width="12.5" style="260" customWidth="1"/>
    <col min="5897" max="5897" width="12.25" style="260" customWidth="1"/>
    <col min="5898" max="5898" width="11.625" style="260" customWidth="1"/>
    <col min="5899" max="6144" width="8.875" style="260"/>
    <col min="6145" max="6145" width="19.5" style="260" customWidth="1"/>
    <col min="6146" max="6147" width="12.125" style="260" customWidth="1"/>
    <col min="6148" max="6148" width="13.75" style="260" customWidth="1"/>
    <col min="6149" max="6149" width="14.625" style="260" customWidth="1"/>
    <col min="6150" max="6150" width="15.125" style="260" customWidth="1"/>
    <col min="6151" max="6151" width="12.25" style="260" customWidth="1"/>
    <col min="6152" max="6152" width="12.5" style="260" customWidth="1"/>
    <col min="6153" max="6153" width="12.25" style="260" customWidth="1"/>
    <col min="6154" max="6154" width="11.625" style="260" customWidth="1"/>
    <col min="6155" max="6400" width="8.875" style="260"/>
    <col min="6401" max="6401" width="19.5" style="260" customWidth="1"/>
    <col min="6402" max="6403" width="12.125" style="260" customWidth="1"/>
    <col min="6404" max="6404" width="13.75" style="260" customWidth="1"/>
    <col min="6405" max="6405" width="14.625" style="260" customWidth="1"/>
    <col min="6406" max="6406" width="15.125" style="260" customWidth="1"/>
    <col min="6407" max="6407" width="12.25" style="260" customWidth="1"/>
    <col min="6408" max="6408" width="12.5" style="260" customWidth="1"/>
    <col min="6409" max="6409" width="12.25" style="260" customWidth="1"/>
    <col min="6410" max="6410" width="11.625" style="260" customWidth="1"/>
    <col min="6411" max="6656" width="8.875" style="260"/>
    <col min="6657" max="6657" width="19.5" style="260" customWidth="1"/>
    <col min="6658" max="6659" width="12.125" style="260" customWidth="1"/>
    <col min="6660" max="6660" width="13.75" style="260" customWidth="1"/>
    <col min="6661" max="6661" width="14.625" style="260" customWidth="1"/>
    <col min="6662" max="6662" width="15.125" style="260" customWidth="1"/>
    <col min="6663" max="6663" width="12.25" style="260" customWidth="1"/>
    <col min="6664" max="6664" width="12.5" style="260" customWidth="1"/>
    <col min="6665" max="6665" width="12.25" style="260" customWidth="1"/>
    <col min="6666" max="6666" width="11.625" style="260" customWidth="1"/>
    <col min="6667" max="6912" width="8.875" style="260"/>
    <col min="6913" max="6913" width="19.5" style="260" customWidth="1"/>
    <col min="6914" max="6915" width="12.125" style="260" customWidth="1"/>
    <col min="6916" max="6916" width="13.75" style="260" customWidth="1"/>
    <col min="6917" max="6917" width="14.625" style="260" customWidth="1"/>
    <col min="6918" max="6918" width="15.125" style="260" customWidth="1"/>
    <col min="6919" max="6919" width="12.25" style="260" customWidth="1"/>
    <col min="6920" max="6920" width="12.5" style="260" customWidth="1"/>
    <col min="6921" max="6921" width="12.25" style="260" customWidth="1"/>
    <col min="6922" max="6922" width="11.625" style="260" customWidth="1"/>
    <col min="6923" max="7168" width="8.875" style="260"/>
    <col min="7169" max="7169" width="19.5" style="260" customWidth="1"/>
    <col min="7170" max="7171" width="12.125" style="260" customWidth="1"/>
    <col min="7172" max="7172" width="13.75" style="260" customWidth="1"/>
    <col min="7173" max="7173" width="14.625" style="260" customWidth="1"/>
    <col min="7174" max="7174" width="15.125" style="260" customWidth="1"/>
    <col min="7175" max="7175" width="12.25" style="260" customWidth="1"/>
    <col min="7176" max="7176" width="12.5" style="260" customWidth="1"/>
    <col min="7177" max="7177" width="12.25" style="260" customWidth="1"/>
    <col min="7178" max="7178" width="11.625" style="260" customWidth="1"/>
    <col min="7179" max="7424" width="8.875" style="260"/>
    <col min="7425" max="7425" width="19.5" style="260" customWidth="1"/>
    <col min="7426" max="7427" width="12.125" style="260" customWidth="1"/>
    <col min="7428" max="7428" width="13.75" style="260" customWidth="1"/>
    <col min="7429" max="7429" width="14.625" style="260" customWidth="1"/>
    <col min="7430" max="7430" width="15.125" style="260" customWidth="1"/>
    <col min="7431" max="7431" width="12.25" style="260" customWidth="1"/>
    <col min="7432" max="7432" width="12.5" style="260" customWidth="1"/>
    <col min="7433" max="7433" width="12.25" style="260" customWidth="1"/>
    <col min="7434" max="7434" width="11.625" style="260" customWidth="1"/>
    <col min="7435" max="7680" width="8.875" style="260"/>
    <col min="7681" max="7681" width="19.5" style="260" customWidth="1"/>
    <col min="7682" max="7683" width="12.125" style="260" customWidth="1"/>
    <col min="7684" max="7684" width="13.75" style="260" customWidth="1"/>
    <col min="7685" max="7685" width="14.625" style="260" customWidth="1"/>
    <col min="7686" max="7686" width="15.125" style="260" customWidth="1"/>
    <col min="7687" max="7687" width="12.25" style="260" customWidth="1"/>
    <col min="7688" max="7688" width="12.5" style="260" customWidth="1"/>
    <col min="7689" max="7689" width="12.25" style="260" customWidth="1"/>
    <col min="7690" max="7690" width="11.625" style="260" customWidth="1"/>
    <col min="7691" max="7936" width="8.875" style="260"/>
    <col min="7937" max="7937" width="19.5" style="260" customWidth="1"/>
    <col min="7938" max="7939" width="12.125" style="260" customWidth="1"/>
    <col min="7940" max="7940" width="13.75" style="260" customWidth="1"/>
    <col min="7941" max="7941" width="14.625" style="260" customWidth="1"/>
    <col min="7942" max="7942" width="15.125" style="260" customWidth="1"/>
    <col min="7943" max="7943" width="12.25" style="260" customWidth="1"/>
    <col min="7944" max="7944" width="12.5" style="260" customWidth="1"/>
    <col min="7945" max="7945" width="12.25" style="260" customWidth="1"/>
    <col min="7946" max="7946" width="11.625" style="260" customWidth="1"/>
    <col min="7947" max="8192" width="8.875" style="260"/>
    <col min="8193" max="8193" width="19.5" style="260" customWidth="1"/>
    <col min="8194" max="8195" width="12.125" style="260" customWidth="1"/>
    <col min="8196" max="8196" width="13.75" style="260" customWidth="1"/>
    <col min="8197" max="8197" width="14.625" style="260" customWidth="1"/>
    <col min="8198" max="8198" width="15.125" style="260" customWidth="1"/>
    <col min="8199" max="8199" width="12.25" style="260" customWidth="1"/>
    <col min="8200" max="8200" width="12.5" style="260" customWidth="1"/>
    <col min="8201" max="8201" width="12.25" style="260" customWidth="1"/>
    <col min="8202" max="8202" width="11.625" style="260" customWidth="1"/>
    <col min="8203" max="8448" width="8.875" style="260"/>
    <col min="8449" max="8449" width="19.5" style="260" customWidth="1"/>
    <col min="8450" max="8451" width="12.125" style="260" customWidth="1"/>
    <col min="8452" max="8452" width="13.75" style="260" customWidth="1"/>
    <col min="8453" max="8453" width="14.625" style="260" customWidth="1"/>
    <col min="8454" max="8454" width="15.125" style="260" customWidth="1"/>
    <col min="8455" max="8455" width="12.25" style="260" customWidth="1"/>
    <col min="8456" max="8456" width="12.5" style="260" customWidth="1"/>
    <col min="8457" max="8457" width="12.25" style="260" customWidth="1"/>
    <col min="8458" max="8458" width="11.625" style="260" customWidth="1"/>
    <col min="8459" max="8704" width="8.875" style="260"/>
    <col min="8705" max="8705" width="19.5" style="260" customWidth="1"/>
    <col min="8706" max="8707" width="12.125" style="260" customWidth="1"/>
    <col min="8708" max="8708" width="13.75" style="260" customWidth="1"/>
    <col min="8709" max="8709" width="14.625" style="260" customWidth="1"/>
    <col min="8710" max="8710" width="15.125" style="260" customWidth="1"/>
    <col min="8711" max="8711" width="12.25" style="260" customWidth="1"/>
    <col min="8712" max="8712" width="12.5" style="260" customWidth="1"/>
    <col min="8713" max="8713" width="12.25" style="260" customWidth="1"/>
    <col min="8714" max="8714" width="11.625" style="260" customWidth="1"/>
    <col min="8715" max="8960" width="8.875" style="260"/>
    <col min="8961" max="8961" width="19.5" style="260" customWidth="1"/>
    <col min="8962" max="8963" width="12.125" style="260" customWidth="1"/>
    <col min="8964" max="8964" width="13.75" style="260" customWidth="1"/>
    <col min="8965" max="8965" width="14.625" style="260" customWidth="1"/>
    <col min="8966" max="8966" width="15.125" style="260" customWidth="1"/>
    <col min="8967" max="8967" width="12.25" style="260" customWidth="1"/>
    <col min="8968" max="8968" width="12.5" style="260" customWidth="1"/>
    <col min="8969" max="8969" width="12.25" style="260" customWidth="1"/>
    <col min="8970" max="8970" width="11.625" style="260" customWidth="1"/>
    <col min="8971" max="9216" width="8.875" style="260"/>
    <col min="9217" max="9217" width="19.5" style="260" customWidth="1"/>
    <col min="9218" max="9219" width="12.125" style="260" customWidth="1"/>
    <col min="9220" max="9220" width="13.75" style="260" customWidth="1"/>
    <col min="9221" max="9221" width="14.625" style="260" customWidth="1"/>
    <col min="9222" max="9222" width="15.125" style="260" customWidth="1"/>
    <col min="9223" max="9223" width="12.25" style="260" customWidth="1"/>
    <col min="9224" max="9224" width="12.5" style="260" customWidth="1"/>
    <col min="9225" max="9225" width="12.25" style="260" customWidth="1"/>
    <col min="9226" max="9226" width="11.625" style="260" customWidth="1"/>
    <col min="9227" max="9472" width="8.875" style="260"/>
    <col min="9473" max="9473" width="19.5" style="260" customWidth="1"/>
    <col min="9474" max="9475" width="12.125" style="260" customWidth="1"/>
    <col min="9476" max="9476" width="13.75" style="260" customWidth="1"/>
    <col min="9477" max="9477" width="14.625" style="260" customWidth="1"/>
    <col min="9478" max="9478" width="15.125" style="260" customWidth="1"/>
    <col min="9479" max="9479" width="12.25" style="260" customWidth="1"/>
    <col min="9480" max="9480" width="12.5" style="260" customWidth="1"/>
    <col min="9481" max="9481" width="12.25" style="260" customWidth="1"/>
    <col min="9482" max="9482" width="11.625" style="260" customWidth="1"/>
    <col min="9483" max="9728" width="8.875" style="260"/>
    <col min="9729" max="9729" width="19.5" style="260" customWidth="1"/>
    <col min="9730" max="9731" width="12.125" style="260" customWidth="1"/>
    <col min="9732" max="9732" width="13.75" style="260" customWidth="1"/>
    <col min="9733" max="9733" width="14.625" style="260" customWidth="1"/>
    <col min="9734" max="9734" width="15.125" style="260" customWidth="1"/>
    <col min="9735" max="9735" width="12.25" style="260" customWidth="1"/>
    <col min="9736" max="9736" width="12.5" style="260" customWidth="1"/>
    <col min="9737" max="9737" width="12.25" style="260" customWidth="1"/>
    <col min="9738" max="9738" width="11.625" style="260" customWidth="1"/>
    <col min="9739" max="9984" width="8.875" style="260"/>
    <col min="9985" max="9985" width="19.5" style="260" customWidth="1"/>
    <col min="9986" max="9987" width="12.125" style="260" customWidth="1"/>
    <col min="9988" max="9988" width="13.75" style="260" customWidth="1"/>
    <col min="9989" max="9989" width="14.625" style="260" customWidth="1"/>
    <col min="9990" max="9990" width="15.125" style="260" customWidth="1"/>
    <col min="9991" max="9991" width="12.25" style="260" customWidth="1"/>
    <col min="9992" max="9992" width="12.5" style="260" customWidth="1"/>
    <col min="9993" max="9993" width="12.25" style="260" customWidth="1"/>
    <col min="9994" max="9994" width="11.625" style="260" customWidth="1"/>
    <col min="9995" max="10240" width="8.875" style="260"/>
    <col min="10241" max="10241" width="19.5" style="260" customWidth="1"/>
    <col min="10242" max="10243" width="12.125" style="260" customWidth="1"/>
    <col min="10244" max="10244" width="13.75" style="260" customWidth="1"/>
    <col min="10245" max="10245" width="14.625" style="260" customWidth="1"/>
    <col min="10246" max="10246" width="15.125" style="260" customWidth="1"/>
    <col min="10247" max="10247" width="12.25" style="260" customWidth="1"/>
    <col min="10248" max="10248" width="12.5" style="260" customWidth="1"/>
    <col min="10249" max="10249" width="12.25" style="260" customWidth="1"/>
    <col min="10250" max="10250" width="11.625" style="260" customWidth="1"/>
    <col min="10251" max="10496" width="8.875" style="260"/>
    <col min="10497" max="10497" width="19.5" style="260" customWidth="1"/>
    <col min="10498" max="10499" width="12.125" style="260" customWidth="1"/>
    <col min="10500" max="10500" width="13.75" style="260" customWidth="1"/>
    <col min="10501" max="10501" width="14.625" style="260" customWidth="1"/>
    <col min="10502" max="10502" width="15.125" style="260" customWidth="1"/>
    <col min="10503" max="10503" width="12.25" style="260" customWidth="1"/>
    <col min="10504" max="10504" width="12.5" style="260" customWidth="1"/>
    <col min="10505" max="10505" width="12.25" style="260" customWidth="1"/>
    <col min="10506" max="10506" width="11.625" style="260" customWidth="1"/>
    <col min="10507" max="10752" width="8.875" style="260"/>
    <col min="10753" max="10753" width="19.5" style="260" customWidth="1"/>
    <col min="10754" max="10755" width="12.125" style="260" customWidth="1"/>
    <col min="10756" max="10756" width="13.75" style="260" customWidth="1"/>
    <col min="10757" max="10757" width="14.625" style="260" customWidth="1"/>
    <col min="10758" max="10758" width="15.125" style="260" customWidth="1"/>
    <col min="10759" max="10759" width="12.25" style="260" customWidth="1"/>
    <col min="10760" max="10760" width="12.5" style="260" customWidth="1"/>
    <col min="10761" max="10761" width="12.25" style="260" customWidth="1"/>
    <col min="10762" max="10762" width="11.625" style="260" customWidth="1"/>
    <col min="10763" max="11008" width="8.875" style="260"/>
    <col min="11009" max="11009" width="19.5" style="260" customWidth="1"/>
    <col min="11010" max="11011" width="12.125" style="260" customWidth="1"/>
    <col min="11012" max="11012" width="13.75" style="260" customWidth="1"/>
    <col min="11013" max="11013" width="14.625" style="260" customWidth="1"/>
    <col min="11014" max="11014" width="15.125" style="260" customWidth="1"/>
    <col min="11015" max="11015" width="12.25" style="260" customWidth="1"/>
    <col min="11016" max="11016" width="12.5" style="260" customWidth="1"/>
    <col min="11017" max="11017" width="12.25" style="260" customWidth="1"/>
    <col min="11018" max="11018" width="11.625" style="260" customWidth="1"/>
    <col min="11019" max="11264" width="8.875" style="260"/>
    <col min="11265" max="11265" width="19.5" style="260" customWidth="1"/>
    <col min="11266" max="11267" width="12.125" style="260" customWidth="1"/>
    <col min="11268" max="11268" width="13.75" style="260" customWidth="1"/>
    <col min="11269" max="11269" width="14.625" style="260" customWidth="1"/>
    <col min="11270" max="11270" width="15.125" style="260" customWidth="1"/>
    <col min="11271" max="11271" width="12.25" style="260" customWidth="1"/>
    <col min="11272" max="11272" width="12.5" style="260" customWidth="1"/>
    <col min="11273" max="11273" width="12.25" style="260" customWidth="1"/>
    <col min="11274" max="11274" width="11.625" style="260" customWidth="1"/>
    <col min="11275" max="11520" width="8.875" style="260"/>
    <col min="11521" max="11521" width="19.5" style="260" customWidth="1"/>
    <col min="11522" max="11523" width="12.125" style="260" customWidth="1"/>
    <col min="11524" max="11524" width="13.75" style="260" customWidth="1"/>
    <col min="11525" max="11525" width="14.625" style="260" customWidth="1"/>
    <col min="11526" max="11526" width="15.125" style="260" customWidth="1"/>
    <col min="11527" max="11527" width="12.25" style="260" customWidth="1"/>
    <col min="11528" max="11528" width="12.5" style="260" customWidth="1"/>
    <col min="11529" max="11529" width="12.25" style="260" customWidth="1"/>
    <col min="11530" max="11530" width="11.625" style="260" customWidth="1"/>
    <col min="11531" max="11776" width="8.875" style="260"/>
    <col min="11777" max="11777" width="19.5" style="260" customWidth="1"/>
    <col min="11778" max="11779" width="12.125" style="260" customWidth="1"/>
    <col min="11780" max="11780" width="13.75" style="260" customWidth="1"/>
    <col min="11781" max="11781" width="14.625" style="260" customWidth="1"/>
    <col min="11782" max="11782" width="15.125" style="260" customWidth="1"/>
    <col min="11783" max="11783" width="12.25" style="260" customWidth="1"/>
    <col min="11784" max="11784" width="12.5" style="260" customWidth="1"/>
    <col min="11785" max="11785" width="12.25" style="260" customWidth="1"/>
    <col min="11786" max="11786" width="11.625" style="260" customWidth="1"/>
    <col min="11787" max="12032" width="8.875" style="260"/>
    <col min="12033" max="12033" width="19.5" style="260" customWidth="1"/>
    <col min="12034" max="12035" width="12.125" style="260" customWidth="1"/>
    <col min="12036" max="12036" width="13.75" style="260" customWidth="1"/>
    <col min="12037" max="12037" width="14.625" style="260" customWidth="1"/>
    <col min="12038" max="12038" width="15.125" style="260" customWidth="1"/>
    <col min="12039" max="12039" width="12.25" style="260" customWidth="1"/>
    <col min="12040" max="12040" width="12.5" style="260" customWidth="1"/>
    <col min="12041" max="12041" width="12.25" style="260" customWidth="1"/>
    <col min="12042" max="12042" width="11.625" style="260" customWidth="1"/>
    <col min="12043" max="12288" width="8.875" style="260"/>
    <col min="12289" max="12289" width="19.5" style="260" customWidth="1"/>
    <col min="12290" max="12291" width="12.125" style="260" customWidth="1"/>
    <col min="12292" max="12292" width="13.75" style="260" customWidth="1"/>
    <col min="12293" max="12293" width="14.625" style="260" customWidth="1"/>
    <col min="12294" max="12294" width="15.125" style="260" customWidth="1"/>
    <col min="12295" max="12295" width="12.25" style="260" customWidth="1"/>
    <col min="12296" max="12296" width="12.5" style="260" customWidth="1"/>
    <col min="12297" max="12297" width="12.25" style="260" customWidth="1"/>
    <col min="12298" max="12298" width="11.625" style="260" customWidth="1"/>
    <col min="12299" max="12544" width="8.875" style="260"/>
    <col min="12545" max="12545" width="19.5" style="260" customWidth="1"/>
    <col min="12546" max="12547" width="12.125" style="260" customWidth="1"/>
    <col min="12548" max="12548" width="13.75" style="260" customWidth="1"/>
    <col min="12549" max="12549" width="14.625" style="260" customWidth="1"/>
    <col min="12550" max="12550" width="15.125" style="260" customWidth="1"/>
    <col min="12551" max="12551" width="12.25" style="260" customWidth="1"/>
    <col min="12552" max="12552" width="12.5" style="260" customWidth="1"/>
    <col min="12553" max="12553" width="12.25" style="260" customWidth="1"/>
    <col min="12554" max="12554" width="11.625" style="260" customWidth="1"/>
    <col min="12555" max="12800" width="8.875" style="260"/>
    <col min="12801" max="12801" width="19.5" style="260" customWidth="1"/>
    <col min="12802" max="12803" width="12.125" style="260" customWidth="1"/>
    <col min="12804" max="12804" width="13.75" style="260" customWidth="1"/>
    <col min="12805" max="12805" width="14.625" style="260" customWidth="1"/>
    <col min="12806" max="12806" width="15.125" style="260" customWidth="1"/>
    <col min="12807" max="12807" width="12.25" style="260" customWidth="1"/>
    <col min="12808" max="12808" width="12.5" style="260" customWidth="1"/>
    <col min="12809" max="12809" width="12.25" style="260" customWidth="1"/>
    <col min="12810" max="12810" width="11.625" style="260" customWidth="1"/>
    <col min="12811" max="13056" width="8.875" style="260"/>
    <col min="13057" max="13057" width="19.5" style="260" customWidth="1"/>
    <col min="13058" max="13059" width="12.125" style="260" customWidth="1"/>
    <col min="13060" max="13060" width="13.75" style="260" customWidth="1"/>
    <col min="13061" max="13061" width="14.625" style="260" customWidth="1"/>
    <col min="13062" max="13062" width="15.125" style="260" customWidth="1"/>
    <col min="13063" max="13063" width="12.25" style="260" customWidth="1"/>
    <col min="13064" max="13064" width="12.5" style="260" customWidth="1"/>
    <col min="13065" max="13065" width="12.25" style="260" customWidth="1"/>
    <col min="13066" max="13066" width="11.625" style="260" customWidth="1"/>
    <col min="13067" max="13312" width="8.875" style="260"/>
    <col min="13313" max="13313" width="19.5" style="260" customWidth="1"/>
    <col min="13314" max="13315" width="12.125" style="260" customWidth="1"/>
    <col min="13316" max="13316" width="13.75" style="260" customWidth="1"/>
    <col min="13317" max="13317" width="14.625" style="260" customWidth="1"/>
    <col min="13318" max="13318" width="15.125" style="260" customWidth="1"/>
    <col min="13319" max="13319" width="12.25" style="260" customWidth="1"/>
    <col min="13320" max="13320" width="12.5" style="260" customWidth="1"/>
    <col min="13321" max="13321" width="12.25" style="260" customWidth="1"/>
    <col min="13322" max="13322" width="11.625" style="260" customWidth="1"/>
    <col min="13323" max="13568" width="8.875" style="260"/>
    <col min="13569" max="13569" width="19.5" style="260" customWidth="1"/>
    <col min="13570" max="13571" width="12.125" style="260" customWidth="1"/>
    <col min="13572" max="13572" width="13.75" style="260" customWidth="1"/>
    <col min="13573" max="13573" width="14.625" style="260" customWidth="1"/>
    <col min="13574" max="13574" width="15.125" style="260" customWidth="1"/>
    <col min="13575" max="13575" width="12.25" style="260" customWidth="1"/>
    <col min="13576" max="13576" width="12.5" style="260" customWidth="1"/>
    <col min="13577" max="13577" width="12.25" style="260" customWidth="1"/>
    <col min="13578" max="13578" width="11.625" style="260" customWidth="1"/>
    <col min="13579" max="13824" width="8.875" style="260"/>
    <col min="13825" max="13825" width="19.5" style="260" customWidth="1"/>
    <col min="13826" max="13827" width="12.125" style="260" customWidth="1"/>
    <col min="13828" max="13828" width="13.75" style="260" customWidth="1"/>
    <col min="13829" max="13829" width="14.625" style="260" customWidth="1"/>
    <col min="13830" max="13830" width="15.125" style="260" customWidth="1"/>
    <col min="13831" max="13831" width="12.25" style="260" customWidth="1"/>
    <col min="13832" max="13832" width="12.5" style="260" customWidth="1"/>
    <col min="13833" max="13833" width="12.25" style="260" customWidth="1"/>
    <col min="13834" max="13834" width="11.625" style="260" customWidth="1"/>
    <col min="13835" max="14080" width="8.875" style="260"/>
    <col min="14081" max="14081" width="19.5" style="260" customWidth="1"/>
    <col min="14082" max="14083" width="12.125" style="260" customWidth="1"/>
    <col min="14084" max="14084" width="13.75" style="260" customWidth="1"/>
    <col min="14085" max="14085" width="14.625" style="260" customWidth="1"/>
    <col min="14086" max="14086" width="15.125" style="260" customWidth="1"/>
    <col min="14087" max="14087" width="12.25" style="260" customWidth="1"/>
    <col min="14088" max="14088" width="12.5" style="260" customWidth="1"/>
    <col min="14089" max="14089" width="12.25" style="260" customWidth="1"/>
    <col min="14090" max="14090" width="11.625" style="260" customWidth="1"/>
    <col min="14091" max="14336" width="8.875" style="260"/>
    <col min="14337" max="14337" width="19.5" style="260" customWidth="1"/>
    <col min="14338" max="14339" width="12.125" style="260" customWidth="1"/>
    <col min="14340" max="14340" width="13.75" style="260" customWidth="1"/>
    <col min="14341" max="14341" width="14.625" style="260" customWidth="1"/>
    <col min="14342" max="14342" width="15.125" style="260" customWidth="1"/>
    <col min="14343" max="14343" width="12.25" style="260" customWidth="1"/>
    <col min="14344" max="14344" width="12.5" style="260" customWidth="1"/>
    <col min="14345" max="14345" width="12.25" style="260" customWidth="1"/>
    <col min="14346" max="14346" width="11.625" style="260" customWidth="1"/>
    <col min="14347" max="14592" width="8.875" style="260"/>
    <col min="14593" max="14593" width="19.5" style="260" customWidth="1"/>
    <col min="14594" max="14595" width="12.125" style="260" customWidth="1"/>
    <col min="14596" max="14596" width="13.75" style="260" customWidth="1"/>
    <col min="14597" max="14597" width="14.625" style="260" customWidth="1"/>
    <col min="14598" max="14598" width="15.125" style="260" customWidth="1"/>
    <col min="14599" max="14599" width="12.25" style="260" customWidth="1"/>
    <col min="14600" max="14600" width="12.5" style="260" customWidth="1"/>
    <col min="14601" max="14601" width="12.25" style="260" customWidth="1"/>
    <col min="14602" max="14602" width="11.625" style="260" customWidth="1"/>
    <col min="14603" max="14848" width="8.875" style="260"/>
    <col min="14849" max="14849" width="19.5" style="260" customWidth="1"/>
    <col min="14850" max="14851" width="12.125" style="260" customWidth="1"/>
    <col min="14852" max="14852" width="13.75" style="260" customWidth="1"/>
    <col min="14853" max="14853" width="14.625" style="260" customWidth="1"/>
    <col min="14854" max="14854" width="15.125" style="260" customWidth="1"/>
    <col min="14855" max="14855" width="12.25" style="260" customWidth="1"/>
    <col min="14856" max="14856" width="12.5" style="260" customWidth="1"/>
    <col min="14857" max="14857" width="12.25" style="260" customWidth="1"/>
    <col min="14858" max="14858" width="11.625" style="260" customWidth="1"/>
    <col min="14859" max="15104" width="8.875" style="260"/>
    <col min="15105" max="15105" width="19.5" style="260" customWidth="1"/>
    <col min="15106" max="15107" width="12.125" style="260" customWidth="1"/>
    <col min="15108" max="15108" width="13.75" style="260" customWidth="1"/>
    <col min="15109" max="15109" width="14.625" style="260" customWidth="1"/>
    <col min="15110" max="15110" width="15.125" style="260" customWidth="1"/>
    <col min="15111" max="15111" width="12.25" style="260" customWidth="1"/>
    <col min="15112" max="15112" width="12.5" style="260" customWidth="1"/>
    <col min="15113" max="15113" width="12.25" style="260" customWidth="1"/>
    <col min="15114" max="15114" width="11.625" style="260" customWidth="1"/>
    <col min="15115" max="15360" width="8.875" style="260"/>
    <col min="15361" max="15361" width="19.5" style="260" customWidth="1"/>
    <col min="15362" max="15363" width="12.125" style="260" customWidth="1"/>
    <col min="15364" max="15364" width="13.75" style="260" customWidth="1"/>
    <col min="15365" max="15365" width="14.625" style="260" customWidth="1"/>
    <col min="15366" max="15366" width="15.125" style="260" customWidth="1"/>
    <col min="15367" max="15367" width="12.25" style="260" customWidth="1"/>
    <col min="15368" max="15368" width="12.5" style="260" customWidth="1"/>
    <col min="15369" max="15369" width="12.25" style="260" customWidth="1"/>
    <col min="15370" max="15370" width="11.625" style="260" customWidth="1"/>
    <col min="15371" max="15616" width="8.875" style="260"/>
    <col min="15617" max="15617" width="19.5" style="260" customWidth="1"/>
    <col min="15618" max="15619" width="12.125" style="260" customWidth="1"/>
    <col min="15620" max="15620" width="13.75" style="260" customWidth="1"/>
    <col min="15621" max="15621" width="14.625" style="260" customWidth="1"/>
    <col min="15622" max="15622" width="15.125" style="260" customWidth="1"/>
    <col min="15623" max="15623" width="12.25" style="260" customWidth="1"/>
    <col min="15624" max="15624" width="12.5" style="260" customWidth="1"/>
    <col min="15625" max="15625" width="12.25" style="260" customWidth="1"/>
    <col min="15626" max="15626" width="11.625" style="260" customWidth="1"/>
    <col min="15627" max="15872" width="8.875" style="260"/>
    <col min="15873" max="15873" width="19.5" style="260" customWidth="1"/>
    <col min="15874" max="15875" width="12.125" style="260" customWidth="1"/>
    <col min="15876" max="15876" width="13.75" style="260" customWidth="1"/>
    <col min="15877" max="15877" width="14.625" style="260" customWidth="1"/>
    <col min="15878" max="15878" width="15.125" style="260" customWidth="1"/>
    <col min="15879" max="15879" width="12.25" style="260" customWidth="1"/>
    <col min="15880" max="15880" width="12.5" style="260" customWidth="1"/>
    <col min="15881" max="15881" width="12.25" style="260" customWidth="1"/>
    <col min="15882" max="15882" width="11.625" style="260" customWidth="1"/>
    <col min="15883" max="16128" width="8.875" style="260"/>
    <col min="16129" max="16129" width="19.5" style="260" customWidth="1"/>
    <col min="16130" max="16131" width="12.125" style="260" customWidth="1"/>
    <col min="16132" max="16132" width="13.75" style="260" customWidth="1"/>
    <col min="16133" max="16133" width="14.625" style="260" customWidth="1"/>
    <col min="16134" max="16134" width="15.125" style="260" customWidth="1"/>
    <col min="16135" max="16135" width="12.25" style="260" customWidth="1"/>
    <col min="16136" max="16136" width="12.5" style="260" customWidth="1"/>
    <col min="16137" max="16137" width="12.25" style="260" customWidth="1"/>
    <col min="16138" max="16138" width="11.625" style="260" customWidth="1"/>
    <col min="16139" max="16384" width="8.875" style="260"/>
  </cols>
  <sheetData>
    <row r="1" spans="1:10" ht="19.5">
      <c r="A1" s="255" t="s">
        <v>494</v>
      </c>
      <c r="B1" s="256"/>
      <c r="C1" s="257"/>
      <c r="D1" s="258"/>
      <c r="E1" s="256"/>
      <c r="F1" s="257"/>
      <c r="G1" s="259"/>
    </row>
    <row r="2" spans="1:10" ht="9.75" customHeight="1">
      <c r="G2" s="263"/>
    </row>
    <row r="3" spans="1:10" ht="17.25">
      <c r="A3" s="264" t="s">
        <v>153</v>
      </c>
      <c r="B3" s="265"/>
      <c r="C3" s="265"/>
      <c r="D3" s="265"/>
      <c r="E3" s="266"/>
      <c r="F3" s="266"/>
      <c r="G3" s="266"/>
      <c r="H3" s="266"/>
      <c r="I3" s="266"/>
      <c r="J3" s="267"/>
    </row>
    <row r="4" spans="1:10" ht="17.25">
      <c r="A4" s="268" t="s">
        <v>154</v>
      </c>
      <c r="B4" s="269"/>
      <c r="C4" s="269"/>
      <c r="D4" s="269"/>
      <c r="E4" s="270"/>
      <c r="F4" s="270"/>
      <c r="G4" s="270"/>
      <c r="H4" s="270"/>
      <c r="I4" s="270"/>
      <c r="J4" s="271"/>
    </row>
    <row r="5" spans="1:10">
      <c r="A5" s="69" t="s">
        <v>488</v>
      </c>
      <c r="B5" s="8" t="s">
        <v>450</v>
      </c>
      <c r="C5" s="540" t="s">
        <v>474</v>
      </c>
      <c r="D5" s="71" t="s">
        <v>155</v>
      </c>
      <c r="E5" s="8" t="s">
        <v>450</v>
      </c>
      <c r="F5" s="540" t="s">
        <v>474</v>
      </c>
      <c r="G5" s="73" t="s">
        <v>156</v>
      </c>
      <c r="H5" s="8" t="s">
        <v>450</v>
      </c>
      <c r="I5" s="70" t="s">
        <v>451</v>
      </c>
      <c r="J5" s="200" t="s">
        <v>36</v>
      </c>
    </row>
    <row r="6" spans="1:10">
      <c r="A6" s="273"/>
      <c r="B6" s="272" t="s">
        <v>32</v>
      </c>
      <c r="C6" s="536" t="s">
        <v>32</v>
      </c>
      <c r="D6" s="465" t="s">
        <v>1</v>
      </c>
      <c r="E6" s="274" t="s">
        <v>33</v>
      </c>
      <c r="F6" s="542" t="s">
        <v>33</v>
      </c>
      <c r="G6" s="465" t="s">
        <v>1</v>
      </c>
      <c r="H6" s="275" t="s">
        <v>35</v>
      </c>
      <c r="I6" s="467" t="s">
        <v>415</v>
      </c>
      <c r="J6" s="465" t="s">
        <v>1</v>
      </c>
    </row>
    <row r="7" spans="1:10">
      <c r="A7" s="276" t="s">
        <v>4</v>
      </c>
      <c r="B7" s="277"/>
      <c r="C7" s="537"/>
      <c r="D7" s="203"/>
      <c r="E7" s="278"/>
      <c r="F7" s="543"/>
      <c r="G7" s="466"/>
      <c r="H7" s="279"/>
      <c r="I7" s="82"/>
      <c r="J7" s="204"/>
    </row>
    <row r="8" spans="1:10">
      <c r="A8" s="276" t="s">
        <v>5</v>
      </c>
      <c r="B8" s="280">
        <f>SUM(B9:B11)</f>
        <v>88230</v>
      </c>
      <c r="C8" s="538">
        <v>127628</v>
      </c>
      <c r="D8" s="470">
        <f>IF(C8,(B8-C8)/C8,0)</f>
        <v>-0.3086940169868681</v>
      </c>
      <c r="E8" s="281">
        <f>SUM(E9:E11)</f>
        <v>183843723</v>
      </c>
      <c r="F8" s="534">
        <v>272373559</v>
      </c>
      <c r="G8" s="469">
        <f>IF(F8,(E8-F8)/F8,0)</f>
        <v>-0.32503094766258128</v>
      </c>
      <c r="H8" s="85">
        <f>IF(B8,E8/B8,0)</f>
        <v>2083.6872152329138</v>
      </c>
      <c r="I8" s="86">
        <f>IF(C8,F8/C8,0)</f>
        <v>2134.1207180242582</v>
      </c>
      <c r="J8" s="471">
        <f t="shared" ref="J8:J64" si="0">IF(I8,(H8-I8)/I8,0)</f>
        <v>-2.363198218610383E-2</v>
      </c>
    </row>
    <row r="9" spans="1:10">
      <c r="A9" s="282" t="s">
        <v>160</v>
      </c>
      <c r="B9" s="283">
        <f>電輔車!E9</f>
        <v>78294</v>
      </c>
      <c r="C9" s="534">
        <v>113317</v>
      </c>
      <c r="D9" s="470">
        <f t="shared" ref="D9:D64" si="1">IF(C9,(B9-C9)/C9,0)</f>
        <v>-0.30907101317542823</v>
      </c>
      <c r="E9" s="284">
        <f>電輔車!G9</f>
        <v>164054749</v>
      </c>
      <c r="F9" s="535">
        <v>242104302</v>
      </c>
      <c r="G9" s="469">
        <f t="shared" ref="G9:G64" si="2">IF(F9,(E9-F9)/F9,0)</f>
        <v>-0.32237986832633814</v>
      </c>
      <c r="H9" s="85">
        <f t="shared" ref="H9:H11" si="3">IF(B9,E9/B9,0)</f>
        <v>2095.3680869543005</v>
      </c>
      <c r="I9" s="86">
        <f t="shared" ref="I9:I11" si="4">IF(C9,F9/C9,0)</f>
        <v>2136.5223399842916</v>
      </c>
      <c r="J9" s="471">
        <f t="shared" si="0"/>
        <v>-1.9262261975830204E-2</v>
      </c>
    </row>
    <row r="10" spans="1:10">
      <c r="A10" s="285" t="s">
        <v>6</v>
      </c>
      <c r="B10" s="283">
        <f>電輔車!E10</f>
        <v>9579</v>
      </c>
      <c r="C10" s="534">
        <v>13393</v>
      </c>
      <c r="D10" s="470">
        <f t="shared" si="1"/>
        <v>-0.28477562905995668</v>
      </c>
      <c r="E10" s="284">
        <f>電輔車!G10</f>
        <v>19140915</v>
      </c>
      <c r="F10" s="535">
        <v>28239983</v>
      </c>
      <c r="G10" s="469">
        <f t="shared" si="2"/>
        <v>-0.32220515146910678</v>
      </c>
      <c r="H10" s="85">
        <f t="shared" si="3"/>
        <v>1998.2164108988411</v>
      </c>
      <c r="I10" s="86">
        <f t="shared" si="4"/>
        <v>2108.5629059956696</v>
      </c>
      <c r="J10" s="471">
        <f t="shared" si="0"/>
        <v>-5.2332560144665217E-2</v>
      </c>
    </row>
    <row r="11" spans="1:10">
      <c r="A11" s="285" t="s">
        <v>7</v>
      </c>
      <c r="B11" s="283">
        <f>電輔車!E11</f>
        <v>357</v>
      </c>
      <c r="C11" s="534">
        <v>918</v>
      </c>
      <c r="D11" s="470">
        <f t="shared" si="1"/>
        <v>-0.61111111111111116</v>
      </c>
      <c r="E11" s="284">
        <f>電輔車!G11</f>
        <v>648059</v>
      </c>
      <c r="F11" s="535">
        <v>2029274</v>
      </c>
      <c r="G11" s="469">
        <f t="shared" si="2"/>
        <v>-0.68064490059006322</v>
      </c>
      <c r="H11" s="85">
        <f t="shared" si="3"/>
        <v>1815.2913165266107</v>
      </c>
      <c r="I11" s="86">
        <f t="shared" si="4"/>
        <v>2210.5381263616559</v>
      </c>
      <c r="J11" s="471">
        <f t="shared" si="0"/>
        <v>-0.17880117294587697</v>
      </c>
    </row>
    <row r="12" spans="1:10">
      <c r="A12" s="285"/>
      <c r="B12" s="283"/>
      <c r="C12" s="539"/>
      <c r="D12" s="470"/>
      <c r="E12" s="284"/>
      <c r="F12" s="535"/>
      <c r="G12" s="469"/>
      <c r="H12" s="85"/>
      <c r="I12" s="86"/>
      <c r="J12" s="471"/>
    </row>
    <row r="13" spans="1:10">
      <c r="A13" s="286" t="s">
        <v>8</v>
      </c>
      <c r="B13" s="287">
        <f>SUM(B14:B40)</f>
        <v>147225</v>
      </c>
      <c r="C13" s="539">
        <v>359533</v>
      </c>
      <c r="D13" s="470">
        <f t="shared" si="1"/>
        <v>-0.59051046774565896</v>
      </c>
      <c r="E13" s="287">
        <f>SUM(E14:E40)</f>
        <v>246758976</v>
      </c>
      <c r="F13" s="535">
        <v>556887089</v>
      </c>
      <c r="G13" s="469">
        <f t="shared" si="2"/>
        <v>-0.55689585757302407</v>
      </c>
      <c r="H13" s="85">
        <f t="shared" ref="H13:H18" si="5">IF(B13,E13/B13,0)</f>
        <v>1676.0670809984717</v>
      </c>
      <c r="I13" s="86">
        <f t="shared" ref="I13:I18" si="6">IF(C13,F13/C13,0)</f>
        <v>1548.9178712385233</v>
      </c>
      <c r="J13" s="471">
        <f t="shared" si="0"/>
        <v>8.2089058510429122E-2</v>
      </c>
    </row>
    <row r="14" spans="1:10">
      <c r="A14" s="425" t="s">
        <v>245</v>
      </c>
      <c r="B14" s="284">
        <f>電輔車!E14</f>
        <v>85618</v>
      </c>
      <c r="C14" s="534">
        <v>212872</v>
      </c>
      <c r="D14" s="470">
        <f t="shared" si="1"/>
        <v>-0.59779585854410167</v>
      </c>
      <c r="E14" s="284">
        <f>電輔車!G14</f>
        <v>149823419</v>
      </c>
      <c r="F14" s="535">
        <v>347761683</v>
      </c>
      <c r="G14" s="469">
        <f t="shared" si="2"/>
        <v>-0.56917789876235447</v>
      </c>
      <c r="H14" s="85">
        <f t="shared" si="5"/>
        <v>1749.9056156415706</v>
      </c>
      <c r="I14" s="86">
        <f t="shared" si="6"/>
        <v>1633.665691119546</v>
      </c>
      <c r="J14" s="471">
        <f t="shared" si="0"/>
        <v>7.1152822241352109E-2</v>
      </c>
    </row>
    <row r="15" spans="1:10">
      <c r="A15" s="425" t="s">
        <v>246</v>
      </c>
      <c r="B15" s="284">
        <f>電輔車!E15</f>
        <v>27676</v>
      </c>
      <c r="C15" s="534">
        <v>60920</v>
      </c>
      <c r="D15" s="470">
        <f t="shared" si="1"/>
        <v>-0.54569927774130011</v>
      </c>
      <c r="E15" s="284">
        <f>電輔車!G15</f>
        <v>36359105</v>
      </c>
      <c r="F15" s="535">
        <v>65873783</v>
      </c>
      <c r="G15" s="469">
        <f t="shared" si="2"/>
        <v>-0.44804893017909719</v>
      </c>
      <c r="H15" s="85">
        <f t="shared" si="5"/>
        <v>1313.7413282266223</v>
      </c>
      <c r="I15" s="86">
        <f t="shared" si="6"/>
        <v>1081.3162015758371</v>
      </c>
      <c r="J15" s="471">
        <f t="shared" si="0"/>
        <v>0.21494649420036849</v>
      </c>
    </row>
    <row r="16" spans="1:10">
      <c r="A16" s="426" t="s">
        <v>9</v>
      </c>
      <c r="B16" s="284">
        <f>電輔車!E16</f>
        <v>5996</v>
      </c>
      <c r="C16" s="534">
        <v>7405</v>
      </c>
      <c r="D16" s="470">
        <f t="shared" si="1"/>
        <v>-0.19027683997299122</v>
      </c>
      <c r="E16" s="284">
        <f>電輔車!G16</f>
        <v>12414968</v>
      </c>
      <c r="F16" s="535">
        <v>13654302</v>
      </c>
      <c r="G16" s="469">
        <f t="shared" si="2"/>
        <v>-9.0765093667915062E-2</v>
      </c>
      <c r="H16" s="85">
        <f t="shared" si="5"/>
        <v>2070.5416944629751</v>
      </c>
      <c r="I16" s="86">
        <f t="shared" si="6"/>
        <v>1843.9300472653613</v>
      </c>
      <c r="J16" s="471">
        <f t="shared" si="0"/>
        <v>0.12289601090545166</v>
      </c>
    </row>
    <row r="17" spans="1:10">
      <c r="A17" s="425" t="s">
        <v>247</v>
      </c>
      <c r="B17" s="284">
        <f>電輔車!E17</f>
        <v>5460</v>
      </c>
      <c r="C17" s="534">
        <v>16412</v>
      </c>
      <c r="D17" s="470">
        <f t="shared" si="1"/>
        <v>-0.66731659761150375</v>
      </c>
      <c r="E17" s="284">
        <f>電輔車!G17</f>
        <v>8020814</v>
      </c>
      <c r="F17" s="535">
        <v>21857584</v>
      </c>
      <c r="G17" s="469">
        <f t="shared" si="2"/>
        <v>-0.63304205990927453</v>
      </c>
      <c r="H17" s="85">
        <f t="shared" si="5"/>
        <v>1469.0135531135531</v>
      </c>
      <c r="I17" s="86">
        <f t="shared" si="6"/>
        <v>1331.8050207165488</v>
      </c>
      <c r="J17" s="471">
        <f t="shared" si="0"/>
        <v>0.10302448951812949</v>
      </c>
    </row>
    <row r="18" spans="1:10">
      <c r="A18" s="426" t="s">
        <v>10</v>
      </c>
      <c r="B18" s="284">
        <f>電輔車!E18</f>
        <v>6345</v>
      </c>
      <c r="C18" s="534">
        <v>8027</v>
      </c>
      <c r="D18" s="470">
        <f t="shared" si="1"/>
        <v>-0.20954279307337736</v>
      </c>
      <c r="E18" s="284">
        <f>電輔車!G18</f>
        <v>14060450</v>
      </c>
      <c r="F18" s="535">
        <v>18065173</v>
      </c>
      <c r="G18" s="469">
        <f t="shared" si="2"/>
        <v>-0.22168196230393145</v>
      </c>
      <c r="H18" s="85">
        <f t="shared" si="5"/>
        <v>2215.9889676910952</v>
      </c>
      <c r="I18" s="86">
        <f t="shared" si="6"/>
        <v>2250.551015323284</v>
      </c>
      <c r="J18" s="471">
        <f t="shared" si="0"/>
        <v>-1.5357149158968979E-2</v>
      </c>
    </row>
    <row r="19" spans="1:10">
      <c r="A19" s="426" t="s">
        <v>11</v>
      </c>
      <c r="B19" s="284">
        <f>電輔車!E19</f>
        <v>1173</v>
      </c>
      <c r="C19" s="534">
        <v>9390</v>
      </c>
      <c r="D19" s="470">
        <f t="shared" si="1"/>
        <v>-0.87507987220447281</v>
      </c>
      <c r="E19" s="284">
        <f>電輔車!G19</f>
        <v>3023253</v>
      </c>
      <c r="F19" s="535">
        <v>18686600</v>
      </c>
      <c r="G19" s="469">
        <f t="shared" si="2"/>
        <v>-0.83821278349191397</v>
      </c>
      <c r="H19" s="85">
        <f>IF(B19,E19/B19,0)</f>
        <v>2577.3682864450129</v>
      </c>
      <c r="I19" s="86">
        <f>IF(C19,F19/C19,0)</f>
        <v>1990.0532481363152</v>
      </c>
      <c r="J19" s="471">
        <f t="shared" si="0"/>
        <v>0.29512528815935862</v>
      </c>
    </row>
    <row r="20" spans="1:10">
      <c r="A20" s="425" t="s">
        <v>249</v>
      </c>
      <c r="B20" s="284">
        <f>電輔車!E20</f>
        <v>2176</v>
      </c>
      <c r="C20" s="534">
        <v>7463</v>
      </c>
      <c r="D20" s="470">
        <f t="shared" si="1"/>
        <v>-0.70842824601366738</v>
      </c>
      <c r="E20" s="284">
        <f>電輔車!G20</f>
        <v>3491568</v>
      </c>
      <c r="F20" s="535">
        <v>10242344</v>
      </c>
      <c r="G20" s="469">
        <f t="shared" si="2"/>
        <v>-0.65910459558866608</v>
      </c>
      <c r="H20" s="85">
        <f t="shared" ref="H20:H33" si="7">IF(B20,E20/B20,0)</f>
        <v>1604.5808823529412</v>
      </c>
      <c r="I20" s="86">
        <f t="shared" ref="I20:I33" si="8">IF(C20,F20/C20,0)</f>
        <v>1372.4164545089106</v>
      </c>
      <c r="J20" s="471">
        <f t="shared" si="0"/>
        <v>0.16916470731699698</v>
      </c>
    </row>
    <row r="21" spans="1:10">
      <c r="A21" s="426" t="s">
        <v>12</v>
      </c>
      <c r="B21" s="284">
        <f>電輔車!E21</f>
        <v>12</v>
      </c>
      <c r="C21" s="534">
        <v>93</v>
      </c>
      <c r="D21" s="470">
        <f t="shared" si="1"/>
        <v>-0.87096774193548387</v>
      </c>
      <c r="E21" s="284">
        <f>電輔車!G21</f>
        <v>9282</v>
      </c>
      <c r="F21" s="535">
        <v>154188</v>
      </c>
      <c r="G21" s="469">
        <f t="shared" si="2"/>
        <v>-0.93980076270526891</v>
      </c>
      <c r="H21" s="85">
        <f t="shared" si="7"/>
        <v>773.5</v>
      </c>
      <c r="I21" s="86">
        <f t="shared" si="8"/>
        <v>1657.9354838709678</v>
      </c>
      <c r="J21" s="471">
        <f t="shared" si="0"/>
        <v>-0.53345591096583389</v>
      </c>
    </row>
    <row r="22" spans="1:10">
      <c r="A22" s="425" t="s">
        <v>250</v>
      </c>
      <c r="B22" s="284">
        <f>電輔車!E22</f>
        <v>0</v>
      </c>
      <c r="C22" s="534">
        <v>16291</v>
      </c>
      <c r="D22" s="470">
        <f t="shared" si="1"/>
        <v>-1</v>
      </c>
      <c r="E22" s="284">
        <f>電輔車!G22</f>
        <v>0</v>
      </c>
      <c r="F22" s="535">
        <v>40089880</v>
      </c>
      <c r="G22" s="469">
        <f t="shared" si="2"/>
        <v>-1</v>
      </c>
      <c r="H22" s="85">
        <f t="shared" si="7"/>
        <v>0</v>
      </c>
      <c r="I22" s="86">
        <f t="shared" si="8"/>
        <v>2460.8605978761279</v>
      </c>
      <c r="J22" s="471">
        <f t="shared" si="0"/>
        <v>-1</v>
      </c>
    </row>
    <row r="23" spans="1:10">
      <c r="A23" s="426" t="s">
        <v>13</v>
      </c>
      <c r="B23" s="284">
        <f>電輔車!E23</f>
        <v>52</v>
      </c>
      <c r="C23" s="534">
        <v>0</v>
      </c>
      <c r="D23" s="470">
        <v>0</v>
      </c>
      <c r="E23" s="284">
        <f>電輔車!G23</f>
        <v>62350</v>
      </c>
      <c r="F23" s="535">
        <v>0</v>
      </c>
      <c r="G23" s="469">
        <v>0</v>
      </c>
      <c r="H23" s="85">
        <f t="shared" si="7"/>
        <v>1199.0384615384614</v>
      </c>
      <c r="I23" s="86">
        <f t="shared" si="8"/>
        <v>0</v>
      </c>
      <c r="J23" s="471">
        <f t="shared" si="0"/>
        <v>0</v>
      </c>
    </row>
    <row r="24" spans="1:10">
      <c r="A24" s="426" t="s">
        <v>14</v>
      </c>
      <c r="B24" s="284">
        <f>電輔車!E24</f>
        <v>0</v>
      </c>
      <c r="C24" s="534">
        <v>0</v>
      </c>
      <c r="D24" s="470">
        <v>0</v>
      </c>
      <c r="E24" s="284">
        <f>電輔車!G24</f>
        <v>0</v>
      </c>
      <c r="F24" s="535">
        <v>0</v>
      </c>
      <c r="G24" s="469">
        <v>0</v>
      </c>
      <c r="H24" s="85">
        <f t="shared" si="7"/>
        <v>0</v>
      </c>
      <c r="I24" s="86">
        <f t="shared" si="8"/>
        <v>0</v>
      </c>
      <c r="J24" s="471">
        <f t="shared" si="0"/>
        <v>0</v>
      </c>
    </row>
    <row r="25" spans="1:10">
      <c r="A25" s="426" t="s">
        <v>15</v>
      </c>
      <c r="B25" s="284">
        <f>電輔車!E25</f>
        <v>223</v>
      </c>
      <c r="C25" s="534">
        <v>2970</v>
      </c>
      <c r="D25" s="470">
        <f t="shared" si="1"/>
        <v>-0.92491582491582491</v>
      </c>
      <c r="E25" s="284">
        <f>電輔車!G25</f>
        <v>518810</v>
      </c>
      <c r="F25" s="535">
        <v>6027913</v>
      </c>
      <c r="G25" s="469">
        <f t="shared" si="2"/>
        <v>-0.91393206902621194</v>
      </c>
      <c r="H25" s="85">
        <f t="shared" si="7"/>
        <v>2326.5022421524664</v>
      </c>
      <c r="I25" s="86">
        <f t="shared" si="8"/>
        <v>2029.6003367003368</v>
      </c>
      <c r="J25" s="471">
        <f t="shared" si="0"/>
        <v>0.14628589682578774</v>
      </c>
    </row>
    <row r="26" spans="1:10">
      <c r="A26" s="425" t="s">
        <v>253</v>
      </c>
      <c r="B26" s="284">
        <f>電輔車!E26</f>
        <v>2580</v>
      </c>
      <c r="C26" s="534">
        <v>6168</v>
      </c>
      <c r="D26" s="470">
        <f t="shared" si="1"/>
        <v>-0.58171206225680938</v>
      </c>
      <c r="E26" s="284">
        <f>電輔車!G26</f>
        <v>1038824</v>
      </c>
      <c r="F26" s="535">
        <v>2922164</v>
      </c>
      <c r="G26" s="469">
        <f t="shared" si="2"/>
        <v>-0.64450181440877374</v>
      </c>
      <c r="H26" s="85">
        <f t="shared" si="7"/>
        <v>402.64496124031007</v>
      </c>
      <c r="I26" s="86">
        <f t="shared" si="8"/>
        <v>473.76199740596627</v>
      </c>
      <c r="J26" s="471">
        <f t="shared" si="0"/>
        <v>-0.15011131444702194</v>
      </c>
    </row>
    <row r="27" spans="1:10">
      <c r="A27" s="425" t="s">
        <v>255</v>
      </c>
      <c r="B27" s="284">
        <f>電輔車!E27</f>
        <v>405</v>
      </c>
      <c r="C27" s="534">
        <v>1342</v>
      </c>
      <c r="D27" s="470">
        <f t="shared" si="1"/>
        <v>-0.69821162444113261</v>
      </c>
      <c r="E27" s="284">
        <f>電輔車!G27</f>
        <v>601583</v>
      </c>
      <c r="F27" s="535">
        <v>1673351</v>
      </c>
      <c r="G27" s="469">
        <f t="shared" si="2"/>
        <v>-0.6404920426138927</v>
      </c>
      <c r="H27" s="85">
        <f t="shared" si="7"/>
        <v>1485.3901234567902</v>
      </c>
      <c r="I27" s="86">
        <f t="shared" si="8"/>
        <v>1246.9083457526081</v>
      </c>
      <c r="J27" s="471">
        <f t="shared" si="0"/>
        <v>0.1912584662028543</v>
      </c>
    </row>
    <row r="28" spans="1:10">
      <c r="A28" s="426" t="s">
        <v>256</v>
      </c>
      <c r="B28" s="284">
        <f>電輔車!E28</f>
        <v>710</v>
      </c>
      <c r="C28" s="534">
        <v>2695</v>
      </c>
      <c r="D28" s="470">
        <f t="shared" si="1"/>
        <v>-0.73654916512059365</v>
      </c>
      <c r="E28" s="284">
        <f>電輔車!G28</f>
        <v>1424561</v>
      </c>
      <c r="F28" s="535">
        <v>5151918</v>
      </c>
      <c r="G28" s="469">
        <f t="shared" si="2"/>
        <v>-0.72348919373328535</v>
      </c>
      <c r="H28" s="85">
        <f t="shared" si="7"/>
        <v>2006.4239436619719</v>
      </c>
      <c r="I28" s="86">
        <f t="shared" si="8"/>
        <v>1911.6578849721707</v>
      </c>
      <c r="J28" s="471">
        <f t="shared" si="0"/>
        <v>4.9572708294078865E-2</v>
      </c>
    </row>
    <row r="29" spans="1:10">
      <c r="A29" s="436" t="s">
        <v>257</v>
      </c>
      <c r="B29" s="284">
        <f>電輔車!E29</f>
        <v>1444</v>
      </c>
      <c r="C29" s="534">
        <v>7206</v>
      </c>
      <c r="D29" s="470">
        <f t="shared" si="1"/>
        <v>-0.79961143491534836</v>
      </c>
      <c r="E29" s="284">
        <f>電輔車!G29</f>
        <v>1391907</v>
      </c>
      <c r="F29" s="535">
        <v>4292274</v>
      </c>
      <c r="G29" s="469">
        <f t="shared" si="2"/>
        <v>-0.67571804595885543</v>
      </c>
      <c r="H29" s="85">
        <f t="shared" si="7"/>
        <v>963.92451523545708</v>
      </c>
      <c r="I29" s="86">
        <f t="shared" si="8"/>
        <v>595.65278934221487</v>
      </c>
      <c r="J29" s="471">
        <f t="shared" si="0"/>
        <v>0.61826576234105812</v>
      </c>
    </row>
    <row r="30" spans="1:10">
      <c r="A30" s="436" t="s">
        <v>258</v>
      </c>
      <c r="B30" s="284">
        <f>電輔車!E30</f>
        <v>195</v>
      </c>
      <c r="C30" s="534">
        <v>236</v>
      </c>
      <c r="D30" s="470">
        <f t="shared" si="1"/>
        <v>-0.17372881355932204</v>
      </c>
      <c r="E30" s="284">
        <f>電輔車!G30</f>
        <v>379576</v>
      </c>
      <c r="F30" s="535">
        <v>404514</v>
      </c>
      <c r="G30" s="469">
        <f t="shared" si="2"/>
        <v>-6.1649287787320095E-2</v>
      </c>
      <c r="H30" s="85">
        <f t="shared" si="7"/>
        <v>1946.5435897435898</v>
      </c>
      <c r="I30" s="86">
        <f t="shared" si="8"/>
        <v>1714.042372881356</v>
      </c>
      <c r="J30" s="471">
        <f t="shared" si="0"/>
        <v>0.13564496452406391</v>
      </c>
    </row>
    <row r="31" spans="1:10">
      <c r="A31" s="436" t="s">
        <v>259</v>
      </c>
      <c r="B31" s="284">
        <f>電輔車!E31</f>
        <v>0</v>
      </c>
      <c r="C31" s="534">
        <v>0</v>
      </c>
      <c r="D31" s="470">
        <v>0</v>
      </c>
      <c r="E31" s="284">
        <f>電輔車!G31</f>
        <v>0</v>
      </c>
      <c r="F31" s="535">
        <v>0</v>
      </c>
      <c r="G31" s="469">
        <v>0</v>
      </c>
      <c r="H31" s="85">
        <f t="shared" si="7"/>
        <v>0</v>
      </c>
      <c r="I31" s="86">
        <f t="shared" si="8"/>
        <v>0</v>
      </c>
      <c r="J31" s="471">
        <f t="shared" si="0"/>
        <v>0</v>
      </c>
    </row>
    <row r="32" spans="1:10">
      <c r="A32" s="436" t="s">
        <v>261</v>
      </c>
      <c r="B32" s="284">
        <f>電輔車!E32</f>
        <v>0</v>
      </c>
      <c r="C32" s="534">
        <v>43</v>
      </c>
      <c r="D32" s="470">
        <f t="shared" si="1"/>
        <v>-1</v>
      </c>
      <c r="E32" s="284">
        <f>電輔車!G32</f>
        <v>0</v>
      </c>
      <c r="F32" s="535">
        <v>29418</v>
      </c>
      <c r="G32" s="469">
        <f t="shared" si="2"/>
        <v>-1</v>
      </c>
      <c r="H32" s="85">
        <f t="shared" si="7"/>
        <v>0</v>
      </c>
      <c r="I32" s="86">
        <f t="shared" si="8"/>
        <v>684.1395348837209</v>
      </c>
      <c r="J32" s="471">
        <f t="shared" si="0"/>
        <v>-1</v>
      </c>
    </row>
    <row r="33" spans="1:10">
      <c r="A33" s="436" t="s">
        <v>263</v>
      </c>
      <c r="B33" s="284">
        <f>電輔車!E33</f>
        <v>0</v>
      </c>
      <c r="C33" s="534">
        <v>0</v>
      </c>
      <c r="D33" s="470">
        <v>0</v>
      </c>
      <c r="E33" s="284">
        <f>電輔車!G33</f>
        <v>0</v>
      </c>
      <c r="F33" s="535">
        <v>0</v>
      </c>
      <c r="G33" s="469">
        <v>0</v>
      </c>
      <c r="H33" s="85">
        <f t="shared" si="7"/>
        <v>0</v>
      </c>
      <c r="I33" s="86">
        <f t="shared" si="8"/>
        <v>0</v>
      </c>
      <c r="J33" s="471">
        <f t="shared" si="0"/>
        <v>0</v>
      </c>
    </row>
    <row r="34" spans="1:10">
      <c r="A34" s="436" t="s">
        <v>264</v>
      </c>
      <c r="B34" s="284">
        <f>電輔車!E34</f>
        <v>0</v>
      </c>
      <c r="C34" s="534">
        <v>0</v>
      </c>
      <c r="D34" s="470">
        <v>0</v>
      </c>
      <c r="E34" s="284">
        <f>電輔車!G34</f>
        <v>0</v>
      </c>
      <c r="F34" s="535">
        <v>0</v>
      </c>
      <c r="G34" s="469">
        <v>0</v>
      </c>
      <c r="H34" s="85">
        <f t="shared" ref="H34:H63" si="9">IF(B34,E34/B34,0)</f>
        <v>0</v>
      </c>
      <c r="I34" s="86">
        <f t="shared" ref="I34:I63" si="10">IF(C34,F34/C34,0)</f>
        <v>0</v>
      </c>
      <c r="J34" s="471">
        <f t="shared" si="0"/>
        <v>0</v>
      </c>
    </row>
    <row r="35" spans="1:10">
      <c r="A35" s="437" t="s">
        <v>382</v>
      </c>
      <c r="B35" s="284">
        <f>電輔車!E35</f>
        <v>0</v>
      </c>
      <c r="C35" s="534">
        <v>0</v>
      </c>
      <c r="D35" s="470">
        <v>0</v>
      </c>
      <c r="E35" s="284">
        <f>電輔車!G35</f>
        <v>0</v>
      </c>
      <c r="F35" s="535">
        <v>0</v>
      </c>
      <c r="G35" s="469">
        <v>0</v>
      </c>
      <c r="H35" s="85">
        <f t="shared" si="9"/>
        <v>0</v>
      </c>
      <c r="I35" s="86">
        <f t="shared" si="10"/>
        <v>0</v>
      </c>
      <c r="J35" s="471">
        <f t="shared" si="0"/>
        <v>0</v>
      </c>
    </row>
    <row r="36" spans="1:10">
      <c r="A36" s="436" t="s">
        <v>267</v>
      </c>
      <c r="B36" s="284">
        <f>電輔車!E36</f>
        <v>0</v>
      </c>
      <c r="C36" s="534">
        <v>0</v>
      </c>
      <c r="D36" s="470">
        <v>0</v>
      </c>
      <c r="E36" s="284">
        <f>電輔車!G36</f>
        <v>0</v>
      </c>
      <c r="F36" s="535">
        <v>0</v>
      </c>
      <c r="G36" s="469">
        <v>0</v>
      </c>
      <c r="H36" s="85">
        <f t="shared" si="9"/>
        <v>0</v>
      </c>
      <c r="I36" s="86">
        <f t="shared" si="10"/>
        <v>0</v>
      </c>
      <c r="J36" s="471">
        <f t="shared" si="0"/>
        <v>0</v>
      </c>
    </row>
    <row r="37" spans="1:10">
      <c r="A37" s="436" t="s">
        <v>383</v>
      </c>
      <c r="B37" s="284">
        <f>電輔車!E37</f>
        <v>0</v>
      </c>
      <c r="C37" s="534">
        <v>0</v>
      </c>
      <c r="D37" s="470">
        <v>0</v>
      </c>
      <c r="E37" s="284">
        <f>電輔車!G37</f>
        <v>0</v>
      </c>
      <c r="F37" s="535">
        <v>0</v>
      </c>
      <c r="G37" s="469">
        <v>0</v>
      </c>
      <c r="H37" s="85">
        <f t="shared" si="9"/>
        <v>0</v>
      </c>
      <c r="I37" s="86">
        <f t="shared" si="10"/>
        <v>0</v>
      </c>
      <c r="J37" s="471">
        <f t="shared" si="0"/>
        <v>0</v>
      </c>
    </row>
    <row r="38" spans="1:10">
      <c r="A38" s="436" t="s">
        <v>269</v>
      </c>
      <c r="B38" s="284">
        <f>電輔車!E38</f>
        <v>0</v>
      </c>
      <c r="C38" s="534">
        <v>0</v>
      </c>
      <c r="D38" s="470">
        <v>0</v>
      </c>
      <c r="E38" s="284">
        <f>電輔車!G38</f>
        <v>0</v>
      </c>
      <c r="F38" s="535">
        <v>0</v>
      </c>
      <c r="G38" s="469">
        <v>0</v>
      </c>
      <c r="H38" s="85">
        <f t="shared" si="9"/>
        <v>0</v>
      </c>
      <c r="I38" s="86">
        <f t="shared" si="10"/>
        <v>0</v>
      </c>
      <c r="J38" s="471">
        <f t="shared" si="0"/>
        <v>0</v>
      </c>
    </row>
    <row r="39" spans="1:10">
      <c r="A39" s="436" t="s">
        <v>270</v>
      </c>
      <c r="B39" s="284">
        <f>電輔車!E39</f>
        <v>7160</v>
      </c>
      <c r="C39" s="534">
        <v>0</v>
      </c>
      <c r="D39" s="470">
        <v>0</v>
      </c>
      <c r="E39" s="284">
        <f>電輔車!G39</f>
        <v>14138506</v>
      </c>
      <c r="F39" s="535">
        <v>0</v>
      </c>
      <c r="G39" s="469">
        <v>0</v>
      </c>
      <c r="H39" s="85">
        <f t="shared" si="9"/>
        <v>1974.6516759776537</v>
      </c>
      <c r="I39" s="86">
        <f t="shared" si="10"/>
        <v>0</v>
      </c>
      <c r="J39" s="471">
        <f t="shared" si="0"/>
        <v>0</v>
      </c>
    </row>
    <row r="40" spans="1:10">
      <c r="A40" s="426" t="s">
        <v>271</v>
      </c>
      <c r="B40" s="284">
        <f>電輔車!E40</f>
        <v>0</v>
      </c>
      <c r="C40" s="534">
        <v>0</v>
      </c>
      <c r="D40" s="470">
        <v>0</v>
      </c>
      <c r="E40" s="284">
        <f>電輔車!G40</f>
        <v>0</v>
      </c>
      <c r="F40" s="535">
        <v>0</v>
      </c>
      <c r="G40" s="469">
        <v>0</v>
      </c>
      <c r="H40" s="85">
        <f t="shared" si="9"/>
        <v>0</v>
      </c>
      <c r="I40" s="86">
        <f t="shared" si="10"/>
        <v>0</v>
      </c>
      <c r="J40" s="471">
        <f t="shared" si="0"/>
        <v>0</v>
      </c>
    </row>
    <row r="41" spans="1:10">
      <c r="A41" s="282"/>
      <c r="B41" s="284"/>
      <c r="C41" s="539"/>
      <c r="D41" s="470"/>
      <c r="E41" s="284"/>
      <c r="F41" s="535"/>
      <c r="G41" s="469"/>
      <c r="H41" s="85"/>
      <c r="I41" s="86"/>
      <c r="J41" s="471"/>
    </row>
    <row r="42" spans="1:10">
      <c r="A42" s="288" t="s">
        <v>19</v>
      </c>
      <c r="B42" s="287">
        <f>SUM(B43:B46)</f>
        <v>11511</v>
      </c>
      <c r="C42" s="539">
        <v>13758</v>
      </c>
      <c r="D42" s="470">
        <f t="shared" si="1"/>
        <v>-0.1633231574356738</v>
      </c>
      <c r="E42" s="287">
        <f>SUM(E43:E46)</f>
        <v>24912386</v>
      </c>
      <c r="F42" s="535">
        <v>24243115</v>
      </c>
      <c r="G42" s="469">
        <f t="shared" si="2"/>
        <v>2.7606642133240714E-2</v>
      </c>
      <c r="H42" s="85">
        <f t="shared" si="9"/>
        <v>2164.2243071844323</v>
      </c>
      <c r="I42" s="86">
        <f t="shared" si="10"/>
        <v>1762.110408489606</v>
      </c>
      <c r="J42" s="471">
        <f t="shared" si="0"/>
        <v>0.22820017222388378</v>
      </c>
    </row>
    <row r="43" spans="1:10">
      <c r="A43" s="282" t="s">
        <v>180</v>
      </c>
      <c r="B43" s="284">
        <f>電輔車!E43</f>
        <v>7427</v>
      </c>
      <c r="C43" s="534">
        <v>8797</v>
      </c>
      <c r="D43" s="470">
        <f t="shared" si="1"/>
        <v>-0.15573490962828238</v>
      </c>
      <c r="E43" s="284">
        <f>電輔車!G43</f>
        <v>17597740</v>
      </c>
      <c r="F43" s="535">
        <v>16114882</v>
      </c>
      <c r="G43" s="469">
        <f t="shared" si="2"/>
        <v>9.2017924797711828E-2</v>
      </c>
      <c r="H43" s="85">
        <f t="shared" si="9"/>
        <v>2369.4277635653698</v>
      </c>
      <c r="I43" s="86">
        <f t="shared" si="10"/>
        <v>1831.8610890076163</v>
      </c>
      <c r="J43" s="471">
        <f t="shared" si="0"/>
        <v>0.29345384198808017</v>
      </c>
    </row>
    <row r="44" spans="1:10">
      <c r="A44" s="282" t="s">
        <v>273</v>
      </c>
      <c r="B44" s="284">
        <f>電輔車!E44</f>
        <v>4039</v>
      </c>
      <c r="C44" s="534">
        <v>4926</v>
      </c>
      <c r="D44" s="470">
        <f t="shared" si="1"/>
        <v>-0.18006496142915143</v>
      </c>
      <c r="E44" s="284">
        <f>電輔車!G44</f>
        <v>7204796</v>
      </c>
      <c r="F44" s="535">
        <v>8059520</v>
      </c>
      <c r="G44" s="469">
        <f t="shared" si="2"/>
        <v>-0.10605147701103788</v>
      </c>
      <c r="H44" s="85">
        <f t="shared" si="9"/>
        <v>1783.8068828918049</v>
      </c>
      <c r="I44" s="86">
        <f t="shared" si="10"/>
        <v>1636.1185546082013</v>
      </c>
      <c r="J44" s="471">
        <f t="shared" si="0"/>
        <v>9.0267497955837495E-2</v>
      </c>
    </row>
    <row r="45" spans="1:10">
      <c r="A45" s="282" t="s">
        <v>274</v>
      </c>
      <c r="B45" s="284">
        <f>電輔車!E45</f>
        <v>45</v>
      </c>
      <c r="C45" s="534">
        <v>35</v>
      </c>
      <c r="D45" s="470">
        <f t="shared" si="1"/>
        <v>0.2857142857142857</v>
      </c>
      <c r="E45" s="284">
        <f>電輔車!G45</f>
        <v>109850</v>
      </c>
      <c r="F45" s="535">
        <v>68713</v>
      </c>
      <c r="G45" s="469">
        <f t="shared" si="2"/>
        <v>0.59867856155312682</v>
      </c>
      <c r="H45" s="85">
        <f t="shared" si="9"/>
        <v>2441.1111111111113</v>
      </c>
      <c r="I45" s="86">
        <f t="shared" si="10"/>
        <v>1963.2285714285715</v>
      </c>
      <c r="J45" s="471">
        <f t="shared" si="0"/>
        <v>0.24341665898576531</v>
      </c>
    </row>
    <row r="46" spans="1:10">
      <c r="A46" s="285" t="s">
        <v>20</v>
      </c>
      <c r="B46" s="284">
        <f>電輔車!E46</f>
        <v>0</v>
      </c>
      <c r="C46" s="534">
        <v>0</v>
      </c>
      <c r="D46" s="470">
        <f t="shared" si="1"/>
        <v>0</v>
      </c>
      <c r="E46" s="284">
        <f>電輔車!G46</f>
        <v>0</v>
      </c>
      <c r="F46" s="535">
        <v>0</v>
      </c>
      <c r="G46" s="469">
        <f t="shared" si="2"/>
        <v>0</v>
      </c>
      <c r="H46" s="85">
        <f t="shared" si="9"/>
        <v>0</v>
      </c>
      <c r="I46" s="86">
        <f t="shared" si="10"/>
        <v>0</v>
      </c>
      <c r="J46" s="471">
        <f t="shared" si="0"/>
        <v>0</v>
      </c>
    </row>
    <row r="47" spans="1:10">
      <c r="A47" s="285"/>
      <c r="B47" s="284"/>
      <c r="C47" s="539"/>
      <c r="D47" s="470"/>
      <c r="E47" s="284"/>
      <c r="F47" s="535"/>
      <c r="G47" s="469"/>
      <c r="H47" s="85"/>
      <c r="I47" s="86"/>
      <c r="J47" s="471"/>
    </row>
    <row r="48" spans="1:10">
      <c r="A48" s="288" t="s">
        <v>21</v>
      </c>
      <c r="B48" s="287">
        <f>SUM(B49:B62)</f>
        <v>31449</v>
      </c>
      <c r="C48" s="539">
        <v>78462</v>
      </c>
      <c r="D48" s="470">
        <f t="shared" si="1"/>
        <v>-0.59918176951900282</v>
      </c>
      <c r="E48" s="287">
        <f>SUM(E49:E62)</f>
        <v>58047407</v>
      </c>
      <c r="F48" s="535">
        <v>137903754</v>
      </c>
      <c r="G48" s="469">
        <f t="shared" si="2"/>
        <v>-0.57907304684396044</v>
      </c>
      <c r="H48" s="85">
        <f t="shared" si="9"/>
        <v>1845.7632039174537</v>
      </c>
      <c r="I48" s="86">
        <f t="shared" si="10"/>
        <v>1757.5865259616121</v>
      </c>
      <c r="J48" s="471">
        <f t="shared" si="0"/>
        <v>5.0169181803210672E-2</v>
      </c>
    </row>
    <row r="49" spans="1:10">
      <c r="A49" s="288" t="s">
        <v>159</v>
      </c>
      <c r="B49" s="284">
        <f>電輔車!E49</f>
        <v>16237</v>
      </c>
      <c r="C49" s="534">
        <v>41271</v>
      </c>
      <c r="D49" s="470">
        <f t="shared" si="1"/>
        <v>-0.60657604613408933</v>
      </c>
      <c r="E49" s="284">
        <f>電輔車!G49</f>
        <v>25810119</v>
      </c>
      <c r="F49" s="535">
        <v>59218668</v>
      </c>
      <c r="G49" s="469">
        <f t="shared" si="2"/>
        <v>-0.56415569833485613</v>
      </c>
      <c r="H49" s="85">
        <f t="shared" si="9"/>
        <v>1589.5866847324014</v>
      </c>
      <c r="I49" s="86">
        <f>IF(C49,F49/C49,0)</f>
        <v>1434.8735916260812</v>
      </c>
      <c r="J49" s="471">
        <f t="shared" si="0"/>
        <v>0.10782350027850918</v>
      </c>
    </row>
    <row r="50" spans="1:10">
      <c r="A50" s="425" t="s">
        <v>384</v>
      </c>
      <c r="B50" s="284">
        <f>電輔車!E50</f>
        <v>2752</v>
      </c>
      <c r="C50" s="534">
        <v>7564</v>
      </c>
      <c r="D50" s="470">
        <f t="shared" si="1"/>
        <v>-0.63617133791644631</v>
      </c>
      <c r="E50" s="284">
        <f>電輔車!G50</f>
        <v>3310178</v>
      </c>
      <c r="F50" s="535">
        <v>8774465</v>
      </c>
      <c r="G50" s="469">
        <f t="shared" si="2"/>
        <v>-0.62274873738740766</v>
      </c>
      <c r="H50" s="85">
        <f t="shared" si="9"/>
        <v>1202.8263081395348</v>
      </c>
      <c r="I50" s="86">
        <f t="shared" si="10"/>
        <v>1160.0297461660498</v>
      </c>
      <c r="J50" s="471">
        <f t="shared" si="0"/>
        <v>3.6892641861063988E-2</v>
      </c>
    </row>
    <row r="51" spans="1:10">
      <c r="A51" s="425" t="s">
        <v>385</v>
      </c>
      <c r="B51" s="284">
        <f>電輔車!E51</f>
        <v>0</v>
      </c>
      <c r="C51" s="534">
        <v>304</v>
      </c>
      <c r="D51" s="470">
        <f t="shared" si="1"/>
        <v>-1</v>
      </c>
      <c r="E51" s="284">
        <f>電輔車!G51</f>
        <v>0</v>
      </c>
      <c r="F51" s="535">
        <v>342593</v>
      </c>
      <c r="G51" s="469">
        <f t="shared" si="2"/>
        <v>-1</v>
      </c>
      <c r="H51" s="85">
        <f t="shared" si="9"/>
        <v>0</v>
      </c>
      <c r="I51" s="86">
        <f t="shared" si="10"/>
        <v>1126.9506578947369</v>
      </c>
      <c r="J51" s="471">
        <f t="shared" si="0"/>
        <v>-1</v>
      </c>
    </row>
    <row r="52" spans="1:10">
      <c r="A52" s="425" t="s">
        <v>297</v>
      </c>
      <c r="B52" s="284">
        <f>電輔車!E52</f>
        <v>30</v>
      </c>
      <c r="C52" s="534">
        <v>482</v>
      </c>
      <c r="D52" s="470">
        <f t="shared" si="1"/>
        <v>-0.93775933609958506</v>
      </c>
      <c r="E52" s="284">
        <f>電輔車!G52</f>
        <v>66933</v>
      </c>
      <c r="F52" s="535">
        <v>1300542</v>
      </c>
      <c r="G52" s="469">
        <f t="shared" si="2"/>
        <v>-0.94853453406349042</v>
      </c>
      <c r="H52" s="85">
        <f t="shared" si="9"/>
        <v>2231.1</v>
      </c>
      <c r="I52" s="86">
        <f t="shared" si="10"/>
        <v>2698.2199170124481</v>
      </c>
      <c r="J52" s="471">
        <f t="shared" si="0"/>
        <v>-0.1731215139534133</v>
      </c>
    </row>
    <row r="53" spans="1:10">
      <c r="A53" s="426" t="s">
        <v>22</v>
      </c>
      <c r="B53" s="284">
        <f>電輔車!E53</f>
        <v>10</v>
      </c>
      <c r="C53" s="534">
        <v>31</v>
      </c>
      <c r="D53" s="470">
        <f t="shared" si="1"/>
        <v>-0.67741935483870963</v>
      </c>
      <c r="E53" s="284">
        <f>電輔車!G53</f>
        <v>26511</v>
      </c>
      <c r="F53" s="535">
        <v>89805</v>
      </c>
      <c r="G53" s="469">
        <f t="shared" si="2"/>
        <v>-0.70479371972607319</v>
      </c>
      <c r="H53" s="85">
        <f t="shared" si="9"/>
        <v>2651.1</v>
      </c>
      <c r="I53" s="86">
        <f t="shared" si="10"/>
        <v>2896.9354838709678</v>
      </c>
      <c r="J53" s="471">
        <f t="shared" si="0"/>
        <v>-8.486053115082684E-2</v>
      </c>
    </row>
    <row r="54" spans="1:10">
      <c r="A54" s="425" t="s">
        <v>303</v>
      </c>
      <c r="B54" s="284">
        <f>電輔車!E54</f>
        <v>121</v>
      </c>
      <c r="C54" s="534">
        <v>876</v>
      </c>
      <c r="D54" s="470">
        <f t="shared" si="1"/>
        <v>-0.86187214611872143</v>
      </c>
      <c r="E54" s="284">
        <f>電輔車!G54</f>
        <v>324924</v>
      </c>
      <c r="F54" s="535">
        <v>2337782</v>
      </c>
      <c r="G54" s="469">
        <f t="shared" si="2"/>
        <v>-0.86101184798240382</v>
      </c>
      <c r="H54" s="85">
        <f t="shared" si="9"/>
        <v>2685.3223140495866</v>
      </c>
      <c r="I54" s="86">
        <f t="shared" si="10"/>
        <v>2668.7009132420089</v>
      </c>
      <c r="J54" s="471">
        <f t="shared" si="0"/>
        <v>6.2282741108614934E-3</v>
      </c>
    </row>
    <row r="55" spans="1:10">
      <c r="A55" s="426" t="s">
        <v>386</v>
      </c>
      <c r="B55" s="284">
        <f>電輔車!E55</f>
        <v>4828</v>
      </c>
      <c r="C55" s="534">
        <v>12193</v>
      </c>
      <c r="D55" s="470">
        <f t="shared" si="1"/>
        <v>-0.60403510210776679</v>
      </c>
      <c r="E55" s="284">
        <f>電輔車!G55</f>
        <v>10825233</v>
      </c>
      <c r="F55" s="535">
        <v>28333262</v>
      </c>
      <c r="G55" s="469">
        <f t="shared" si="2"/>
        <v>-0.61793199102877738</v>
      </c>
      <c r="H55" s="85">
        <f t="shared" si="9"/>
        <v>2242.1775062137531</v>
      </c>
      <c r="I55" s="86">
        <f t="shared" si="10"/>
        <v>2323.7318133355202</v>
      </c>
      <c r="J55" s="471">
        <f t="shared" si="0"/>
        <v>-3.5096264833032874E-2</v>
      </c>
    </row>
    <row r="56" spans="1:10">
      <c r="A56" s="426" t="s">
        <v>23</v>
      </c>
      <c r="B56" s="284">
        <f>電輔車!E56</f>
        <v>349</v>
      </c>
      <c r="C56" s="534">
        <v>237</v>
      </c>
      <c r="D56" s="470">
        <f t="shared" si="1"/>
        <v>0.47257383966244726</v>
      </c>
      <c r="E56" s="284">
        <f>電輔車!G56</f>
        <v>965629</v>
      </c>
      <c r="F56" s="535">
        <v>711547</v>
      </c>
      <c r="G56" s="469">
        <f t="shared" si="2"/>
        <v>0.35708393120904169</v>
      </c>
      <c r="H56" s="85">
        <f t="shared" si="9"/>
        <v>2766.8452722063039</v>
      </c>
      <c r="I56" s="86">
        <f t="shared" si="10"/>
        <v>3002.3080168776373</v>
      </c>
      <c r="J56" s="471">
        <f t="shared" si="0"/>
        <v>-7.8427244422513226E-2</v>
      </c>
    </row>
    <row r="57" spans="1:10">
      <c r="A57" s="426" t="s">
        <v>239</v>
      </c>
      <c r="B57" s="284">
        <f>電輔車!E57</f>
        <v>172</v>
      </c>
      <c r="C57" s="534">
        <v>262</v>
      </c>
      <c r="D57" s="470">
        <f t="shared" si="1"/>
        <v>-0.34351145038167941</v>
      </c>
      <c r="E57" s="284">
        <f>電輔車!G57</f>
        <v>518624</v>
      </c>
      <c r="F57" s="535">
        <v>425120</v>
      </c>
      <c r="G57" s="469">
        <f t="shared" si="2"/>
        <v>0.21994730899510725</v>
      </c>
      <c r="H57" s="85">
        <f t="shared" si="9"/>
        <v>3015.2558139534885</v>
      </c>
      <c r="I57" s="86">
        <f t="shared" si="10"/>
        <v>1622.5954198473282</v>
      </c>
      <c r="J57" s="471">
        <f t="shared" si="0"/>
        <v>0.85829183114370999</v>
      </c>
    </row>
    <row r="58" spans="1:10">
      <c r="A58" s="426" t="s">
        <v>232</v>
      </c>
      <c r="B58" s="284">
        <f>電輔車!E58</f>
        <v>3235</v>
      </c>
      <c r="C58" s="534">
        <v>2168</v>
      </c>
      <c r="D58" s="470">
        <f t="shared" si="1"/>
        <v>0.49215867158671589</v>
      </c>
      <c r="E58" s="284">
        <f>電輔車!G58</f>
        <v>6908733</v>
      </c>
      <c r="F58" s="535">
        <v>4913554</v>
      </c>
      <c r="G58" s="469">
        <f t="shared" si="2"/>
        <v>0.40605618662174059</v>
      </c>
      <c r="H58" s="85">
        <f t="shared" si="9"/>
        <v>2135.6207109737247</v>
      </c>
      <c r="I58" s="86">
        <f t="shared" si="10"/>
        <v>2266.3994464944649</v>
      </c>
      <c r="J58" s="471">
        <f t="shared" si="0"/>
        <v>-5.770330367977327E-2</v>
      </c>
    </row>
    <row r="59" spans="1:10">
      <c r="A59" s="426" t="s">
        <v>277</v>
      </c>
      <c r="B59" s="284">
        <f>電輔車!E59</f>
        <v>0</v>
      </c>
      <c r="C59" s="534">
        <v>88</v>
      </c>
      <c r="D59" s="470">
        <f t="shared" si="1"/>
        <v>-1</v>
      </c>
      <c r="E59" s="284">
        <f>電輔車!G59</f>
        <v>0</v>
      </c>
      <c r="F59" s="535">
        <v>129938</v>
      </c>
      <c r="G59" s="469">
        <f t="shared" si="2"/>
        <v>-1</v>
      </c>
      <c r="H59" s="85">
        <f t="shared" si="9"/>
        <v>0</v>
      </c>
      <c r="I59" s="86">
        <f t="shared" si="10"/>
        <v>1476.5681818181818</v>
      </c>
      <c r="J59" s="471">
        <f t="shared" si="0"/>
        <v>-1</v>
      </c>
    </row>
    <row r="60" spans="1:10">
      <c r="A60" s="426" t="s">
        <v>282</v>
      </c>
      <c r="B60" s="284">
        <f>電輔車!E60</f>
        <v>0</v>
      </c>
      <c r="C60" s="534">
        <v>0</v>
      </c>
      <c r="D60" s="470">
        <f t="shared" si="1"/>
        <v>0</v>
      </c>
      <c r="E60" s="284">
        <f>電輔車!G60</f>
        <v>0</v>
      </c>
      <c r="F60" s="535">
        <v>0</v>
      </c>
      <c r="G60" s="469">
        <f t="shared" si="2"/>
        <v>0</v>
      </c>
      <c r="H60" s="85">
        <f t="shared" si="9"/>
        <v>0</v>
      </c>
      <c r="I60" s="86">
        <f t="shared" si="10"/>
        <v>0</v>
      </c>
      <c r="J60" s="471">
        <f t="shared" si="0"/>
        <v>0</v>
      </c>
    </row>
    <row r="61" spans="1:10">
      <c r="A61" s="426" t="s">
        <v>288</v>
      </c>
      <c r="B61" s="284">
        <f>電輔車!E61</f>
        <v>2364</v>
      </c>
      <c r="C61" s="534">
        <v>10249</v>
      </c>
      <c r="D61" s="470">
        <f t="shared" si="1"/>
        <v>-0.7693433505707874</v>
      </c>
      <c r="E61" s="284">
        <f>電輔車!G61</f>
        <v>5837947</v>
      </c>
      <c r="F61" s="535">
        <v>24084863</v>
      </c>
      <c r="G61" s="469">
        <f t="shared" si="2"/>
        <v>-0.75760929177799352</v>
      </c>
      <c r="H61" s="85">
        <f t="shared" si="9"/>
        <v>2469.5207275803723</v>
      </c>
      <c r="I61" s="86">
        <f t="shared" si="10"/>
        <v>2349.9719972680264</v>
      </c>
      <c r="J61" s="471">
        <f t="shared" si="0"/>
        <v>5.0872406331363945E-2</v>
      </c>
    </row>
    <row r="62" spans="1:10">
      <c r="A62" s="426" t="s">
        <v>336</v>
      </c>
      <c r="B62" s="284">
        <f>電輔車!E62</f>
        <v>1351</v>
      </c>
      <c r="C62" s="534">
        <v>2737</v>
      </c>
      <c r="D62" s="470">
        <f t="shared" si="1"/>
        <v>-0.50639386189258317</v>
      </c>
      <c r="E62" s="284">
        <f>電輔車!G62</f>
        <v>3452576</v>
      </c>
      <c r="F62" s="535">
        <v>7241615</v>
      </c>
      <c r="G62" s="469">
        <f t="shared" si="2"/>
        <v>-0.52323121292695074</v>
      </c>
      <c r="H62" s="85">
        <f t="shared" si="9"/>
        <v>2555.5706883789785</v>
      </c>
      <c r="I62" s="86">
        <f t="shared" si="10"/>
        <v>2645.8220679576179</v>
      </c>
      <c r="J62" s="471">
        <f t="shared" si="0"/>
        <v>-3.4110902872734349E-2</v>
      </c>
    </row>
    <row r="63" spans="1:10">
      <c r="A63" s="285" t="s">
        <v>29</v>
      </c>
      <c r="B63" s="284">
        <f>B64-B48-B42-B13-B8</f>
        <v>2539</v>
      </c>
      <c r="C63" s="535">
        <v>2598</v>
      </c>
      <c r="D63" s="470">
        <f t="shared" si="1"/>
        <v>-2.270977675134719E-2</v>
      </c>
      <c r="E63" s="284">
        <f>E64-E48-E42-E13-E8</f>
        <v>6629524</v>
      </c>
      <c r="F63" s="535">
        <v>7334967</v>
      </c>
      <c r="G63" s="469">
        <f t="shared" si="2"/>
        <v>-9.6175347482817572E-2</v>
      </c>
      <c r="H63" s="85">
        <f t="shared" si="9"/>
        <v>2611.0768018905082</v>
      </c>
      <c r="I63" s="86">
        <f t="shared" si="10"/>
        <v>2823.3129330254042</v>
      </c>
      <c r="J63" s="471">
        <f t="shared" si="0"/>
        <v>-7.5172726569657317E-2</v>
      </c>
    </row>
    <row r="64" spans="1:10">
      <c r="A64" s="286" t="s">
        <v>401</v>
      </c>
      <c r="B64" s="287">
        <f>電輔車!E64</f>
        <v>280954</v>
      </c>
      <c r="C64" s="541">
        <v>581979</v>
      </c>
      <c r="D64" s="470">
        <f t="shared" si="1"/>
        <v>-0.51724374934490769</v>
      </c>
      <c r="E64" s="284">
        <f>電輔車!G64</f>
        <v>520192016</v>
      </c>
      <c r="F64" s="544">
        <v>998742484</v>
      </c>
      <c r="G64" s="469">
        <f t="shared" si="2"/>
        <v>-0.47915301057724907</v>
      </c>
      <c r="H64" s="85">
        <f t="shared" ref="H64" si="11">E64/B64</f>
        <v>1851.5202346291564</v>
      </c>
      <c r="I64" s="86">
        <f t="shared" ref="I64" si="12">F64/C64</f>
        <v>1716.1142996568606</v>
      </c>
      <c r="J64" s="471">
        <f t="shared" si="0"/>
        <v>7.8902631951362726E-2</v>
      </c>
    </row>
    <row r="65" spans="1:7" ht="13.5" customHeight="1">
      <c r="A65" s="289"/>
      <c r="B65" s="290"/>
      <c r="C65" s="291"/>
      <c r="D65" s="292"/>
      <c r="E65" s="290"/>
      <c r="F65" s="291"/>
      <c r="G65" s="292"/>
    </row>
    <row r="66" spans="1:7" ht="13.5" customHeight="1">
      <c r="A66" s="293" t="s">
        <v>470</v>
      </c>
    </row>
  </sheetData>
  <phoneticPr fontId="3" type="noConversion"/>
  <conditionalFormatting sqref="D1:D5">
    <cfRule type="cellIs" dxfId="59" priority="3" operator="greaterThanOrEqual">
      <formula>0</formula>
    </cfRule>
    <cfRule type="cellIs" dxfId="58" priority="4" operator="lessThan">
      <formula>0</formula>
    </cfRule>
  </conditionalFormatting>
  <conditionalFormatting sqref="D7:D1048576">
    <cfRule type="cellIs" dxfId="57" priority="43" operator="greaterThanOrEqual">
      <formula>0</formula>
    </cfRule>
    <cfRule type="cellIs" dxfId="56" priority="44" operator="lessThan">
      <formula>0</formula>
    </cfRule>
  </conditionalFormatting>
  <conditionalFormatting sqref="G1:G5">
    <cfRule type="cellIs" dxfId="55" priority="1" operator="greaterThanOrEqual">
      <formula>0</formula>
    </cfRule>
    <cfRule type="cellIs" dxfId="54" priority="2" operator="lessThan">
      <formula>0</formula>
    </cfRule>
  </conditionalFormatting>
  <conditionalFormatting sqref="G7:G1048576 J7:J1048576">
    <cfRule type="cellIs" dxfId="53" priority="5" operator="greaterThanOrEqual">
      <formula>0</formula>
    </cfRule>
    <cfRule type="cellIs" dxfId="52" priority="6" operator="lessThan">
      <formula>0</formula>
    </cfRule>
  </conditionalFormatting>
  <conditionalFormatting sqref="J1:J4">
    <cfRule type="cellIs" dxfId="51" priority="39" operator="greaterThanOrEqual">
      <formula>0</formula>
    </cfRule>
    <cfRule type="cellIs" dxfId="50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topLeftCell="A58" workbookViewId="0">
      <selection activeCell="G68" sqref="G68"/>
    </sheetView>
  </sheetViews>
  <sheetFormatPr defaultRowHeight="16.5"/>
  <cols>
    <col min="1" max="1" width="18.25" style="5" customWidth="1"/>
    <col min="2" max="2" width="10.5" style="94" bestFit="1" customWidth="1"/>
    <col min="3" max="3" width="14.375" style="5" customWidth="1"/>
    <col min="4" max="4" width="10.5" style="94" bestFit="1" customWidth="1"/>
    <col min="5" max="5" width="11.875" style="5" customWidth="1"/>
    <col min="6" max="6" width="8.875" style="94" customWidth="1"/>
    <col min="7" max="7" width="12.625" style="94" customWidth="1"/>
    <col min="8" max="8" width="9.125" style="5" customWidth="1"/>
    <col min="9" max="9" width="9.5" style="94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7" customFormat="1" ht="19.5">
      <c r="A1" s="176"/>
      <c r="C1" s="178" t="s">
        <v>495</v>
      </c>
    </row>
    <row r="2" spans="1:9" ht="12.75" customHeight="1"/>
    <row r="3" spans="1:9" s="7" customFormat="1" ht="15.75">
      <c r="A3" s="110" t="s">
        <v>152</v>
      </c>
      <c r="B3" s="179"/>
      <c r="C3" s="62"/>
      <c r="D3" s="180"/>
      <c r="E3" s="62"/>
      <c r="F3" s="179"/>
      <c r="G3" s="179"/>
      <c r="H3" s="62"/>
      <c r="I3" s="180"/>
    </row>
    <row r="4" spans="1:9" s="13" customFormat="1">
      <c r="A4" s="8" t="s">
        <v>481</v>
      </c>
      <c r="B4" s="8" t="s">
        <v>482</v>
      </c>
      <c r="C4" s="8" t="s">
        <v>483</v>
      </c>
      <c r="D4" s="9" t="s">
        <v>0</v>
      </c>
      <c r="E4" s="10" t="s">
        <v>484</v>
      </c>
      <c r="F4" s="11" t="s">
        <v>1</v>
      </c>
      <c r="G4" s="8" t="s">
        <v>486</v>
      </c>
      <c r="H4" s="11" t="s">
        <v>1</v>
      </c>
      <c r="I4" s="181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113</v>
      </c>
      <c r="H5" s="8"/>
      <c r="I5" s="182" t="s">
        <v>3</v>
      </c>
    </row>
    <row r="6" spans="1:9" ht="18.600000000000001" customHeight="1">
      <c r="A6" s="169" t="s">
        <v>4</v>
      </c>
      <c r="B6" s="183"/>
      <c r="C6" s="17"/>
      <c r="D6" s="184"/>
      <c r="E6" s="17"/>
      <c r="F6" s="184"/>
      <c r="G6" s="184"/>
      <c r="H6" s="17"/>
      <c r="I6" s="185"/>
    </row>
    <row r="7" spans="1:9">
      <c r="A7" s="20" t="s">
        <v>5</v>
      </c>
      <c r="B7" s="186">
        <f>SUM(B8:B10)</f>
        <v>0</v>
      </c>
      <c r="C7" s="22">
        <f>SUM(C8:C10)</f>
        <v>0</v>
      </c>
      <c r="D7" s="187">
        <f>IF(B7,C7/B7,0)</f>
        <v>0</v>
      </c>
      <c r="E7" s="22">
        <f>SUM(E8:E10)</f>
        <v>20</v>
      </c>
      <c r="F7" s="188">
        <f>E7/$E$68</f>
        <v>5.9683676514473288E-3</v>
      </c>
      <c r="G7" s="189">
        <f>SUM(G8:G10)</f>
        <v>43199</v>
      </c>
      <c r="H7" s="24">
        <f>G7/$G$68</f>
        <v>1.6959659417029621E-2</v>
      </c>
      <c r="I7" s="190">
        <f>IF(E7,G7/E7,0)</f>
        <v>2159.9499999999998</v>
      </c>
    </row>
    <row r="8" spans="1:9">
      <c r="A8" s="26" t="s">
        <v>379</v>
      </c>
      <c r="B8" s="191">
        <v>0</v>
      </c>
      <c r="C8" s="28">
        <v>0</v>
      </c>
      <c r="D8" s="187">
        <f t="shared" ref="D8:D67" si="0">IF(B8,C8/B8,0)</f>
        <v>0</v>
      </c>
      <c r="E8" s="28">
        <f>VLOOKUP(A8,[10]進出口值表查詢結果!$A$3:$C$14,3,0)</f>
        <v>20</v>
      </c>
      <c r="F8" s="188">
        <f>E8/$E$68</f>
        <v>5.9683676514473288E-3</v>
      </c>
      <c r="G8" s="28">
        <f>VLOOKUP(A8,[10]進出口值表查詢結果!$A$3:$C$14,2,0)</f>
        <v>43199</v>
      </c>
      <c r="H8" s="24">
        <f>G8/$G$68</f>
        <v>1.6959659417029621E-2</v>
      </c>
      <c r="I8" s="190">
        <f t="shared" ref="I8:I67" si="1">IF(E8,G8/E8,0)</f>
        <v>2159.9499999999998</v>
      </c>
    </row>
    <row r="9" spans="1:9">
      <c r="A9" s="30" t="s">
        <v>6</v>
      </c>
      <c r="B9" s="191">
        <v>0</v>
      </c>
      <c r="C9" s="28">
        <v>0</v>
      </c>
      <c r="D9" s="187">
        <f t="shared" si="0"/>
        <v>0</v>
      </c>
      <c r="E9" s="28">
        <v>0</v>
      </c>
      <c r="F9" s="188">
        <f>E9/$E$68</f>
        <v>0</v>
      </c>
      <c r="G9" s="28">
        <v>0</v>
      </c>
      <c r="H9" s="24">
        <f>G9/$G$68</f>
        <v>0</v>
      </c>
      <c r="I9" s="190">
        <f t="shared" si="1"/>
        <v>0</v>
      </c>
    </row>
    <row r="10" spans="1:9">
      <c r="A10" s="30" t="s">
        <v>7</v>
      </c>
      <c r="B10" s="191">
        <v>0</v>
      </c>
      <c r="C10" s="28">
        <v>0</v>
      </c>
      <c r="D10" s="187">
        <f t="shared" si="0"/>
        <v>0</v>
      </c>
      <c r="E10" s="28">
        <v>0</v>
      </c>
      <c r="F10" s="188">
        <f>E10/$E$68</f>
        <v>0</v>
      </c>
      <c r="G10" s="28">
        <v>0</v>
      </c>
      <c r="H10" s="24">
        <f>G10/$G$68</f>
        <v>0</v>
      </c>
      <c r="I10" s="190">
        <f t="shared" si="1"/>
        <v>0</v>
      </c>
    </row>
    <row r="11" spans="1:9">
      <c r="A11" s="31"/>
      <c r="B11" s="191"/>
      <c r="C11" s="28"/>
      <c r="D11" s="187"/>
      <c r="E11" s="27"/>
      <c r="F11" s="192"/>
      <c r="G11" s="191"/>
      <c r="H11" s="29"/>
      <c r="I11" s="190"/>
    </row>
    <row r="12" spans="1:9">
      <c r="A12" s="32" t="s">
        <v>8</v>
      </c>
      <c r="B12" s="193">
        <f>SUM(B13:B39)</f>
        <v>0</v>
      </c>
      <c r="C12" s="33">
        <f>SUM(C13:C39)</f>
        <v>0</v>
      </c>
      <c r="D12" s="187">
        <f t="shared" si="0"/>
        <v>0</v>
      </c>
      <c r="E12" s="33">
        <f>SUM(E13:E39)</f>
        <v>731</v>
      </c>
      <c r="F12" s="188">
        <f t="shared" ref="F12:F13" si="2">E12/$E$68</f>
        <v>0.21814383766039988</v>
      </c>
      <c r="G12" s="193">
        <f>SUM(G13:G39)</f>
        <v>313851</v>
      </c>
      <c r="H12" s="24">
        <f>G12/$G$68</f>
        <v>0.12321595564004174</v>
      </c>
      <c r="I12" s="190">
        <f t="shared" si="1"/>
        <v>429.34473324213405</v>
      </c>
    </row>
    <row r="13" spans="1:9">
      <c r="A13" s="425" t="s">
        <v>198</v>
      </c>
      <c r="B13" s="191">
        <v>0</v>
      </c>
      <c r="C13" s="27">
        <v>0</v>
      </c>
      <c r="D13" s="187">
        <f t="shared" si="0"/>
        <v>0</v>
      </c>
      <c r="E13" s="28">
        <f>VLOOKUP(A13,[10]進出口值表查詢結果!$A$3:$C$14,3,0)</f>
        <v>631</v>
      </c>
      <c r="F13" s="188">
        <f t="shared" si="2"/>
        <v>0.18830199940316322</v>
      </c>
      <c r="G13" s="28">
        <f>VLOOKUP(A13,[10]進出口值表查詢結果!$A$3:$C$14,2,0)</f>
        <v>295315</v>
      </c>
      <c r="H13" s="24">
        <f>G13/$G$68</f>
        <v>0.11593883702724836</v>
      </c>
      <c r="I13" s="190">
        <f t="shared" si="1"/>
        <v>468.01109350237721</v>
      </c>
    </row>
    <row r="14" spans="1:9">
      <c r="A14" s="425" t="s">
        <v>199</v>
      </c>
      <c r="B14" s="191">
        <v>0</v>
      </c>
      <c r="C14" s="27">
        <v>0</v>
      </c>
      <c r="D14" s="187">
        <f t="shared" ref="D14:D39" si="3">IF(B14,C14/B14,0)</f>
        <v>0</v>
      </c>
      <c r="E14" s="28">
        <v>0</v>
      </c>
      <c r="F14" s="188">
        <f t="shared" ref="F14:F39" si="4">E14/$E$68</f>
        <v>0</v>
      </c>
      <c r="G14" s="28">
        <v>0</v>
      </c>
      <c r="H14" s="24">
        <f t="shared" ref="H14:H39" si="5">G14/$G$68</f>
        <v>0</v>
      </c>
      <c r="I14" s="190">
        <f t="shared" ref="I14:I39" si="6">IF(E14,G14/E14,0)</f>
        <v>0</v>
      </c>
    </row>
    <row r="15" spans="1:9">
      <c r="A15" s="426" t="s">
        <v>9</v>
      </c>
      <c r="B15" s="191">
        <v>0</v>
      </c>
      <c r="C15" s="27">
        <v>0</v>
      </c>
      <c r="D15" s="187">
        <f t="shared" si="3"/>
        <v>0</v>
      </c>
      <c r="E15" s="28">
        <v>0</v>
      </c>
      <c r="F15" s="188">
        <f t="shared" si="4"/>
        <v>0</v>
      </c>
      <c r="G15" s="28">
        <v>0</v>
      </c>
      <c r="H15" s="24">
        <f t="shared" si="5"/>
        <v>0</v>
      </c>
      <c r="I15" s="190">
        <f t="shared" si="6"/>
        <v>0</v>
      </c>
    </row>
    <row r="16" spans="1:9">
      <c r="A16" s="425" t="s">
        <v>200</v>
      </c>
      <c r="B16" s="191">
        <v>0</v>
      </c>
      <c r="C16" s="27">
        <v>0</v>
      </c>
      <c r="D16" s="187">
        <f t="shared" si="3"/>
        <v>0</v>
      </c>
      <c r="E16" s="28">
        <v>0</v>
      </c>
      <c r="F16" s="188">
        <f t="shared" si="4"/>
        <v>0</v>
      </c>
      <c r="G16" s="28">
        <v>0</v>
      </c>
      <c r="H16" s="24">
        <f t="shared" si="5"/>
        <v>0</v>
      </c>
      <c r="I16" s="190">
        <f t="shared" si="6"/>
        <v>0</v>
      </c>
    </row>
    <row r="17" spans="1:9">
      <c r="A17" s="426" t="s">
        <v>10</v>
      </c>
      <c r="B17" s="191">
        <v>0</v>
      </c>
      <c r="C17" s="27">
        <v>0</v>
      </c>
      <c r="D17" s="187">
        <f t="shared" si="3"/>
        <v>0</v>
      </c>
      <c r="E17" s="28">
        <v>0</v>
      </c>
      <c r="F17" s="188">
        <f t="shared" si="4"/>
        <v>0</v>
      </c>
      <c r="G17" s="28">
        <v>0</v>
      </c>
      <c r="H17" s="24">
        <f t="shared" si="5"/>
        <v>0</v>
      </c>
      <c r="I17" s="190">
        <f t="shared" si="6"/>
        <v>0</v>
      </c>
    </row>
    <row r="18" spans="1:9">
      <c r="A18" s="426" t="s">
        <v>11</v>
      </c>
      <c r="B18" s="191">
        <v>0</v>
      </c>
      <c r="C18" s="27">
        <v>0</v>
      </c>
      <c r="D18" s="187">
        <f t="shared" si="3"/>
        <v>0</v>
      </c>
      <c r="E18" s="28">
        <v>0</v>
      </c>
      <c r="F18" s="188">
        <f t="shared" si="4"/>
        <v>0</v>
      </c>
      <c r="G18" s="28">
        <v>0</v>
      </c>
      <c r="H18" s="24">
        <f t="shared" si="5"/>
        <v>0</v>
      </c>
      <c r="I18" s="190">
        <f t="shared" si="6"/>
        <v>0</v>
      </c>
    </row>
    <row r="19" spans="1:9">
      <c r="A19" s="425" t="s">
        <v>201</v>
      </c>
      <c r="B19" s="191">
        <v>0</v>
      </c>
      <c r="C19" s="27">
        <v>0</v>
      </c>
      <c r="D19" s="187">
        <f t="shared" si="3"/>
        <v>0</v>
      </c>
      <c r="E19" s="28">
        <v>0</v>
      </c>
      <c r="F19" s="188">
        <f t="shared" si="4"/>
        <v>0</v>
      </c>
      <c r="G19" s="28">
        <v>0</v>
      </c>
      <c r="H19" s="24">
        <f t="shared" si="5"/>
        <v>0</v>
      </c>
      <c r="I19" s="190">
        <f t="shared" si="6"/>
        <v>0</v>
      </c>
    </row>
    <row r="20" spans="1:9">
      <c r="A20" s="426" t="s">
        <v>12</v>
      </c>
      <c r="B20" s="191">
        <v>0</v>
      </c>
      <c r="C20" s="27">
        <v>0</v>
      </c>
      <c r="D20" s="187">
        <f t="shared" si="3"/>
        <v>0</v>
      </c>
      <c r="E20" s="28">
        <v>0</v>
      </c>
      <c r="F20" s="188">
        <f t="shared" si="4"/>
        <v>0</v>
      </c>
      <c r="G20" s="28">
        <v>0</v>
      </c>
      <c r="H20" s="24">
        <f t="shared" si="5"/>
        <v>0</v>
      </c>
      <c r="I20" s="190">
        <f t="shared" si="6"/>
        <v>0</v>
      </c>
    </row>
    <row r="21" spans="1:9">
      <c r="A21" s="425" t="s">
        <v>203</v>
      </c>
      <c r="B21" s="191">
        <v>0</v>
      </c>
      <c r="C21" s="27">
        <v>0</v>
      </c>
      <c r="D21" s="187">
        <f t="shared" si="3"/>
        <v>0</v>
      </c>
      <c r="E21" s="28">
        <v>0</v>
      </c>
      <c r="F21" s="188">
        <f t="shared" si="4"/>
        <v>0</v>
      </c>
      <c r="G21" s="28">
        <v>0</v>
      </c>
      <c r="H21" s="24">
        <f t="shared" si="5"/>
        <v>0</v>
      </c>
      <c r="I21" s="190">
        <f t="shared" si="6"/>
        <v>0</v>
      </c>
    </row>
    <row r="22" spans="1:9">
      <c r="A22" s="426" t="s">
        <v>13</v>
      </c>
      <c r="B22" s="191">
        <v>0</v>
      </c>
      <c r="C22" s="27">
        <v>0</v>
      </c>
      <c r="D22" s="187">
        <f t="shared" si="3"/>
        <v>0</v>
      </c>
      <c r="E22" s="28">
        <v>0</v>
      </c>
      <c r="F22" s="188">
        <f t="shared" si="4"/>
        <v>0</v>
      </c>
      <c r="G22" s="28">
        <v>0</v>
      </c>
      <c r="H22" s="24">
        <f t="shared" si="5"/>
        <v>0</v>
      </c>
      <c r="I22" s="190">
        <f t="shared" si="6"/>
        <v>0</v>
      </c>
    </row>
    <row r="23" spans="1:9">
      <c r="A23" s="426" t="s">
        <v>14</v>
      </c>
      <c r="B23" s="191">
        <v>0</v>
      </c>
      <c r="C23" s="27">
        <v>0</v>
      </c>
      <c r="D23" s="187">
        <f t="shared" si="3"/>
        <v>0</v>
      </c>
      <c r="E23" s="28">
        <v>0</v>
      </c>
      <c r="F23" s="188">
        <f t="shared" si="4"/>
        <v>0</v>
      </c>
      <c r="G23" s="28">
        <v>0</v>
      </c>
      <c r="H23" s="24">
        <f t="shared" si="5"/>
        <v>0</v>
      </c>
      <c r="I23" s="190">
        <f t="shared" si="6"/>
        <v>0</v>
      </c>
    </row>
    <row r="24" spans="1:9">
      <c r="A24" s="426" t="s">
        <v>15</v>
      </c>
      <c r="B24" s="191">
        <v>0</v>
      </c>
      <c r="C24" s="27">
        <v>0</v>
      </c>
      <c r="D24" s="187">
        <f t="shared" si="3"/>
        <v>0</v>
      </c>
      <c r="E24" s="28">
        <v>0</v>
      </c>
      <c r="F24" s="188">
        <f t="shared" si="4"/>
        <v>0</v>
      </c>
      <c r="G24" s="28">
        <v>0</v>
      </c>
      <c r="H24" s="24">
        <f t="shared" si="5"/>
        <v>0</v>
      </c>
      <c r="I24" s="190">
        <f t="shared" si="6"/>
        <v>0</v>
      </c>
    </row>
    <row r="25" spans="1:9">
      <c r="A25" s="425" t="s">
        <v>204</v>
      </c>
      <c r="B25" s="191">
        <v>0</v>
      </c>
      <c r="C25" s="27">
        <v>0</v>
      </c>
      <c r="D25" s="187">
        <f t="shared" si="3"/>
        <v>0</v>
      </c>
      <c r="E25" s="28">
        <v>0</v>
      </c>
      <c r="F25" s="188">
        <f t="shared" si="4"/>
        <v>0</v>
      </c>
      <c r="G25" s="28">
        <v>0</v>
      </c>
      <c r="H25" s="24">
        <f t="shared" si="5"/>
        <v>0</v>
      </c>
      <c r="I25" s="190">
        <f t="shared" si="6"/>
        <v>0</v>
      </c>
    </row>
    <row r="26" spans="1:9">
      <c r="A26" s="425" t="s">
        <v>205</v>
      </c>
      <c r="B26" s="191">
        <v>0</v>
      </c>
      <c r="C26" s="27">
        <v>0</v>
      </c>
      <c r="D26" s="187">
        <f t="shared" si="3"/>
        <v>0</v>
      </c>
      <c r="E26" s="28">
        <v>0</v>
      </c>
      <c r="F26" s="188">
        <f t="shared" si="4"/>
        <v>0</v>
      </c>
      <c r="G26" s="28">
        <v>0</v>
      </c>
      <c r="H26" s="24">
        <f t="shared" si="5"/>
        <v>0</v>
      </c>
      <c r="I26" s="190">
        <f t="shared" si="6"/>
        <v>0</v>
      </c>
    </row>
    <row r="27" spans="1:9">
      <c r="A27" s="285" t="s">
        <v>206</v>
      </c>
      <c r="B27" s="191">
        <v>0</v>
      </c>
      <c r="C27" s="27">
        <v>0</v>
      </c>
      <c r="D27" s="187">
        <f t="shared" si="3"/>
        <v>0</v>
      </c>
      <c r="E27" s="28">
        <v>0</v>
      </c>
      <c r="F27" s="188">
        <f t="shared" si="4"/>
        <v>0</v>
      </c>
      <c r="G27" s="28">
        <v>0</v>
      </c>
      <c r="H27" s="24">
        <f t="shared" si="5"/>
        <v>0</v>
      </c>
      <c r="I27" s="190">
        <f t="shared" si="6"/>
        <v>0</v>
      </c>
    </row>
    <row r="28" spans="1:9">
      <c r="A28" s="285" t="s">
        <v>207</v>
      </c>
      <c r="B28" s="191">
        <v>0</v>
      </c>
      <c r="C28" s="27">
        <v>0</v>
      </c>
      <c r="D28" s="187">
        <f t="shared" si="3"/>
        <v>0</v>
      </c>
      <c r="E28" s="28">
        <v>0</v>
      </c>
      <c r="F28" s="188">
        <f t="shared" si="4"/>
        <v>0</v>
      </c>
      <c r="G28" s="28">
        <v>0</v>
      </c>
      <c r="H28" s="24">
        <f t="shared" si="5"/>
        <v>0</v>
      </c>
      <c r="I28" s="190">
        <f t="shared" si="6"/>
        <v>0</v>
      </c>
    </row>
    <row r="29" spans="1:9">
      <c r="A29" s="426" t="s">
        <v>208</v>
      </c>
      <c r="B29" s="191">
        <v>0</v>
      </c>
      <c r="C29" s="27">
        <v>0</v>
      </c>
      <c r="D29" s="187">
        <f t="shared" si="3"/>
        <v>0</v>
      </c>
      <c r="E29" s="28">
        <v>0</v>
      </c>
      <c r="F29" s="188">
        <f t="shared" si="4"/>
        <v>0</v>
      </c>
      <c r="G29" s="28">
        <v>0</v>
      </c>
      <c r="H29" s="24">
        <f t="shared" si="5"/>
        <v>0</v>
      </c>
      <c r="I29" s="190">
        <f t="shared" si="6"/>
        <v>0</v>
      </c>
    </row>
    <row r="30" spans="1:9">
      <c r="A30" s="426" t="s">
        <v>209</v>
      </c>
      <c r="B30" s="191">
        <v>0</v>
      </c>
      <c r="C30" s="27">
        <v>0</v>
      </c>
      <c r="D30" s="187">
        <f t="shared" si="3"/>
        <v>0</v>
      </c>
      <c r="E30" s="28">
        <v>0</v>
      </c>
      <c r="F30" s="188">
        <f t="shared" si="4"/>
        <v>0</v>
      </c>
      <c r="G30" s="28">
        <v>0</v>
      </c>
      <c r="H30" s="24">
        <f t="shared" si="5"/>
        <v>0</v>
      </c>
      <c r="I30" s="190">
        <f t="shared" si="6"/>
        <v>0</v>
      </c>
    </row>
    <row r="31" spans="1:9">
      <c r="A31" s="426" t="s">
        <v>16</v>
      </c>
      <c r="B31" s="191">
        <v>0</v>
      </c>
      <c r="C31" s="27">
        <v>0</v>
      </c>
      <c r="D31" s="187">
        <f t="shared" si="3"/>
        <v>0</v>
      </c>
      <c r="E31" s="28">
        <v>0</v>
      </c>
      <c r="F31" s="188">
        <f t="shared" si="4"/>
        <v>0</v>
      </c>
      <c r="G31" s="28">
        <v>0</v>
      </c>
      <c r="H31" s="24">
        <f t="shared" si="5"/>
        <v>0</v>
      </c>
      <c r="I31" s="190">
        <f t="shared" si="6"/>
        <v>0</v>
      </c>
    </row>
    <row r="32" spans="1:9">
      <c r="A32" s="426" t="s">
        <v>17</v>
      </c>
      <c r="B32" s="191">
        <v>0</v>
      </c>
      <c r="C32" s="27">
        <v>0</v>
      </c>
      <c r="D32" s="187">
        <f t="shared" si="3"/>
        <v>0</v>
      </c>
      <c r="E32" s="28">
        <v>0</v>
      </c>
      <c r="F32" s="188">
        <f t="shared" si="4"/>
        <v>0</v>
      </c>
      <c r="G32" s="28">
        <v>0</v>
      </c>
      <c r="H32" s="24">
        <f t="shared" si="5"/>
        <v>0</v>
      </c>
      <c r="I32" s="190">
        <f t="shared" si="6"/>
        <v>0</v>
      </c>
    </row>
    <row r="33" spans="1:9">
      <c r="A33" s="426" t="s">
        <v>210</v>
      </c>
      <c r="B33" s="191">
        <v>0</v>
      </c>
      <c r="C33" s="27">
        <v>0</v>
      </c>
      <c r="D33" s="187">
        <f t="shared" si="3"/>
        <v>0</v>
      </c>
      <c r="E33" s="28">
        <v>0</v>
      </c>
      <c r="F33" s="188">
        <f t="shared" si="4"/>
        <v>0</v>
      </c>
      <c r="G33" s="28">
        <v>0</v>
      </c>
      <c r="H33" s="24">
        <f t="shared" si="5"/>
        <v>0</v>
      </c>
      <c r="I33" s="190">
        <f t="shared" si="6"/>
        <v>0</v>
      </c>
    </row>
    <row r="34" spans="1:9">
      <c r="A34" s="426" t="s">
        <v>211</v>
      </c>
      <c r="B34" s="191">
        <v>0</v>
      </c>
      <c r="C34" s="27">
        <v>0</v>
      </c>
      <c r="D34" s="187">
        <f t="shared" si="3"/>
        <v>0</v>
      </c>
      <c r="E34" s="28">
        <v>0</v>
      </c>
      <c r="F34" s="188">
        <f t="shared" si="4"/>
        <v>0</v>
      </c>
      <c r="G34" s="28">
        <v>0</v>
      </c>
      <c r="H34" s="24">
        <f t="shared" si="5"/>
        <v>0</v>
      </c>
      <c r="I34" s="190">
        <f t="shared" si="6"/>
        <v>0</v>
      </c>
    </row>
    <row r="35" spans="1:9">
      <c r="A35" s="426" t="s">
        <v>212</v>
      </c>
      <c r="B35" s="191">
        <v>0</v>
      </c>
      <c r="C35" s="27">
        <v>0</v>
      </c>
      <c r="D35" s="187">
        <f t="shared" si="3"/>
        <v>0</v>
      </c>
      <c r="E35" s="28">
        <v>0</v>
      </c>
      <c r="F35" s="188">
        <f t="shared" si="4"/>
        <v>0</v>
      </c>
      <c r="G35" s="28">
        <v>0</v>
      </c>
      <c r="H35" s="24">
        <f t="shared" si="5"/>
        <v>0</v>
      </c>
      <c r="I35" s="190">
        <f t="shared" si="6"/>
        <v>0</v>
      </c>
    </row>
    <row r="36" spans="1:9">
      <c r="A36" s="426" t="s">
        <v>380</v>
      </c>
      <c r="B36" s="191">
        <v>0</v>
      </c>
      <c r="C36" s="27">
        <v>0</v>
      </c>
      <c r="D36" s="187">
        <f t="shared" si="3"/>
        <v>0</v>
      </c>
      <c r="E36" s="28">
        <v>0</v>
      </c>
      <c r="F36" s="188">
        <f t="shared" si="4"/>
        <v>0</v>
      </c>
      <c r="G36" s="28">
        <v>0</v>
      </c>
      <c r="H36" s="24">
        <f t="shared" si="5"/>
        <v>0</v>
      </c>
      <c r="I36" s="190">
        <f t="shared" si="6"/>
        <v>0</v>
      </c>
    </row>
    <row r="37" spans="1:9">
      <c r="A37" s="426" t="s">
        <v>214</v>
      </c>
      <c r="B37" s="191">
        <v>0</v>
      </c>
      <c r="C37" s="27">
        <v>0</v>
      </c>
      <c r="D37" s="187">
        <f t="shared" si="3"/>
        <v>0</v>
      </c>
      <c r="E37" s="28">
        <v>0</v>
      </c>
      <c r="F37" s="188">
        <f t="shared" si="4"/>
        <v>0</v>
      </c>
      <c r="G37" s="28">
        <v>0</v>
      </c>
      <c r="H37" s="24">
        <f t="shared" si="5"/>
        <v>0</v>
      </c>
      <c r="I37" s="190">
        <f t="shared" si="6"/>
        <v>0</v>
      </c>
    </row>
    <row r="38" spans="1:9">
      <c r="A38" s="426" t="s">
        <v>215</v>
      </c>
      <c r="B38" s="191">
        <v>0</v>
      </c>
      <c r="C38" s="27">
        <v>0</v>
      </c>
      <c r="D38" s="187">
        <f t="shared" si="3"/>
        <v>0</v>
      </c>
      <c r="E38" s="28">
        <f>VLOOKUP(A38,[10]進出口值表查詢結果!$A$3:$C$14,3,0)</f>
        <v>100</v>
      </c>
      <c r="F38" s="188">
        <f t="shared" si="4"/>
        <v>2.9841838257236644E-2</v>
      </c>
      <c r="G38" s="28">
        <f>VLOOKUP(A38,[10]進出口值表查詢結果!$A$3:$C$14,2,0)</f>
        <v>18536</v>
      </c>
      <c r="H38" s="24">
        <f t="shared" si="5"/>
        <v>7.2771186127933759E-3</v>
      </c>
      <c r="I38" s="190">
        <f t="shared" si="6"/>
        <v>185.36</v>
      </c>
    </row>
    <row r="39" spans="1:9">
      <c r="A39" s="426" t="s">
        <v>18</v>
      </c>
      <c r="B39" s="191">
        <v>0</v>
      </c>
      <c r="C39" s="27">
        <v>0</v>
      </c>
      <c r="D39" s="187">
        <f t="shared" si="3"/>
        <v>0</v>
      </c>
      <c r="E39" s="28">
        <v>0</v>
      </c>
      <c r="F39" s="188">
        <f t="shared" si="4"/>
        <v>0</v>
      </c>
      <c r="G39" s="28">
        <v>0</v>
      </c>
      <c r="H39" s="24">
        <f t="shared" si="5"/>
        <v>0</v>
      </c>
      <c r="I39" s="190">
        <f t="shared" si="6"/>
        <v>0</v>
      </c>
    </row>
    <row r="40" spans="1:9">
      <c r="A40" s="30"/>
      <c r="B40" s="191"/>
      <c r="C40" s="27"/>
      <c r="D40" s="187"/>
      <c r="E40" s="27"/>
      <c r="F40" s="192"/>
      <c r="G40" s="191"/>
      <c r="H40" s="24"/>
      <c r="I40" s="190"/>
    </row>
    <row r="41" spans="1:9" ht="15.6" customHeight="1">
      <c r="A41" s="36" t="s">
        <v>19</v>
      </c>
      <c r="B41" s="193">
        <f>SUM(B42:B45)</f>
        <v>0</v>
      </c>
      <c r="C41" s="33">
        <f>SUM(C42:C45)</f>
        <v>0</v>
      </c>
      <c r="D41" s="187">
        <f t="shared" si="0"/>
        <v>0</v>
      </c>
      <c r="E41" s="33">
        <f>SUM(E42:E45)</f>
        <v>0</v>
      </c>
      <c r="F41" s="188">
        <f>E41/$E$68</f>
        <v>0</v>
      </c>
      <c r="G41" s="193">
        <f>SUM(G42:G45)</f>
        <v>0</v>
      </c>
      <c r="H41" s="24">
        <f t="shared" ref="H41:H42" si="7">G41/$G$68</f>
        <v>0</v>
      </c>
      <c r="I41" s="190">
        <f t="shared" si="1"/>
        <v>0</v>
      </c>
    </row>
    <row r="42" spans="1:9">
      <c r="A42" s="425" t="s">
        <v>216</v>
      </c>
      <c r="B42" s="191">
        <v>0</v>
      </c>
      <c r="C42" s="27">
        <f>_xlfn.IFNA(VLOOKUP(A42,[11]折!$C$3:$F$99,3,0),-[4]整車!$B$22)</f>
        <v>0</v>
      </c>
      <c r="D42" s="187">
        <f t="shared" si="0"/>
        <v>0</v>
      </c>
      <c r="E42" s="28">
        <v>0</v>
      </c>
      <c r="F42" s="188">
        <f>E42/$E$68</f>
        <v>0</v>
      </c>
      <c r="G42" s="28">
        <v>0</v>
      </c>
      <c r="H42" s="24">
        <f t="shared" si="7"/>
        <v>0</v>
      </c>
      <c r="I42" s="190">
        <f t="shared" si="1"/>
        <v>0</v>
      </c>
    </row>
    <row r="43" spans="1:9">
      <c r="A43" s="425" t="s">
        <v>217</v>
      </c>
      <c r="B43" s="191">
        <v>0</v>
      </c>
      <c r="C43" s="27">
        <f>_xlfn.IFNA(VLOOKUP(A43,[11]折!$C$3:$F$99,3,0),-[4]整車!$B$22)</f>
        <v>0</v>
      </c>
      <c r="D43" s="187">
        <f t="shared" ref="D43:D45" si="8">IF(B43,C43/B43,0)</f>
        <v>0</v>
      </c>
      <c r="E43" s="28">
        <v>0</v>
      </c>
      <c r="F43" s="188">
        <f t="shared" ref="F43:F45" si="9">E43/$E$68</f>
        <v>0</v>
      </c>
      <c r="G43" s="28">
        <v>0</v>
      </c>
      <c r="H43" s="24">
        <f t="shared" ref="H43:H45" si="10">G43/$G$68</f>
        <v>0</v>
      </c>
      <c r="I43" s="190">
        <f t="shared" ref="I43:I45" si="11">IF(E43,G43/E43,0)</f>
        <v>0</v>
      </c>
    </row>
    <row r="44" spans="1:9">
      <c r="A44" s="425" t="s">
        <v>218</v>
      </c>
      <c r="B44" s="191">
        <v>0</v>
      </c>
      <c r="C44" s="27">
        <f>_xlfn.IFNA(VLOOKUP(A44,[11]折!$C$3:$F$99,3,0),-[4]整車!$B$22)</f>
        <v>0</v>
      </c>
      <c r="D44" s="187">
        <f t="shared" si="8"/>
        <v>0</v>
      </c>
      <c r="E44" s="28">
        <v>0</v>
      </c>
      <c r="F44" s="188">
        <f t="shared" si="9"/>
        <v>0</v>
      </c>
      <c r="G44" s="28">
        <v>0</v>
      </c>
      <c r="H44" s="24">
        <f t="shared" si="10"/>
        <v>0</v>
      </c>
      <c r="I44" s="190">
        <f t="shared" si="11"/>
        <v>0</v>
      </c>
    </row>
    <row r="45" spans="1:9">
      <c r="A45" s="30" t="s">
        <v>20</v>
      </c>
      <c r="B45" s="191">
        <v>0</v>
      </c>
      <c r="C45" s="27">
        <f>_xlfn.IFNA(VLOOKUP(A45,[11]折!$C$3:$F$99,3,0),-[4]整車!$B$22)</f>
        <v>0</v>
      </c>
      <c r="D45" s="187">
        <f t="shared" si="8"/>
        <v>0</v>
      </c>
      <c r="E45" s="28">
        <v>0</v>
      </c>
      <c r="F45" s="188">
        <f t="shared" si="9"/>
        <v>0</v>
      </c>
      <c r="G45" s="28">
        <v>0</v>
      </c>
      <c r="H45" s="24">
        <f t="shared" si="10"/>
        <v>0</v>
      </c>
      <c r="I45" s="190">
        <f t="shared" si="11"/>
        <v>0</v>
      </c>
    </row>
    <row r="46" spans="1:9" ht="16.899999999999999" customHeight="1">
      <c r="A46" s="30"/>
      <c r="B46" s="191"/>
      <c r="C46" s="27"/>
      <c r="D46" s="187"/>
      <c r="E46" s="27"/>
      <c r="F46" s="192"/>
      <c r="G46" s="191"/>
      <c r="H46" s="24"/>
      <c r="I46" s="190"/>
    </row>
    <row r="47" spans="1:9">
      <c r="A47" s="36" t="s">
        <v>21</v>
      </c>
      <c r="B47" s="193">
        <f>SUM(B48:B66)</f>
        <v>145</v>
      </c>
      <c r="C47" s="33">
        <f>SUM(C48:C66)</f>
        <v>123211</v>
      </c>
      <c r="D47" s="187">
        <f t="shared" si="0"/>
        <v>849.73103448275867</v>
      </c>
      <c r="E47" s="33">
        <f>SUM(E48:E66)</f>
        <v>2579</v>
      </c>
      <c r="F47" s="188">
        <f>E47/$E$68</f>
        <v>0.76962100865413308</v>
      </c>
      <c r="G47" s="193">
        <f>SUM(G48:G66)</f>
        <v>2175866</v>
      </c>
      <c r="H47" s="24">
        <f>G47/$G$68</f>
        <v>0.85423149371732143</v>
      </c>
      <c r="I47" s="190">
        <f t="shared" si="1"/>
        <v>843.68592477704533</v>
      </c>
    </row>
    <row r="48" spans="1:9">
      <c r="A48" s="453" t="s">
        <v>159</v>
      </c>
      <c r="B48" s="191">
        <v>0</v>
      </c>
      <c r="C48" s="27">
        <v>0</v>
      </c>
      <c r="D48" s="187">
        <f t="shared" si="0"/>
        <v>0</v>
      </c>
      <c r="E48" s="28">
        <v>0</v>
      </c>
      <c r="F48" s="188">
        <f t="shared" ref="F48" si="12">E48/$E$68</f>
        <v>0</v>
      </c>
      <c r="G48" s="28">
        <v>0</v>
      </c>
      <c r="H48" s="24">
        <f>G48/$G$68</f>
        <v>0</v>
      </c>
      <c r="I48" s="190">
        <f t="shared" si="1"/>
        <v>0</v>
      </c>
    </row>
    <row r="49" spans="1:10">
      <c r="A49" s="425" t="s">
        <v>219</v>
      </c>
      <c r="B49" s="191">
        <v>4</v>
      </c>
      <c r="C49" s="27">
        <v>625</v>
      </c>
      <c r="D49" s="187">
        <f t="shared" ref="D49:D66" si="13">IF(B49,C49/B49,0)</f>
        <v>156.25</v>
      </c>
      <c r="E49" s="28">
        <f>VLOOKUP(A49,[10]進出口值表查詢結果!$A$3:$C$14,3,0)</f>
        <v>168</v>
      </c>
      <c r="F49" s="188">
        <f t="shared" ref="F49:F66" si="14">E49/$E$68</f>
        <v>5.0134288272157566E-2</v>
      </c>
      <c r="G49" s="28">
        <f>VLOOKUP(A49,[10]進出口值表查詢結果!$A$3:$C$14,2,0)</f>
        <v>130809</v>
      </c>
      <c r="H49" s="24">
        <f t="shared" ref="H49:H66" si="15">G49/$G$68</f>
        <v>5.1354801932503705E-2</v>
      </c>
      <c r="I49" s="190">
        <f t="shared" ref="I49:I66" si="16">IF(E49,G49/E49,0)</f>
        <v>778.625</v>
      </c>
    </row>
    <row r="50" spans="1:10">
      <c r="A50" s="282" t="s">
        <v>220</v>
      </c>
      <c r="B50" s="191">
        <v>19</v>
      </c>
      <c r="C50" s="27">
        <v>19056</v>
      </c>
      <c r="D50" s="187">
        <f t="shared" si="13"/>
        <v>1002.9473684210526</v>
      </c>
      <c r="E50" s="28">
        <f>VLOOKUP(A50,[10]進出口值表查詢結果!$A$3:$C$14,3,0)</f>
        <v>19</v>
      </c>
      <c r="F50" s="188">
        <f t="shared" si="14"/>
        <v>5.6699492688749627E-3</v>
      </c>
      <c r="G50" s="28">
        <f>VLOOKUP(A50,[10]進出口值表查詢結果!$A$3:$C$14,2,0)</f>
        <v>19056</v>
      </c>
      <c r="H50" s="24">
        <f t="shared" si="15"/>
        <v>7.4812673869977643E-3</v>
      </c>
      <c r="I50" s="190">
        <f t="shared" si="16"/>
        <v>1002.9473684210526</v>
      </c>
      <c r="J50" s="454"/>
    </row>
    <row r="51" spans="1:10">
      <c r="A51" s="425" t="s">
        <v>221</v>
      </c>
      <c r="B51" s="191">
        <v>0</v>
      </c>
      <c r="C51" s="27">
        <v>0</v>
      </c>
      <c r="D51" s="187">
        <f t="shared" si="13"/>
        <v>0</v>
      </c>
      <c r="E51" s="28">
        <v>0</v>
      </c>
      <c r="F51" s="188">
        <f t="shared" si="14"/>
        <v>0</v>
      </c>
      <c r="G51" s="28">
        <v>0</v>
      </c>
      <c r="H51" s="24">
        <f t="shared" si="15"/>
        <v>0</v>
      </c>
      <c r="I51" s="190">
        <f t="shared" si="16"/>
        <v>0</v>
      </c>
    </row>
    <row r="52" spans="1:10">
      <c r="A52" s="426" t="s">
        <v>22</v>
      </c>
      <c r="B52" s="191">
        <v>0</v>
      </c>
      <c r="C52" s="27">
        <v>0</v>
      </c>
      <c r="D52" s="187">
        <f t="shared" si="13"/>
        <v>0</v>
      </c>
      <c r="E52" s="28">
        <v>0</v>
      </c>
      <c r="F52" s="188">
        <f t="shared" si="14"/>
        <v>0</v>
      </c>
      <c r="G52" s="28">
        <v>0</v>
      </c>
      <c r="H52" s="24">
        <f t="shared" si="15"/>
        <v>0</v>
      </c>
      <c r="I52" s="190">
        <f t="shared" si="16"/>
        <v>0</v>
      </c>
    </row>
    <row r="53" spans="1:10">
      <c r="A53" s="425" t="s">
        <v>222</v>
      </c>
      <c r="B53" s="191">
        <v>0</v>
      </c>
      <c r="C53" s="27">
        <v>0</v>
      </c>
      <c r="D53" s="187">
        <f t="shared" si="13"/>
        <v>0</v>
      </c>
      <c r="E53" s="28">
        <v>0</v>
      </c>
      <c r="F53" s="188">
        <f t="shared" si="14"/>
        <v>0</v>
      </c>
      <c r="G53" s="28">
        <v>0</v>
      </c>
      <c r="H53" s="24">
        <f t="shared" si="15"/>
        <v>0</v>
      </c>
      <c r="I53" s="190">
        <f t="shared" si="16"/>
        <v>0</v>
      </c>
    </row>
    <row r="54" spans="1:10">
      <c r="A54" s="426" t="s">
        <v>223</v>
      </c>
      <c r="B54" s="191">
        <v>0</v>
      </c>
      <c r="C54" s="27">
        <v>0</v>
      </c>
      <c r="D54" s="187">
        <f t="shared" si="13"/>
        <v>0</v>
      </c>
      <c r="E54" s="28">
        <v>0</v>
      </c>
      <c r="F54" s="188">
        <f t="shared" si="14"/>
        <v>0</v>
      </c>
      <c r="G54" s="28">
        <v>0</v>
      </c>
      <c r="H54" s="24">
        <f t="shared" si="15"/>
        <v>0</v>
      </c>
      <c r="I54" s="190">
        <f t="shared" si="16"/>
        <v>0</v>
      </c>
    </row>
    <row r="55" spans="1:10">
      <c r="A55" s="426" t="s">
        <v>23</v>
      </c>
      <c r="B55" s="191">
        <v>0</v>
      </c>
      <c r="C55" s="27">
        <v>0</v>
      </c>
      <c r="D55" s="187">
        <f t="shared" si="13"/>
        <v>0</v>
      </c>
      <c r="E55" s="28">
        <v>0</v>
      </c>
      <c r="F55" s="188">
        <f t="shared" si="14"/>
        <v>0</v>
      </c>
      <c r="G55" s="28">
        <v>0</v>
      </c>
      <c r="H55" s="24">
        <f t="shared" si="15"/>
        <v>0</v>
      </c>
      <c r="I55" s="190">
        <f t="shared" si="16"/>
        <v>0</v>
      </c>
    </row>
    <row r="56" spans="1:10">
      <c r="A56" s="426" t="s">
        <v>224</v>
      </c>
      <c r="B56" s="191">
        <v>122</v>
      </c>
      <c r="C56" s="27">
        <v>103530</v>
      </c>
      <c r="D56" s="187">
        <f t="shared" si="13"/>
        <v>848.60655737704917</v>
      </c>
      <c r="E56" s="28">
        <f>VLOOKUP(A56,[10]進出口值表查詢結果!$A$3:$C$14,3,0)</f>
        <v>1607</v>
      </c>
      <c r="F56" s="188">
        <f t="shared" si="14"/>
        <v>0.47955834079379289</v>
      </c>
      <c r="G56" s="28">
        <f>VLOOKUP(A56,[10]進出口值表查詢結果!$A$3:$C$14,2,0)</f>
        <v>1309895</v>
      </c>
      <c r="H56" s="24">
        <f t="shared" si="15"/>
        <v>0.51425665112780417</v>
      </c>
      <c r="I56" s="190">
        <f t="shared" si="16"/>
        <v>815.11823273179834</v>
      </c>
    </row>
    <row r="57" spans="1:10">
      <c r="A57" s="428" t="s">
        <v>225</v>
      </c>
      <c r="B57" s="191"/>
      <c r="C57" s="27"/>
      <c r="D57" s="187">
        <f t="shared" si="13"/>
        <v>0</v>
      </c>
      <c r="E57" s="28">
        <f>VLOOKUP(A57,[10]進出口值表查詢結果!$A$3:$C$14,3,0)</f>
        <v>605</v>
      </c>
      <c r="F57" s="188">
        <f t="shared" si="14"/>
        <v>0.18054312145628171</v>
      </c>
      <c r="G57" s="28">
        <f>VLOOKUP(A57,[10]進出口值表查詢結果!$A$3:$C$14,2,0)</f>
        <v>539345</v>
      </c>
      <c r="H57" s="24">
        <f t="shared" si="15"/>
        <v>0.21174350119858887</v>
      </c>
      <c r="I57" s="190">
        <f t="shared" si="16"/>
        <v>891.47933884297515</v>
      </c>
    </row>
    <row r="58" spans="1:10">
      <c r="A58" s="285" t="s">
        <v>381</v>
      </c>
      <c r="B58" s="191">
        <v>0</v>
      </c>
      <c r="C58" s="27">
        <v>0</v>
      </c>
      <c r="D58" s="187">
        <f t="shared" si="13"/>
        <v>0</v>
      </c>
      <c r="E58" s="28">
        <f>VLOOKUP(A58,[10]進出口值表查詢結果!$A$3:$C$14,3,0)</f>
        <v>172</v>
      </c>
      <c r="F58" s="188">
        <f t="shared" si="14"/>
        <v>5.1327961802447031E-2</v>
      </c>
      <c r="G58" s="28">
        <f>VLOOKUP(A58,[10]進出口值表查詢結果!$A$3:$C$14,2,0)</f>
        <v>173183</v>
      </c>
      <c r="H58" s="24">
        <f t="shared" si="15"/>
        <v>6.7990571467382133E-2</v>
      </c>
      <c r="I58" s="190">
        <f t="shared" si="16"/>
        <v>1006.8779069767442</v>
      </c>
    </row>
    <row r="59" spans="1:10">
      <c r="A59" s="426" t="s">
        <v>24</v>
      </c>
      <c r="B59" s="191">
        <v>0</v>
      </c>
      <c r="C59" s="27">
        <v>0</v>
      </c>
      <c r="D59" s="187">
        <f t="shared" si="13"/>
        <v>0</v>
      </c>
      <c r="E59" s="28">
        <v>0</v>
      </c>
      <c r="F59" s="188">
        <f t="shared" si="14"/>
        <v>0</v>
      </c>
      <c r="G59" s="28">
        <v>0</v>
      </c>
      <c r="H59" s="24">
        <f t="shared" si="15"/>
        <v>0</v>
      </c>
      <c r="I59" s="190">
        <f t="shared" si="16"/>
        <v>0</v>
      </c>
    </row>
    <row r="60" spans="1:10">
      <c r="A60" s="426" t="s">
        <v>25</v>
      </c>
      <c r="B60" s="191">
        <v>0</v>
      </c>
      <c r="C60" s="27">
        <v>0</v>
      </c>
      <c r="D60" s="187">
        <f t="shared" si="13"/>
        <v>0</v>
      </c>
      <c r="E60" s="28">
        <v>0</v>
      </c>
      <c r="F60" s="188">
        <f t="shared" si="14"/>
        <v>0</v>
      </c>
      <c r="G60" s="28">
        <v>0</v>
      </c>
      <c r="H60" s="24">
        <f t="shared" si="15"/>
        <v>0</v>
      </c>
      <c r="I60" s="190">
        <f t="shared" si="16"/>
        <v>0</v>
      </c>
    </row>
    <row r="61" spans="1:10">
      <c r="A61" s="426" t="s">
        <v>26</v>
      </c>
      <c r="B61" s="191">
        <v>0</v>
      </c>
      <c r="C61" s="27">
        <v>0</v>
      </c>
      <c r="D61" s="187">
        <f t="shared" si="13"/>
        <v>0</v>
      </c>
      <c r="E61" s="28">
        <v>0</v>
      </c>
      <c r="F61" s="188">
        <f t="shared" si="14"/>
        <v>0</v>
      </c>
      <c r="G61" s="28">
        <v>0</v>
      </c>
      <c r="H61" s="24">
        <f t="shared" si="15"/>
        <v>0</v>
      </c>
      <c r="I61" s="190">
        <f t="shared" si="16"/>
        <v>0</v>
      </c>
    </row>
    <row r="62" spans="1:10">
      <c r="A62" s="285" t="s">
        <v>226</v>
      </c>
      <c r="B62" s="191">
        <v>0</v>
      </c>
      <c r="C62" s="27">
        <v>0</v>
      </c>
      <c r="D62" s="187">
        <f t="shared" si="13"/>
        <v>0</v>
      </c>
      <c r="E62" s="28">
        <v>0</v>
      </c>
      <c r="F62" s="188">
        <f t="shared" si="14"/>
        <v>0</v>
      </c>
      <c r="G62" s="28">
        <v>0</v>
      </c>
      <c r="H62" s="24">
        <f t="shared" si="15"/>
        <v>0</v>
      </c>
      <c r="I62" s="190">
        <f t="shared" si="16"/>
        <v>0</v>
      </c>
    </row>
    <row r="63" spans="1:10">
      <c r="A63" s="426" t="s">
        <v>27</v>
      </c>
      <c r="B63" s="191">
        <v>0</v>
      </c>
      <c r="C63" s="27">
        <v>0</v>
      </c>
      <c r="D63" s="187">
        <f t="shared" si="13"/>
        <v>0</v>
      </c>
      <c r="E63" s="28">
        <v>0</v>
      </c>
      <c r="F63" s="188">
        <f t="shared" si="14"/>
        <v>0</v>
      </c>
      <c r="G63" s="28">
        <v>0</v>
      </c>
      <c r="H63" s="24">
        <f t="shared" si="15"/>
        <v>0</v>
      </c>
      <c r="I63" s="190">
        <f t="shared" si="16"/>
        <v>0</v>
      </c>
    </row>
    <row r="64" spans="1:10" ht="15.75" customHeight="1">
      <c r="A64" s="285" t="s">
        <v>227</v>
      </c>
      <c r="B64" s="191">
        <v>0</v>
      </c>
      <c r="C64" s="27">
        <v>0</v>
      </c>
      <c r="D64" s="187">
        <f t="shared" si="13"/>
        <v>0</v>
      </c>
      <c r="E64" s="28">
        <v>0</v>
      </c>
      <c r="F64" s="188">
        <f t="shared" si="14"/>
        <v>0</v>
      </c>
      <c r="G64" s="28">
        <v>0</v>
      </c>
      <c r="H64" s="24">
        <f t="shared" si="15"/>
        <v>0</v>
      </c>
      <c r="I64" s="190">
        <f t="shared" si="16"/>
        <v>0</v>
      </c>
    </row>
    <row r="65" spans="1:9">
      <c r="A65" s="426" t="s">
        <v>28</v>
      </c>
      <c r="B65" s="191">
        <v>0</v>
      </c>
      <c r="C65" s="27">
        <v>0</v>
      </c>
      <c r="D65" s="187">
        <f t="shared" si="13"/>
        <v>0</v>
      </c>
      <c r="E65" s="28">
        <v>0</v>
      </c>
      <c r="F65" s="188">
        <f t="shared" si="14"/>
        <v>0</v>
      </c>
      <c r="G65" s="28">
        <v>0</v>
      </c>
      <c r="H65" s="24">
        <f t="shared" si="15"/>
        <v>0</v>
      </c>
      <c r="I65" s="190">
        <f t="shared" si="16"/>
        <v>0</v>
      </c>
    </row>
    <row r="66" spans="1:9">
      <c r="A66" s="285" t="s">
        <v>228</v>
      </c>
      <c r="B66" s="191">
        <v>0</v>
      </c>
      <c r="C66" s="27">
        <v>0</v>
      </c>
      <c r="D66" s="187">
        <f t="shared" si="13"/>
        <v>0</v>
      </c>
      <c r="E66" s="28">
        <f>VLOOKUP(A66,[10]進出口值表查詢結果!$A$3:$C$14,3,0)</f>
        <v>8</v>
      </c>
      <c r="F66" s="188">
        <f t="shared" si="14"/>
        <v>2.3873470605789318E-3</v>
      </c>
      <c r="G66" s="28">
        <f>VLOOKUP(A66,[10]進出口值表查詢結果!$A$3:$C$14,2,0)</f>
        <v>3578</v>
      </c>
      <c r="H66" s="24">
        <f t="shared" si="15"/>
        <v>1.4047006040448153E-3</v>
      </c>
      <c r="I66" s="190">
        <f t="shared" si="16"/>
        <v>447.25</v>
      </c>
    </row>
    <row r="67" spans="1:9">
      <c r="A67" s="30" t="s">
        <v>29</v>
      </c>
      <c r="B67" s="191">
        <f>B68-B7-B12-B41-B47</f>
        <v>1</v>
      </c>
      <c r="C67" s="27">
        <f>C68-C47-C41-C12-C7</f>
        <v>281</v>
      </c>
      <c r="D67" s="187">
        <f t="shared" si="0"/>
        <v>281</v>
      </c>
      <c r="E67" s="27">
        <f>E68-E47-E41-E12-E7</f>
        <v>21</v>
      </c>
      <c r="F67" s="188">
        <f t="shared" ref="F67:F68" si="17">E67/$E$68</f>
        <v>6.2667860340196958E-3</v>
      </c>
      <c r="G67" s="191">
        <f>G68-G47-G41-G12-G7</f>
        <v>14246</v>
      </c>
      <c r="H67" s="24">
        <f t="shared" ref="H67:H68" si="18">G67/$G$68</f>
        <v>5.5928912256071658E-3</v>
      </c>
      <c r="I67" s="190">
        <f t="shared" si="1"/>
        <v>678.38095238095241</v>
      </c>
    </row>
    <row r="68" spans="1:9">
      <c r="A68" s="32" t="s">
        <v>400</v>
      </c>
      <c r="B68" s="193">
        <v>146</v>
      </c>
      <c r="C68" s="33">
        <v>123492</v>
      </c>
      <c r="D68" s="187">
        <f t="shared" ref="D68" si="19">C68/B68</f>
        <v>845.83561643835617</v>
      </c>
      <c r="E68" s="28">
        <f>VLOOKUP(A68,[10]進出口值表查詢結果!$A$3:$C$14,3,0)</f>
        <v>3351</v>
      </c>
      <c r="F68" s="188">
        <f t="shared" si="17"/>
        <v>1</v>
      </c>
      <c r="G68" s="28">
        <f>VLOOKUP(A68,[10]進出口值表查詢結果!$A$3:$C$14,2,0)</f>
        <v>2547162</v>
      </c>
      <c r="H68" s="24">
        <f t="shared" si="18"/>
        <v>1</v>
      </c>
      <c r="I68" s="190">
        <f t="shared" ref="I68" si="20">G68/E68</f>
        <v>760.11996418979413</v>
      </c>
    </row>
    <row r="69" spans="1:9">
      <c r="A69" s="38"/>
      <c r="B69" s="194"/>
      <c r="C69" s="39"/>
      <c r="D69" s="195"/>
      <c r="E69" s="39"/>
      <c r="F69" s="196"/>
      <c r="G69" s="194"/>
      <c r="H69" s="41"/>
      <c r="I69" s="195"/>
    </row>
    <row r="70" spans="1:9">
      <c r="A70" s="54" t="s">
        <v>54</v>
      </c>
      <c r="B70" s="197"/>
      <c r="C70" s="39"/>
      <c r="D70" s="197"/>
      <c r="E70" s="13"/>
      <c r="F70" s="197"/>
      <c r="G70" s="197"/>
      <c r="H70" s="13"/>
      <c r="I70" s="197"/>
    </row>
    <row r="71" spans="1:9" s="13" customFormat="1">
      <c r="A71" s="5"/>
      <c r="B71" s="94"/>
      <c r="C71" s="39"/>
      <c r="D71" s="94"/>
      <c r="E71" s="5"/>
      <c r="F71" s="94"/>
      <c r="G71" s="94"/>
      <c r="H71" s="5"/>
      <c r="I71" s="94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整車比較</vt:lpstr>
      <vt:lpstr>整車出口全球總表更新至8月(記得隱藏)</vt:lpstr>
      <vt:lpstr>整車同期比較</vt:lpstr>
      <vt:lpstr>出口地區(整車)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'出口地區(整車)'!Print_Area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user</cp:lastModifiedBy>
  <cp:lastPrinted>2021-03-02T01:57:04Z</cp:lastPrinted>
  <dcterms:created xsi:type="dcterms:W3CDTF">2018-05-28T02:49:39Z</dcterms:created>
  <dcterms:modified xsi:type="dcterms:W3CDTF">2024-12-09T02:26:59Z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