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\\tba\Emily\各年統計\2024統計\2024正本\"/>
    </mc:Choice>
  </mc:AlternateContent>
  <xr:revisionPtr revIDLastSave="0" documentId="13_ncr:1_{DCB19DFF-63FF-4DB6-89CF-B8109A1C9CD8}" xr6:coauthVersionLast="47" xr6:coauthVersionMax="47" xr10:uidLastSave="{00000000-0000-0000-0000-000000000000}"/>
  <bookViews>
    <workbookView xWindow="6765" yWindow="225" windowWidth="13800" windowHeight="11715" tabRatio="685" firstSheet="4" activeTab="4" xr2:uid="{00000000-000D-0000-FFFF-FFFF00000000}"/>
  </bookViews>
  <sheets>
    <sheet name="整車" sheetId="1" r:id="rId1"/>
    <sheet name="整車同期比較" sheetId="27" r:id="rId2"/>
    <sheet name="整車比較" sheetId="2" r:id="rId3"/>
    <sheet name="整車出口全球總表更新至8月(記得隱藏)" sheetId="18" state="hidden" r:id="rId4"/>
    <sheet name="出口地區" sheetId="28" r:id="rId5"/>
    <sheet name="整車進口" sheetId="5" r:id="rId6"/>
    <sheet name="電輔車" sheetId="11" r:id="rId7"/>
    <sheet name="電輔車比較" sheetId="12" r:id="rId8"/>
    <sheet name="折疊車" sheetId="9" r:id="rId9"/>
    <sheet name="折疊車比較" sheetId="10" r:id="rId10"/>
    <sheet name="電動折疊同期比較 " sheetId="26" r:id="rId11"/>
    <sheet name="零件" sheetId="22" r:id="rId12"/>
    <sheet name="零件出口比較" sheetId="23" r:id="rId13"/>
    <sheet name="零件進口比較" sheetId="25" r:id="rId14"/>
    <sheet name="零件出進口國別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Print_Area" localSheetId="4">出口地區!$A$1:$J$34</definedName>
    <definedName name="_xlnm.Print_Area" localSheetId="10">'電動折疊同期比較 '!$A$1:$G$42</definedName>
    <definedName name="_xlnm.Print_Area" localSheetId="1">整車同期比較!$A$1:$G$42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22" l="1"/>
  <c r="I17" i="22"/>
  <c r="J59" i="22"/>
  <c r="J56" i="22"/>
  <c r="J53" i="22"/>
  <c r="J51" i="22"/>
  <c r="J49" i="22"/>
  <c r="J46" i="22"/>
  <c r="J40" i="22"/>
  <c r="J38" i="22"/>
  <c r="J36" i="22"/>
  <c r="J33" i="22"/>
  <c r="J30" i="22"/>
  <c r="J28" i="22"/>
  <c r="J24" i="22"/>
  <c r="J22" i="22"/>
  <c r="J19" i="22"/>
  <c r="J16" i="22"/>
  <c r="J13" i="22"/>
  <c r="I59" i="22"/>
  <c r="I56" i="22"/>
  <c r="I53" i="22"/>
  <c r="I51" i="22"/>
  <c r="I49" i="22"/>
  <c r="I46" i="22"/>
  <c r="I40" i="22"/>
  <c r="I38" i="22"/>
  <c r="I36" i="22"/>
  <c r="I33" i="22"/>
  <c r="I30" i="22"/>
  <c r="I24" i="22"/>
  <c r="I28" i="22"/>
  <c r="I22" i="22"/>
  <c r="I19" i="22"/>
  <c r="I16" i="22"/>
  <c r="I13" i="22"/>
  <c r="C20" i="22"/>
  <c r="C17" i="22"/>
  <c r="D59" i="22"/>
  <c r="D56" i="22"/>
  <c r="D53" i="22"/>
  <c r="D51" i="22"/>
  <c r="D49" i="22"/>
  <c r="D46" i="22"/>
  <c r="D40" i="22"/>
  <c r="D38" i="22"/>
  <c r="D36" i="22"/>
  <c r="D33" i="22"/>
  <c r="D30" i="22"/>
  <c r="D28" i="22"/>
  <c r="D24" i="22"/>
  <c r="D22" i="22"/>
  <c r="D19" i="22"/>
  <c r="D16" i="22"/>
  <c r="D13" i="22"/>
  <c r="C59" i="22"/>
  <c r="C56" i="22"/>
  <c r="C53" i="22"/>
  <c r="C51" i="22"/>
  <c r="C49" i="22"/>
  <c r="C46" i="22"/>
  <c r="C40" i="22"/>
  <c r="C38" i="22"/>
  <c r="C36" i="22"/>
  <c r="C33" i="22"/>
  <c r="C30" i="22"/>
  <c r="C28" i="22"/>
  <c r="C24" i="22"/>
  <c r="C22" i="22"/>
  <c r="C19" i="22"/>
  <c r="C16" i="22"/>
  <c r="C13" i="22"/>
  <c r="F20" i="22"/>
  <c r="F17" i="22"/>
  <c r="G59" i="22"/>
  <c r="F59" i="22"/>
  <c r="G56" i="22"/>
  <c r="F56" i="22"/>
  <c r="G53" i="22"/>
  <c r="F53" i="22"/>
  <c r="G51" i="22"/>
  <c r="F51" i="22"/>
  <c r="G49" i="22"/>
  <c r="F49" i="22"/>
  <c r="G46" i="22"/>
  <c r="F46" i="22"/>
  <c r="G40" i="22"/>
  <c r="F40" i="22"/>
  <c r="G38" i="22"/>
  <c r="F38" i="22"/>
  <c r="G36" i="22"/>
  <c r="F36" i="22"/>
  <c r="G33" i="22"/>
  <c r="F33" i="22"/>
  <c r="G30" i="22"/>
  <c r="F30" i="22"/>
  <c r="G28" i="22"/>
  <c r="F28" i="22"/>
  <c r="G24" i="22"/>
  <c r="F24" i="22"/>
  <c r="G22" i="22"/>
  <c r="F22" i="22"/>
  <c r="G19" i="22"/>
  <c r="F19" i="22"/>
  <c r="G16" i="22"/>
  <c r="F16" i="22"/>
  <c r="G13" i="22"/>
  <c r="F13" i="22"/>
  <c r="L20" i="22" l="1"/>
  <c r="L17" i="22"/>
  <c r="M59" i="22"/>
  <c r="M56" i="22"/>
  <c r="M53" i="22"/>
  <c r="M51" i="22"/>
  <c r="M49" i="22"/>
  <c r="M46" i="22"/>
  <c r="M40" i="22"/>
  <c r="M38" i="22"/>
  <c r="M36" i="22"/>
  <c r="M33" i="22"/>
  <c r="M30" i="22"/>
  <c r="M28" i="22"/>
  <c r="M24" i="22"/>
  <c r="M22" i="22"/>
  <c r="M19" i="22"/>
  <c r="M16" i="22"/>
  <c r="L59" i="22"/>
  <c r="L56" i="22"/>
  <c r="L53" i="22"/>
  <c r="L51" i="22"/>
  <c r="L49" i="22"/>
  <c r="L46" i="22"/>
  <c r="L40" i="22"/>
  <c r="L38" i="22"/>
  <c r="L36" i="22"/>
  <c r="L33" i="22"/>
  <c r="L30" i="22"/>
  <c r="L28" i="22"/>
  <c r="L24" i="22"/>
  <c r="L22" i="22"/>
  <c r="L19" i="22"/>
  <c r="L16" i="22"/>
  <c r="M13" i="22"/>
  <c r="L13" i="22"/>
  <c r="G29" i="26"/>
  <c r="D29" i="26"/>
  <c r="G8" i="26"/>
  <c r="D8" i="26"/>
  <c r="F64" i="12"/>
  <c r="F62" i="12"/>
  <c r="F61" i="12"/>
  <c r="F55" i="12"/>
  <c r="F56" i="12"/>
  <c r="F57" i="12"/>
  <c r="F58" i="12"/>
  <c r="F54" i="12"/>
  <c r="F52" i="12"/>
  <c r="F50" i="12"/>
  <c r="F49" i="12"/>
  <c r="F44" i="12"/>
  <c r="F43" i="12"/>
  <c r="F26" i="12"/>
  <c r="F27" i="12"/>
  <c r="F28" i="12"/>
  <c r="F29" i="12"/>
  <c r="F25" i="12"/>
  <c r="F22" i="12"/>
  <c r="F15" i="12"/>
  <c r="F16" i="12"/>
  <c r="F17" i="12"/>
  <c r="F18" i="12"/>
  <c r="F19" i="12"/>
  <c r="F20" i="12"/>
  <c r="F14" i="12"/>
  <c r="F10" i="12"/>
  <c r="F11" i="12"/>
  <c r="F9" i="12"/>
  <c r="C64" i="12"/>
  <c r="C50" i="12"/>
  <c r="C52" i="12"/>
  <c r="C54" i="12"/>
  <c r="C55" i="12"/>
  <c r="C56" i="12"/>
  <c r="C57" i="12"/>
  <c r="C58" i="12"/>
  <c r="C61" i="12"/>
  <c r="C62" i="12"/>
  <c r="C49" i="12"/>
  <c r="C44" i="12"/>
  <c r="C43" i="12"/>
  <c r="C15" i="12"/>
  <c r="C16" i="12"/>
  <c r="C17" i="12"/>
  <c r="C18" i="12"/>
  <c r="C19" i="12"/>
  <c r="C20" i="12"/>
  <c r="C22" i="12"/>
  <c r="C25" i="12"/>
  <c r="C26" i="12"/>
  <c r="C27" i="12"/>
  <c r="C28" i="12"/>
  <c r="C29" i="12"/>
  <c r="C14" i="12"/>
  <c r="C10" i="12"/>
  <c r="C11" i="12"/>
  <c r="C9" i="12"/>
  <c r="G64" i="11"/>
  <c r="G62" i="11"/>
  <c r="G61" i="11"/>
  <c r="G58" i="11"/>
  <c r="G55" i="11"/>
  <c r="G50" i="11"/>
  <c r="G52" i="11"/>
  <c r="G49" i="11"/>
  <c r="G44" i="11"/>
  <c r="G45" i="11"/>
  <c r="G43" i="11"/>
  <c r="G26" i="11"/>
  <c r="G27" i="11"/>
  <c r="G28" i="11"/>
  <c r="G29" i="11"/>
  <c r="G30" i="11"/>
  <c r="G25" i="11"/>
  <c r="G21" i="11"/>
  <c r="G15" i="11"/>
  <c r="G16" i="11"/>
  <c r="G17" i="11"/>
  <c r="G18" i="11"/>
  <c r="G19" i="11"/>
  <c r="G20" i="11"/>
  <c r="G14" i="11"/>
  <c r="G10" i="11"/>
  <c r="G11" i="11"/>
  <c r="G9" i="11"/>
  <c r="E42" i="11"/>
  <c r="E13" i="11"/>
  <c r="E8" i="11"/>
  <c r="E64" i="11"/>
  <c r="E50" i="11"/>
  <c r="E52" i="11"/>
  <c r="E55" i="11"/>
  <c r="E58" i="11"/>
  <c r="E61" i="11"/>
  <c r="E62" i="11"/>
  <c r="E49" i="11"/>
  <c r="E44" i="11"/>
  <c r="E45" i="11"/>
  <c r="E43" i="11"/>
  <c r="E15" i="11"/>
  <c r="E16" i="11"/>
  <c r="E17" i="11"/>
  <c r="E18" i="11"/>
  <c r="E19" i="11"/>
  <c r="E20" i="11"/>
  <c r="E21" i="11"/>
  <c r="E25" i="11"/>
  <c r="E26" i="11"/>
  <c r="E27" i="11"/>
  <c r="E28" i="11"/>
  <c r="E29" i="11"/>
  <c r="E30" i="11"/>
  <c r="E14" i="11"/>
  <c r="E10" i="11"/>
  <c r="E11" i="11"/>
  <c r="E9" i="11"/>
  <c r="C64" i="11"/>
  <c r="C62" i="11"/>
  <c r="C61" i="11"/>
  <c r="C58" i="11"/>
  <c r="C55" i="11"/>
  <c r="C52" i="11"/>
  <c r="C50" i="11"/>
  <c r="C49" i="11"/>
  <c r="C45" i="11"/>
  <c r="C44" i="11"/>
  <c r="C43" i="11"/>
  <c r="C30" i="11"/>
  <c r="C26" i="11"/>
  <c r="C27" i="11"/>
  <c r="C28" i="11"/>
  <c r="C25" i="11"/>
  <c r="C15" i="11"/>
  <c r="C16" i="11"/>
  <c r="C17" i="11"/>
  <c r="C18" i="11"/>
  <c r="C19" i="11"/>
  <c r="C20" i="11"/>
  <c r="C14" i="11"/>
  <c r="C10" i="11"/>
  <c r="C9" i="11"/>
  <c r="B64" i="11"/>
  <c r="B50" i="11"/>
  <c r="B52" i="11"/>
  <c r="B55" i="11"/>
  <c r="B58" i="11"/>
  <c r="B61" i="11"/>
  <c r="B62" i="11"/>
  <c r="B49" i="11"/>
  <c r="B44" i="11"/>
  <c r="B45" i="11"/>
  <c r="B43" i="11"/>
  <c r="B15" i="11"/>
  <c r="B16" i="11"/>
  <c r="B17" i="11"/>
  <c r="B18" i="11"/>
  <c r="B19" i="11"/>
  <c r="B20" i="11"/>
  <c r="B25" i="11"/>
  <c r="B26" i="11"/>
  <c r="B27" i="11"/>
  <c r="B28" i="11"/>
  <c r="B30" i="11"/>
  <c r="B14" i="11"/>
  <c r="B10" i="11"/>
  <c r="B9" i="11"/>
  <c r="F68" i="10"/>
  <c r="F66" i="10"/>
  <c r="F58" i="10"/>
  <c r="F59" i="10"/>
  <c r="F57" i="10"/>
  <c r="F56" i="10"/>
  <c r="F49" i="10"/>
  <c r="F15" i="10"/>
  <c r="C68" i="10"/>
  <c r="C49" i="10"/>
  <c r="C56" i="10"/>
  <c r="C57" i="10"/>
  <c r="C58" i="10"/>
  <c r="C59" i="10"/>
  <c r="C66" i="10"/>
  <c r="C15" i="10"/>
  <c r="G66" i="5"/>
  <c r="G65" i="5" s="1"/>
  <c r="G61" i="5"/>
  <c r="G59" i="5"/>
  <c r="G49" i="5"/>
  <c r="G48" i="5"/>
  <c r="G24" i="5"/>
  <c r="G17" i="5"/>
  <c r="G15" i="5"/>
  <c r="G14" i="5"/>
  <c r="G13" i="5"/>
  <c r="G8" i="5"/>
  <c r="E65" i="5"/>
  <c r="E47" i="5"/>
  <c r="E41" i="5"/>
  <c r="E12" i="5"/>
  <c r="E7" i="5"/>
  <c r="E66" i="5"/>
  <c r="E49" i="5"/>
  <c r="E58" i="5"/>
  <c r="E59" i="5"/>
  <c r="E61" i="5"/>
  <c r="E48" i="5"/>
  <c r="E14" i="5"/>
  <c r="E15" i="5"/>
  <c r="E17" i="5"/>
  <c r="E24" i="5"/>
  <c r="E13" i="5"/>
  <c r="E8" i="5"/>
  <c r="C66" i="5"/>
  <c r="B66" i="5"/>
  <c r="B49" i="5"/>
  <c r="C49" i="5"/>
  <c r="B58" i="5"/>
  <c r="C58" i="5"/>
  <c r="B59" i="5"/>
  <c r="C59" i="5"/>
  <c r="B61" i="5"/>
  <c r="C61" i="5"/>
  <c r="C48" i="5"/>
  <c r="B48" i="5"/>
  <c r="B14" i="5"/>
  <c r="C14" i="5"/>
  <c r="B15" i="5"/>
  <c r="C15" i="5"/>
  <c r="B17" i="5"/>
  <c r="C17" i="5"/>
  <c r="C8" i="5"/>
  <c r="B8" i="5"/>
  <c r="B10" i="28"/>
  <c r="B9" i="28"/>
  <c r="F67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48" i="2"/>
  <c r="F43" i="2"/>
  <c r="F42" i="2"/>
  <c r="F41" i="2"/>
  <c r="F39" i="2"/>
  <c r="F35" i="2"/>
  <c r="F33" i="2"/>
  <c r="F31" i="2"/>
  <c r="F24" i="2"/>
  <c r="F25" i="2"/>
  <c r="F26" i="2"/>
  <c r="F27" i="2"/>
  <c r="F28" i="2"/>
  <c r="F29" i="2"/>
  <c r="F23" i="2"/>
  <c r="F21" i="2"/>
  <c r="F14" i="2"/>
  <c r="F15" i="2"/>
  <c r="F16" i="2"/>
  <c r="F17" i="2"/>
  <c r="F18" i="2"/>
  <c r="F19" i="2"/>
  <c r="F13" i="2"/>
  <c r="F9" i="2"/>
  <c r="F10" i="2"/>
  <c r="F8" i="2"/>
  <c r="C67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48" i="2"/>
  <c r="C43" i="2"/>
  <c r="C42" i="2"/>
  <c r="C14" i="2"/>
  <c r="C15" i="2"/>
  <c r="C16" i="2"/>
  <c r="C17" i="2"/>
  <c r="C18" i="2"/>
  <c r="C19" i="2"/>
  <c r="C21" i="2"/>
  <c r="C23" i="2"/>
  <c r="C24" i="2"/>
  <c r="C25" i="2"/>
  <c r="C26" i="2"/>
  <c r="C27" i="2"/>
  <c r="C28" i="2"/>
  <c r="C29" i="2"/>
  <c r="C31" i="2"/>
  <c r="C33" i="2"/>
  <c r="C35" i="2"/>
  <c r="C39" i="2"/>
  <c r="C13" i="2"/>
  <c r="C9" i="2"/>
  <c r="C10" i="2"/>
  <c r="C8" i="2"/>
  <c r="G48" i="11" l="1"/>
  <c r="G42" i="11"/>
  <c r="G13" i="11"/>
  <c r="G8" i="11"/>
  <c r="E48" i="11"/>
  <c r="G28" i="27"/>
  <c r="G29" i="27"/>
  <c r="D28" i="27"/>
  <c r="D8" i="27"/>
  <c r="G8" i="27"/>
  <c r="G67" i="1"/>
  <c r="H45" i="1" s="1"/>
  <c r="G47" i="1"/>
  <c r="G49" i="1"/>
  <c r="G50" i="1"/>
  <c r="G51" i="1"/>
  <c r="G52" i="1"/>
  <c r="G53" i="1"/>
  <c r="G54" i="1"/>
  <c r="G56" i="1"/>
  <c r="G57" i="1"/>
  <c r="G58" i="1"/>
  <c r="G59" i="1"/>
  <c r="G60" i="1"/>
  <c r="G61" i="1"/>
  <c r="G62" i="1"/>
  <c r="G63" i="1"/>
  <c r="G64" i="1"/>
  <c r="G65" i="1"/>
  <c r="G48" i="1"/>
  <c r="G41" i="1"/>
  <c r="G44" i="1"/>
  <c r="G43" i="1"/>
  <c r="G42" i="1"/>
  <c r="G36" i="1"/>
  <c r="G33" i="1"/>
  <c r="G31" i="1"/>
  <c r="G25" i="1"/>
  <c r="G26" i="1"/>
  <c r="G27" i="1"/>
  <c r="G28" i="1"/>
  <c r="G29" i="1"/>
  <c r="G24" i="1"/>
  <c r="G14" i="1"/>
  <c r="G15" i="1"/>
  <c r="G16" i="1"/>
  <c r="G17" i="1"/>
  <c r="G18" i="1"/>
  <c r="G19" i="1"/>
  <c r="G20" i="1"/>
  <c r="G13" i="1"/>
  <c r="G9" i="1"/>
  <c r="G10" i="1"/>
  <c r="G8" i="1"/>
  <c r="G7" i="1" s="1"/>
  <c r="E67" i="1"/>
  <c r="F67" i="1" s="1"/>
  <c r="E49" i="1"/>
  <c r="E50" i="1"/>
  <c r="E51" i="1"/>
  <c r="E52" i="1"/>
  <c r="E53" i="1"/>
  <c r="E54" i="1"/>
  <c r="E56" i="1"/>
  <c r="E57" i="1"/>
  <c r="E58" i="1"/>
  <c r="E59" i="1"/>
  <c r="E60" i="1"/>
  <c r="E61" i="1"/>
  <c r="E62" i="1"/>
  <c r="E63" i="1"/>
  <c r="E64" i="1"/>
  <c r="E65" i="1"/>
  <c r="E48" i="1"/>
  <c r="E43" i="1"/>
  <c r="E44" i="1"/>
  <c r="E42" i="1"/>
  <c r="E14" i="1"/>
  <c r="E15" i="1"/>
  <c r="E16" i="1"/>
  <c r="E17" i="1"/>
  <c r="E18" i="1"/>
  <c r="E19" i="1"/>
  <c r="E20" i="1"/>
  <c r="E24" i="1"/>
  <c r="E25" i="1"/>
  <c r="E26" i="1"/>
  <c r="E27" i="1"/>
  <c r="E28" i="1"/>
  <c r="E29" i="1"/>
  <c r="E31" i="1"/>
  <c r="E33" i="1"/>
  <c r="E36" i="1"/>
  <c r="E13" i="1"/>
  <c r="E9" i="1"/>
  <c r="E7" i="1" s="1"/>
  <c r="E10" i="1"/>
  <c r="E8" i="1"/>
  <c r="C67" i="1"/>
  <c r="C61" i="1"/>
  <c r="C62" i="1"/>
  <c r="C63" i="1"/>
  <c r="C64" i="1"/>
  <c r="C65" i="1"/>
  <c r="C60" i="1"/>
  <c r="C58" i="1"/>
  <c r="C57" i="1"/>
  <c r="C56" i="1"/>
  <c r="C54" i="1"/>
  <c r="C53" i="1"/>
  <c r="C51" i="1"/>
  <c r="C50" i="1"/>
  <c r="C49" i="1"/>
  <c r="C48" i="1"/>
  <c r="C44" i="1"/>
  <c r="C43" i="1"/>
  <c r="C42" i="1"/>
  <c r="C33" i="1"/>
  <c r="C31" i="1"/>
  <c r="C29" i="1"/>
  <c r="C28" i="1"/>
  <c r="C27" i="1"/>
  <c r="C26" i="1"/>
  <c r="C25" i="1"/>
  <c r="C15" i="1"/>
  <c r="C16" i="1"/>
  <c r="C17" i="1"/>
  <c r="C18" i="1"/>
  <c r="C19" i="1"/>
  <c r="C13" i="1"/>
  <c r="C14" i="1"/>
  <c r="C9" i="1"/>
  <c r="C10" i="1"/>
  <c r="C8" i="1"/>
  <c r="B67" i="1"/>
  <c r="B49" i="1"/>
  <c r="B50" i="1"/>
  <c r="B51" i="1"/>
  <c r="B53" i="1"/>
  <c r="B54" i="1"/>
  <c r="B56" i="1"/>
  <c r="B57" i="1"/>
  <c r="B58" i="1"/>
  <c r="B60" i="1"/>
  <c r="B61" i="1"/>
  <c r="B62" i="1"/>
  <c r="B63" i="1"/>
  <c r="B64" i="1"/>
  <c r="B65" i="1"/>
  <c r="B48" i="1"/>
  <c r="B43" i="1"/>
  <c r="B44" i="1"/>
  <c r="B42" i="1"/>
  <c r="B14" i="1"/>
  <c r="B15" i="1"/>
  <c r="B16" i="1"/>
  <c r="B17" i="1"/>
  <c r="B18" i="1"/>
  <c r="B19" i="1"/>
  <c r="B25" i="1"/>
  <c r="B26" i="1"/>
  <c r="B27" i="1"/>
  <c r="B28" i="1"/>
  <c r="B29" i="1"/>
  <c r="B31" i="1"/>
  <c r="B33" i="1"/>
  <c r="B13" i="1"/>
  <c r="B9" i="1"/>
  <c r="B10" i="1"/>
  <c r="B8" i="1"/>
  <c r="D8" i="28"/>
  <c r="D7" i="28"/>
  <c r="B63" i="23"/>
  <c r="E68" i="10"/>
  <c r="G63" i="11" l="1"/>
  <c r="E63" i="11"/>
  <c r="H10" i="1"/>
  <c r="H8" i="1"/>
  <c r="H9" i="1"/>
  <c r="H7" i="1"/>
  <c r="E12" i="1"/>
  <c r="G12" i="1"/>
  <c r="B8" i="28"/>
  <c r="B7" i="28"/>
  <c r="C27" i="9"/>
  <c r="C46" i="11" l="1"/>
  <c r="F60" i="12"/>
  <c r="F53" i="12"/>
  <c r="F51" i="12"/>
  <c r="F46" i="12"/>
  <c r="F45" i="12"/>
  <c r="F40" i="12"/>
  <c r="F39" i="12"/>
  <c r="F38" i="12"/>
  <c r="F37" i="12"/>
  <c r="F36" i="12"/>
  <c r="F35" i="12"/>
  <c r="F34" i="12"/>
  <c r="F33" i="12"/>
  <c r="F32" i="12"/>
  <c r="F31" i="12"/>
  <c r="F30" i="12"/>
  <c r="F24" i="12"/>
  <c r="F23" i="12"/>
  <c r="F21" i="12"/>
  <c r="F49" i="11"/>
  <c r="H49" i="11"/>
  <c r="F64" i="10"/>
  <c r="F63" i="10"/>
  <c r="F62" i="10"/>
  <c r="F61" i="10"/>
  <c r="F60" i="10"/>
  <c r="F55" i="10"/>
  <c r="F54" i="10"/>
  <c r="F53" i="10"/>
  <c r="F52" i="10"/>
  <c r="F51" i="10"/>
  <c r="F50" i="10"/>
  <c r="F45" i="10"/>
  <c r="F44" i="10"/>
  <c r="F43" i="10"/>
  <c r="F42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3" i="10"/>
  <c r="F22" i="10"/>
  <c r="F21" i="10"/>
  <c r="F20" i="10"/>
  <c r="F19" i="10"/>
  <c r="F18" i="10"/>
  <c r="F17" i="10"/>
  <c r="F16" i="10"/>
  <c r="F14" i="10"/>
  <c r="F10" i="10"/>
  <c r="F9" i="10"/>
  <c r="G65" i="9"/>
  <c r="E65" i="9"/>
  <c r="G64" i="9"/>
  <c r="E64" i="9"/>
  <c r="G63" i="9"/>
  <c r="E63" i="9"/>
  <c r="G62" i="9"/>
  <c r="E62" i="9"/>
  <c r="G61" i="9"/>
  <c r="E61" i="9"/>
  <c r="G60" i="9"/>
  <c r="E60" i="9"/>
  <c r="G55" i="9"/>
  <c r="E55" i="9"/>
  <c r="G54" i="9"/>
  <c r="E54" i="9"/>
  <c r="G53" i="9"/>
  <c r="E53" i="9"/>
  <c r="G52" i="9"/>
  <c r="E52" i="9"/>
  <c r="G51" i="9"/>
  <c r="E51" i="9"/>
  <c r="G50" i="9"/>
  <c r="E50" i="9"/>
  <c r="G48" i="9"/>
  <c r="E48" i="9"/>
  <c r="G45" i="9"/>
  <c r="E45" i="9"/>
  <c r="G44" i="9"/>
  <c r="E44" i="9"/>
  <c r="G43" i="9"/>
  <c r="E43" i="9"/>
  <c r="G42" i="9"/>
  <c r="E42" i="9"/>
  <c r="G39" i="9"/>
  <c r="E39" i="9"/>
  <c r="G38" i="9"/>
  <c r="E38" i="9"/>
  <c r="G37" i="9"/>
  <c r="E37" i="9"/>
  <c r="G36" i="9"/>
  <c r="E36" i="9"/>
  <c r="G35" i="9"/>
  <c r="E35" i="9"/>
  <c r="G34" i="9"/>
  <c r="E34" i="9"/>
  <c r="G33" i="9"/>
  <c r="E33" i="9"/>
  <c r="G32" i="9"/>
  <c r="E32" i="9"/>
  <c r="G31" i="9"/>
  <c r="E31" i="9"/>
  <c r="G30" i="9"/>
  <c r="E30" i="9"/>
  <c r="G29" i="9"/>
  <c r="E29" i="9"/>
  <c r="G28" i="9"/>
  <c r="E28" i="9"/>
  <c r="G27" i="9"/>
  <c r="E27" i="9"/>
  <c r="G26" i="9"/>
  <c r="E26" i="9"/>
  <c r="G25" i="9"/>
  <c r="E25" i="9"/>
  <c r="G24" i="9"/>
  <c r="E24" i="9"/>
  <c r="G23" i="9"/>
  <c r="E23" i="9"/>
  <c r="G22" i="9"/>
  <c r="E22" i="9"/>
  <c r="G21" i="9"/>
  <c r="E21" i="9"/>
  <c r="G20" i="9"/>
  <c r="E20" i="9"/>
  <c r="G19" i="9"/>
  <c r="E19" i="9"/>
  <c r="G18" i="9"/>
  <c r="E18" i="9"/>
  <c r="G17" i="9"/>
  <c r="E17" i="9"/>
  <c r="G16" i="9"/>
  <c r="E16" i="9"/>
  <c r="G14" i="9"/>
  <c r="E14" i="9"/>
  <c r="G10" i="9"/>
  <c r="E10" i="9"/>
  <c r="G9" i="9"/>
  <c r="E9" i="9"/>
  <c r="G8" i="9"/>
  <c r="E8" i="9"/>
  <c r="C65" i="9"/>
  <c r="B65" i="9"/>
  <c r="C64" i="9"/>
  <c r="B64" i="9"/>
  <c r="C63" i="9"/>
  <c r="B63" i="9"/>
  <c r="C62" i="9"/>
  <c r="B62" i="9"/>
  <c r="C61" i="9"/>
  <c r="B61" i="9"/>
  <c r="C60" i="9"/>
  <c r="B60" i="9"/>
  <c r="C55" i="9"/>
  <c r="B55" i="9"/>
  <c r="C54" i="9"/>
  <c r="B54" i="9"/>
  <c r="C53" i="9"/>
  <c r="B53" i="9"/>
  <c r="C52" i="9"/>
  <c r="B52" i="9"/>
  <c r="C51" i="9"/>
  <c r="B51" i="9"/>
  <c r="C50" i="9"/>
  <c r="B50" i="9"/>
  <c r="C48" i="9"/>
  <c r="B48" i="9"/>
  <c r="C45" i="9"/>
  <c r="B45" i="9"/>
  <c r="C44" i="9"/>
  <c r="B44" i="9"/>
  <c r="C43" i="9"/>
  <c r="B43" i="9"/>
  <c r="C42" i="9"/>
  <c r="B42" i="9"/>
  <c r="C39" i="9"/>
  <c r="B39" i="9"/>
  <c r="C38" i="9"/>
  <c r="B38" i="9"/>
  <c r="C37" i="9"/>
  <c r="B37" i="9"/>
  <c r="C36" i="9"/>
  <c r="B36" i="9"/>
  <c r="C35" i="9"/>
  <c r="B35" i="9"/>
  <c r="C34" i="9"/>
  <c r="B34" i="9"/>
  <c r="C33" i="9"/>
  <c r="B33" i="9"/>
  <c r="C32" i="9"/>
  <c r="B32" i="9"/>
  <c r="C31" i="9"/>
  <c r="B31" i="9"/>
  <c r="C30" i="9"/>
  <c r="B30" i="9"/>
  <c r="C29" i="9"/>
  <c r="B29" i="9"/>
  <c r="C28" i="9"/>
  <c r="B28" i="9"/>
  <c r="B27" i="9"/>
  <c r="C26" i="9"/>
  <c r="B26" i="9"/>
  <c r="C25" i="9"/>
  <c r="B25" i="9"/>
  <c r="C24" i="9"/>
  <c r="B24" i="9"/>
  <c r="C23" i="9"/>
  <c r="B23" i="9"/>
  <c r="C22" i="9"/>
  <c r="B22" i="9"/>
  <c r="C21" i="9"/>
  <c r="B21" i="9"/>
  <c r="C20" i="9"/>
  <c r="B20" i="9"/>
  <c r="C19" i="9"/>
  <c r="B19" i="9"/>
  <c r="C18" i="9"/>
  <c r="B18" i="9"/>
  <c r="C17" i="9"/>
  <c r="B17" i="9"/>
  <c r="C16" i="9"/>
  <c r="B16" i="9"/>
  <c r="C14" i="9"/>
  <c r="B14" i="9"/>
  <c r="C10" i="9"/>
  <c r="B10" i="9"/>
  <c r="C9" i="9"/>
  <c r="B9" i="9"/>
  <c r="C8" i="9"/>
  <c r="F36" i="2"/>
  <c r="F22" i="2"/>
  <c r="F20" i="2"/>
  <c r="C45" i="1"/>
  <c r="C14" i="22"/>
  <c r="H105" i="30"/>
  <c r="H120" i="30" l="1"/>
  <c r="C30" i="30"/>
  <c r="J120" i="30"/>
  <c r="E150" i="30"/>
  <c r="E165" i="30"/>
  <c r="C60" i="30"/>
  <c r="H165" i="30"/>
  <c r="E30" i="30"/>
  <c r="H30" i="30"/>
  <c r="C165" i="30"/>
  <c r="H150" i="30"/>
  <c r="J150" i="30"/>
  <c r="J165" i="30"/>
  <c r="J30" i="30"/>
  <c r="C45" i="30"/>
  <c r="C105" i="30"/>
  <c r="C120" i="30"/>
  <c r="H135" i="30"/>
  <c r="H15" i="30"/>
  <c r="H75" i="30"/>
  <c r="C90" i="30"/>
  <c r="E120" i="30"/>
  <c r="C135" i="30"/>
  <c r="C150" i="30"/>
  <c r="E15" i="30"/>
  <c r="J15" i="30"/>
  <c r="J45" i="30"/>
  <c r="H60" i="30"/>
  <c r="C75" i="30"/>
  <c r="J135" i="30"/>
  <c r="E135" i="30"/>
  <c r="C15" i="30"/>
  <c r="J60" i="30"/>
  <c r="H45" i="30"/>
  <c r="E60" i="30"/>
  <c r="E75" i="30"/>
  <c r="J75" i="30"/>
  <c r="J90" i="30"/>
  <c r="E90" i="30"/>
  <c r="H90" i="30"/>
  <c r="E105" i="30"/>
  <c r="J105" i="30"/>
  <c r="E45" i="30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G45" i="2"/>
  <c r="D45" i="2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G66" i="10" s="1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E56" i="10"/>
  <c r="G56" i="10" s="1"/>
  <c r="B50" i="10"/>
  <c r="H50" i="10" s="1"/>
  <c r="B49" i="10"/>
  <c r="H49" i="10" s="1"/>
  <c r="I66" i="10"/>
  <c r="I62" i="10"/>
  <c r="J62" i="10" s="1"/>
  <c r="D62" i="10"/>
  <c r="I50" i="10"/>
  <c r="I25" i="9"/>
  <c r="I21" i="9"/>
  <c r="I17" i="9"/>
  <c r="I44" i="9"/>
  <c r="B65" i="10"/>
  <c r="D65" i="10" s="1"/>
  <c r="B64" i="10"/>
  <c r="H64" i="10" s="1"/>
  <c r="E63" i="10"/>
  <c r="I62" i="9"/>
  <c r="B60" i="10"/>
  <c r="H60" i="10" s="1"/>
  <c r="B59" i="10"/>
  <c r="E53" i="10"/>
  <c r="I52" i="9"/>
  <c r="D57" i="10"/>
  <c r="I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D55" i="10" l="1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J57" i="10"/>
  <c r="D56" i="10"/>
  <c r="H54" i="10"/>
  <c r="J54" i="10" s="1"/>
  <c r="D54" i="10"/>
  <c r="D66" i="10"/>
  <c r="D59" i="10"/>
  <c r="D64" i="10"/>
  <c r="D63" i="23" l="1"/>
  <c r="G60" i="12"/>
  <c r="D60" i="12"/>
  <c r="G51" i="12"/>
  <c r="D51" i="12"/>
  <c r="G46" i="12"/>
  <c r="D46" i="12"/>
  <c r="G45" i="12"/>
  <c r="D45" i="12"/>
  <c r="G40" i="12"/>
  <c r="D40" i="12"/>
  <c r="G39" i="12"/>
  <c r="D39" i="12"/>
  <c r="G38" i="12"/>
  <c r="D38" i="12"/>
  <c r="G37" i="12"/>
  <c r="D37" i="12"/>
  <c r="G36" i="12"/>
  <c r="D36" i="12"/>
  <c r="G33" i="12"/>
  <c r="D33" i="12"/>
  <c r="G21" i="12"/>
  <c r="D21" i="12"/>
  <c r="G45" i="10"/>
  <c r="D45" i="10"/>
  <c r="G44" i="10"/>
  <c r="D44" i="10"/>
  <c r="G43" i="10"/>
  <c r="D43" i="10"/>
  <c r="G42" i="10"/>
  <c r="D42" i="10"/>
  <c r="G39" i="10"/>
  <c r="D39" i="10"/>
  <c r="G38" i="10"/>
  <c r="D38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G9" i="10"/>
  <c r="D9" i="10"/>
  <c r="E42" i="10"/>
  <c r="E45" i="2"/>
  <c r="E44" i="2"/>
  <c r="G44" i="2" s="1"/>
  <c r="E43" i="2"/>
  <c r="G43" i="2" s="1"/>
  <c r="G68" i="10" l="1"/>
  <c r="F30" i="9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39" i="1"/>
  <c r="D38" i="1"/>
  <c r="D37" i="1"/>
  <c r="D36" i="1"/>
  <c r="D35" i="1"/>
  <c r="D34" i="1"/>
  <c r="D32" i="1"/>
  <c r="D31" i="1"/>
  <c r="D30" i="1"/>
  <c r="D28" i="1"/>
  <c r="D26" i="1"/>
  <c r="D24" i="1"/>
  <c r="D22" i="1"/>
  <c r="D21" i="1"/>
  <c r="D20" i="1"/>
  <c r="D18" i="1"/>
  <c r="D16" i="1"/>
  <c r="D14" i="1"/>
  <c r="D10" i="1"/>
  <c r="D8" i="1"/>
  <c r="I13" i="2" l="1"/>
  <c r="I17" i="2"/>
  <c r="I23" i="2"/>
  <c r="I29" i="2"/>
  <c r="I33" i="2"/>
  <c r="I39" i="2"/>
  <c r="I52" i="2"/>
  <c r="I56" i="2"/>
  <c r="I58" i="2"/>
  <c r="I60" i="2"/>
  <c r="I62" i="2"/>
  <c r="I64" i="2"/>
  <c r="I9" i="12"/>
  <c r="I11" i="12"/>
  <c r="I15" i="12"/>
  <c r="I17" i="12"/>
  <c r="I19" i="12"/>
  <c r="I21" i="12"/>
  <c r="J21" i="12" s="1"/>
  <c r="I23" i="12"/>
  <c r="I25" i="12"/>
  <c r="I27" i="12"/>
  <c r="I29" i="12"/>
  <c r="I31" i="12"/>
  <c r="I33" i="12"/>
  <c r="J33" i="12" s="1"/>
  <c r="I35" i="12"/>
  <c r="I37" i="12"/>
  <c r="J37" i="12" s="1"/>
  <c r="I39" i="12"/>
  <c r="J39" i="12" s="1"/>
  <c r="I43" i="12"/>
  <c r="I45" i="12"/>
  <c r="J45" i="12" s="1"/>
  <c r="I49" i="12"/>
  <c r="I51" i="12"/>
  <c r="J51" i="12" s="1"/>
  <c r="I53" i="12"/>
  <c r="I55" i="12"/>
  <c r="I57" i="12"/>
  <c r="I59" i="12"/>
  <c r="I61" i="12"/>
  <c r="I15" i="2"/>
  <c r="I19" i="2"/>
  <c r="I25" i="2"/>
  <c r="I31" i="2"/>
  <c r="I37" i="2"/>
  <c r="I50" i="2"/>
  <c r="I9" i="10"/>
  <c r="J9" i="10" s="1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I9" i="2"/>
  <c r="I21" i="2"/>
  <c r="I27" i="2"/>
  <c r="I35" i="2"/>
  <c r="I43" i="2"/>
  <c r="I48" i="2"/>
  <c r="I54" i="2"/>
  <c r="I8" i="2"/>
  <c r="I10" i="2"/>
  <c r="I14" i="2"/>
  <c r="I16" i="2"/>
  <c r="I18" i="2"/>
  <c r="I20" i="2"/>
  <c r="I22" i="2"/>
  <c r="I24" i="2"/>
  <c r="I26" i="2"/>
  <c r="I28" i="2"/>
  <c r="I30" i="2"/>
  <c r="I32" i="2"/>
  <c r="I34" i="2"/>
  <c r="I36" i="2"/>
  <c r="I38" i="2"/>
  <c r="I42" i="2"/>
  <c r="I44" i="2"/>
  <c r="I49" i="2"/>
  <c r="I51" i="2"/>
  <c r="I53" i="2"/>
  <c r="I55" i="2"/>
  <c r="I57" i="2"/>
  <c r="I59" i="2"/>
  <c r="I61" i="2"/>
  <c r="I63" i="2"/>
  <c r="I65" i="2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3" i="11"/>
  <c r="I45" i="11"/>
  <c r="I49" i="11"/>
  <c r="I53" i="11"/>
  <c r="I55" i="11"/>
  <c r="I57" i="11"/>
  <c r="I61" i="11"/>
  <c r="I10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J36" i="12" s="1"/>
  <c r="I38" i="12"/>
  <c r="J38" i="12" s="1"/>
  <c r="I40" i="12"/>
  <c r="J40" i="12" s="1"/>
  <c r="I44" i="12"/>
  <c r="I46" i="12"/>
  <c r="J46" i="12" s="1"/>
  <c r="I50" i="12"/>
  <c r="I52" i="12"/>
  <c r="I54" i="12"/>
  <c r="I56" i="12"/>
  <c r="I58" i="12"/>
  <c r="I60" i="12"/>
  <c r="J60" i="12" s="1"/>
  <c r="I62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J38" i="10" s="1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13" i="1"/>
  <c r="D15" i="1"/>
  <c r="D17" i="1"/>
  <c r="D19" i="1"/>
  <c r="D23" i="1"/>
  <c r="D25" i="1"/>
  <c r="D27" i="1"/>
  <c r="D29" i="1"/>
  <c r="D33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G32" i="28"/>
  <c r="F32" i="28"/>
  <c r="E32" i="28"/>
  <c r="D32" i="28"/>
  <c r="C32" i="28"/>
  <c r="J31" i="28"/>
  <c r="I31" i="28"/>
  <c r="H31" i="28"/>
  <c r="G31" i="28"/>
  <c r="F31" i="28"/>
  <c r="E31" i="28"/>
  <c r="D31" i="28"/>
  <c r="C31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G34" i="27"/>
  <c r="D34" i="27"/>
  <c r="G33" i="27"/>
  <c r="D33" i="27"/>
  <c r="G32" i="27"/>
  <c r="D32" i="27"/>
  <c r="G31" i="27"/>
  <c r="D31" i="27"/>
  <c r="G30" i="27"/>
  <c r="D30" i="27"/>
  <c r="D29" i="27"/>
  <c r="G27" i="27"/>
  <c r="D27" i="27"/>
  <c r="F19" i="27"/>
  <c r="C19" i="27"/>
  <c r="G18" i="27"/>
  <c r="D18" i="27"/>
  <c r="G17" i="27"/>
  <c r="D17" i="27"/>
  <c r="G16" i="27"/>
  <c r="D16" i="27"/>
  <c r="G14" i="27"/>
  <c r="D14" i="27"/>
  <c r="G13" i="27"/>
  <c r="D13" i="27"/>
  <c r="G12" i="27"/>
  <c r="D12" i="27"/>
  <c r="G11" i="27"/>
  <c r="D11" i="27"/>
  <c r="D10" i="27"/>
  <c r="G9" i="27"/>
  <c r="D9" i="27"/>
  <c r="D7" i="27"/>
  <c r="F40" i="26"/>
  <c r="E40" i="26"/>
  <c r="C40" i="26"/>
  <c r="B40" i="26"/>
  <c r="G28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G7" i="27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7" i="25"/>
  <c r="D7" i="25" s="1"/>
  <c r="E7" i="25"/>
  <c r="G7" i="25" s="1"/>
  <c r="B10" i="25"/>
  <c r="D10" i="25" s="1"/>
  <c r="E10" i="25"/>
  <c r="G10" i="25" s="1"/>
  <c r="B42" i="25"/>
  <c r="D42" i="25" s="1"/>
  <c r="E42" i="25"/>
  <c r="G42" i="25" s="1"/>
  <c r="B60" i="25"/>
  <c r="D60" i="25" s="1"/>
  <c r="E60" i="25"/>
  <c r="G60" i="25" s="1"/>
  <c r="B63" i="25"/>
  <c r="D63" i="25" s="1"/>
  <c r="E63" i="25"/>
  <c r="G63" i="25" s="1"/>
  <c r="B7" i="23"/>
  <c r="D7" i="23" s="1"/>
  <c r="E7" i="23"/>
  <c r="G7" i="23" s="1"/>
  <c r="B10" i="23"/>
  <c r="D10" i="23" s="1"/>
  <c r="E10" i="23"/>
  <c r="G10" i="23" s="1"/>
  <c r="B16" i="23"/>
  <c r="D16" i="23" s="1"/>
  <c r="B42" i="23"/>
  <c r="D42" i="23" s="1"/>
  <c r="E42" i="23"/>
  <c r="G42" i="23" s="1"/>
  <c r="B60" i="23"/>
  <c r="D60" i="23" s="1"/>
  <c r="E60" i="23"/>
  <c r="G60" i="23" s="1"/>
  <c r="E63" i="23"/>
  <c r="G63" i="23" s="1"/>
  <c r="B13" i="23"/>
  <c r="D13" i="23" s="1"/>
  <c r="E13" i="23"/>
  <c r="B13" i="25"/>
  <c r="E13" i="25"/>
  <c r="E16" i="23"/>
  <c r="B19" i="23"/>
  <c r="D19" i="23" s="1"/>
  <c r="E19" i="23"/>
  <c r="B19" i="25"/>
  <c r="D19" i="25" s="1"/>
  <c r="E19" i="25"/>
  <c r="E22" i="22"/>
  <c r="B22" i="23"/>
  <c r="D22" i="23" s="1"/>
  <c r="E22" i="23"/>
  <c r="G22" i="23" s="1"/>
  <c r="B22" i="25"/>
  <c r="D22" i="25" s="1"/>
  <c r="E22" i="25"/>
  <c r="B24" i="23"/>
  <c r="D24" i="23" s="1"/>
  <c r="E24" i="23"/>
  <c r="B24" i="25"/>
  <c r="E24" i="25"/>
  <c r="G24" i="25" s="1"/>
  <c r="B27" i="23"/>
  <c r="D27" i="23" s="1"/>
  <c r="E27" i="23"/>
  <c r="G27" i="23" s="1"/>
  <c r="B27" i="25"/>
  <c r="D27" i="25" s="1"/>
  <c r="E27" i="25"/>
  <c r="G27" i="25" s="1"/>
  <c r="B29" i="23"/>
  <c r="D29" i="23" s="1"/>
  <c r="E29" i="23"/>
  <c r="G29" i="23" s="1"/>
  <c r="B29" i="25"/>
  <c r="E29" i="25"/>
  <c r="B32" i="23"/>
  <c r="D32" i="23" s="1"/>
  <c r="E32" i="23"/>
  <c r="G32" i="23" s="1"/>
  <c r="B32" i="25"/>
  <c r="E32" i="25"/>
  <c r="G32" i="25" s="1"/>
  <c r="B35" i="23"/>
  <c r="D35" i="23" s="1"/>
  <c r="E35" i="23"/>
  <c r="B35" i="25"/>
  <c r="E35" i="25"/>
  <c r="G35" i="25" s="1"/>
  <c r="B37" i="23"/>
  <c r="D37" i="23" s="1"/>
  <c r="E37" i="23"/>
  <c r="B37" i="25"/>
  <c r="D37" i="25" s="1"/>
  <c r="E37" i="25"/>
  <c r="B39" i="23"/>
  <c r="D39" i="23" s="1"/>
  <c r="E39" i="23"/>
  <c r="G39" i="23" s="1"/>
  <c r="B39" i="25"/>
  <c r="E39" i="25"/>
  <c r="B45" i="23"/>
  <c r="D45" i="23" s="1"/>
  <c r="E45" i="23"/>
  <c r="B45" i="25"/>
  <c r="E45" i="25"/>
  <c r="G45" i="25" s="1"/>
  <c r="B48" i="23"/>
  <c r="D48" i="23" s="1"/>
  <c r="E48" i="23"/>
  <c r="G48" i="23" s="1"/>
  <c r="B48" i="25"/>
  <c r="D48" i="25" s="1"/>
  <c r="E48" i="25"/>
  <c r="G48" i="25" s="1"/>
  <c r="B50" i="23"/>
  <c r="D50" i="23" s="1"/>
  <c r="E50" i="23"/>
  <c r="G50" i="23" s="1"/>
  <c r="B50" i="25"/>
  <c r="D50" i="25" s="1"/>
  <c r="E50" i="25"/>
  <c r="G50" i="25" s="1"/>
  <c r="B52" i="23"/>
  <c r="D52" i="23" s="1"/>
  <c r="E52" i="23"/>
  <c r="B52" i="25"/>
  <c r="D52" i="25" s="1"/>
  <c r="E52" i="25"/>
  <c r="G52" i="25" s="1"/>
  <c r="B55" i="23"/>
  <c r="D55" i="23" s="1"/>
  <c r="E55" i="23"/>
  <c r="G55" i="23" s="1"/>
  <c r="B55" i="25"/>
  <c r="D55" i="25" s="1"/>
  <c r="E55" i="25"/>
  <c r="B58" i="23"/>
  <c r="D58" i="23" s="1"/>
  <c r="E58" i="23"/>
  <c r="G58" i="23" s="1"/>
  <c r="B58" i="25"/>
  <c r="E58" i="25"/>
  <c r="C47" i="5"/>
  <c r="B47" i="5"/>
  <c r="F47" i="2"/>
  <c r="C47" i="2"/>
  <c r="E48" i="2"/>
  <c r="G48" i="2" s="1"/>
  <c r="C47" i="1"/>
  <c r="B47" i="1"/>
  <c r="E64" i="12"/>
  <c r="G64" i="12" s="1"/>
  <c r="B49" i="12"/>
  <c r="D49" i="12" s="1"/>
  <c r="E49" i="12"/>
  <c r="G49" i="12" s="1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B49" i="2"/>
  <c r="D49" i="2" s="1"/>
  <c r="D47" i="1" l="1"/>
  <c r="I47" i="2"/>
  <c r="H48" i="10"/>
  <c r="J48" i="10" s="1"/>
  <c r="H49" i="12"/>
  <c r="J49" i="12" s="1"/>
  <c r="D47" i="5"/>
  <c r="E47" i="9"/>
  <c r="C47" i="10"/>
  <c r="C48" i="11"/>
  <c r="G19" i="25"/>
  <c r="X38" i="18"/>
  <c r="B47" i="9"/>
  <c r="G47" i="9"/>
  <c r="F47" i="10"/>
  <c r="C47" i="9"/>
  <c r="D45" i="25"/>
  <c r="D35" i="25"/>
  <c r="G13" i="23"/>
  <c r="Y38" i="18"/>
  <c r="Y189" i="18"/>
  <c r="C48" i="12"/>
  <c r="G37" i="23"/>
  <c r="Y11" i="18"/>
  <c r="Y151" i="18"/>
  <c r="F48" i="12"/>
  <c r="D32" i="25"/>
  <c r="D24" i="25"/>
  <c r="G16" i="23"/>
  <c r="B48" i="2"/>
  <c r="D48" i="2" s="1"/>
  <c r="B48" i="11"/>
  <c r="G52" i="23"/>
  <c r="G37" i="25"/>
  <c r="G35" i="23"/>
  <c r="G29" i="25"/>
  <c r="X85" i="18"/>
  <c r="Y102" i="18"/>
  <c r="Y85" i="18"/>
  <c r="Y75" i="18"/>
  <c r="X189" i="18"/>
  <c r="X151" i="18"/>
  <c r="X136" i="18"/>
  <c r="X102" i="18"/>
  <c r="X97" i="18"/>
  <c r="X75" i="18"/>
  <c r="X11" i="18"/>
  <c r="G58" i="25"/>
  <c r="G39" i="25"/>
  <c r="C67" i="22"/>
  <c r="G22" i="25"/>
  <c r="D58" i="25"/>
  <c r="D39" i="25"/>
  <c r="G19" i="23"/>
  <c r="G24" i="23"/>
  <c r="G55" i="25"/>
  <c r="G45" i="23"/>
  <c r="D29" i="25"/>
  <c r="D67" i="22"/>
  <c r="J67" i="22"/>
  <c r="G13" i="25"/>
  <c r="D13" i="25"/>
  <c r="M67" i="22"/>
  <c r="L67" i="22"/>
  <c r="I67" i="22"/>
  <c r="B16" i="25"/>
  <c r="D16" i="25" s="1"/>
  <c r="B65" i="23"/>
  <c r="E16" i="25"/>
  <c r="G16" i="25" s="1"/>
  <c r="E65" i="23"/>
  <c r="G65" i="23" s="1"/>
  <c r="H48" i="5"/>
  <c r="H48" i="1"/>
  <c r="F48" i="1"/>
  <c r="H48" i="9"/>
  <c r="F48" i="9"/>
  <c r="D48" i="11" l="1"/>
  <c r="D65" i="23"/>
  <c r="I47" i="5"/>
  <c r="I48" i="12"/>
  <c r="D47" i="9"/>
  <c r="H48" i="2"/>
  <c r="J48" i="2" s="1"/>
  <c r="I48" i="11"/>
  <c r="I47" i="10"/>
  <c r="I47" i="9"/>
  <c r="Y36" i="18"/>
  <c r="Y9" i="18" s="1"/>
  <c r="X36" i="18"/>
  <c r="X9" i="18" s="1"/>
  <c r="E65" i="25"/>
  <c r="G65" i="25" s="1"/>
  <c r="B65" i="25"/>
  <c r="D65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H9" i="9" l="1"/>
  <c r="H10" i="9"/>
  <c r="H8" i="5"/>
  <c r="H9" i="5"/>
  <c r="H10" i="5"/>
  <c r="D66" i="5"/>
  <c r="B8" i="2"/>
  <c r="D8" i="2" s="1"/>
  <c r="B9" i="2"/>
  <c r="D9" i="2" s="1"/>
  <c r="B10" i="2"/>
  <c r="D10" i="2" s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F38" i="1"/>
  <c r="F56" i="1"/>
  <c r="F57" i="1"/>
  <c r="D67" i="1"/>
  <c r="H14" i="11" l="1"/>
  <c r="I64" i="12" l="1"/>
  <c r="H62" i="11" l="1"/>
  <c r="H61" i="11"/>
  <c r="H58" i="11"/>
  <c r="H57" i="11"/>
  <c r="H21" i="11"/>
  <c r="E10" i="12"/>
  <c r="G10" i="12" s="1"/>
  <c r="E11" i="12"/>
  <c r="G11" i="12" s="1"/>
  <c r="E51" i="12"/>
  <c r="E52" i="12"/>
  <c r="G52" i="12" s="1"/>
  <c r="E53" i="12"/>
  <c r="G53" i="12" s="1"/>
  <c r="E54" i="12"/>
  <c r="G54" i="12" s="1"/>
  <c r="E55" i="12"/>
  <c r="G55" i="12" s="1"/>
  <c r="E56" i="12"/>
  <c r="G56" i="12" s="1"/>
  <c r="E57" i="12"/>
  <c r="G57" i="12" s="1"/>
  <c r="E58" i="12"/>
  <c r="G58" i="12" s="1"/>
  <c r="E59" i="12"/>
  <c r="G59" i="12" s="1"/>
  <c r="E60" i="12"/>
  <c r="E61" i="12"/>
  <c r="G61" i="12" s="1"/>
  <c r="E62" i="12"/>
  <c r="G62" i="12" s="1"/>
  <c r="E50" i="12"/>
  <c r="G50" i="12" s="1"/>
  <c r="E44" i="12"/>
  <c r="G44" i="12" s="1"/>
  <c r="E45" i="12"/>
  <c r="E46" i="12"/>
  <c r="E43" i="12"/>
  <c r="G43" i="12" s="1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E22" i="12"/>
  <c r="G22" i="12" s="1"/>
  <c r="E23" i="12"/>
  <c r="G23" i="12" s="1"/>
  <c r="E24" i="12"/>
  <c r="G24" i="12" s="1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G31" i="12" s="1"/>
  <c r="E32" i="12"/>
  <c r="G32" i="12" s="1"/>
  <c r="E33" i="12"/>
  <c r="E34" i="12"/>
  <c r="G34" i="12" s="1"/>
  <c r="E35" i="12"/>
  <c r="G35" i="12" s="1"/>
  <c r="E36" i="12"/>
  <c r="E37" i="12"/>
  <c r="E38" i="12"/>
  <c r="E39" i="12"/>
  <c r="E14" i="12"/>
  <c r="G14" i="12" s="1"/>
  <c r="E9" i="12"/>
  <c r="G9" i="12" s="1"/>
  <c r="B64" i="12"/>
  <c r="D64" i="12" s="1"/>
  <c r="B51" i="12"/>
  <c r="H51" i="12" s="1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B22" i="12"/>
  <c r="D22" i="12" s="1"/>
  <c r="B23" i="12"/>
  <c r="D23" i="12" s="1"/>
  <c r="B24" i="12"/>
  <c r="D24" i="12" s="1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D31" i="12" s="1"/>
  <c r="B32" i="12"/>
  <c r="D32" i="12" s="1"/>
  <c r="B33" i="12"/>
  <c r="H33" i="12" s="1"/>
  <c r="B34" i="12"/>
  <c r="D34" i="12" s="1"/>
  <c r="B35" i="12"/>
  <c r="D35" i="12" s="1"/>
  <c r="B36" i="12"/>
  <c r="H36" i="12" s="1"/>
  <c r="B37" i="12"/>
  <c r="H37" i="12" s="1"/>
  <c r="B38" i="12"/>
  <c r="H38" i="12" s="1"/>
  <c r="B39" i="12"/>
  <c r="H39" i="12" s="1"/>
  <c r="B40" i="12"/>
  <c r="H40" i="12" s="1"/>
  <c r="B14" i="12"/>
  <c r="D14" i="12" s="1"/>
  <c r="B10" i="12"/>
  <c r="D10" i="12" s="1"/>
  <c r="B11" i="12"/>
  <c r="D11" i="12" s="1"/>
  <c r="B9" i="12"/>
  <c r="D9" i="12" s="1"/>
  <c r="I64" i="11"/>
  <c r="D64" i="11"/>
  <c r="H45" i="12" l="1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H17" i="12"/>
  <c r="J17" i="12" s="1"/>
  <c r="H62" i="12"/>
  <c r="J62" i="12" s="1"/>
  <c r="H58" i="12"/>
  <c r="J58" i="12" s="1"/>
  <c r="H54" i="12"/>
  <c r="J54" i="12" s="1"/>
  <c r="E48" i="12"/>
  <c r="G48" i="12" s="1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E39" i="10"/>
  <c r="E13" i="10"/>
  <c r="G13" i="10" s="1"/>
  <c r="E9" i="10"/>
  <c r="E10" i="10"/>
  <c r="G10" i="10" s="1"/>
  <c r="E8" i="10"/>
  <c r="G8" i="10" s="1"/>
  <c r="B68" i="10"/>
  <c r="D68" i="10" s="1"/>
  <c r="B14" i="10"/>
  <c r="D14" i="10" s="1"/>
  <c r="B15" i="10"/>
  <c r="D15" i="10" s="1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H38" i="10" s="1"/>
  <c r="B39" i="10"/>
  <c r="H39" i="10" s="1"/>
  <c r="B13" i="10"/>
  <c r="D13" i="10" s="1"/>
  <c r="B9" i="10"/>
  <c r="B10" i="10"/>
  <c r="D10" i="10" s="1"/>
  <c r="B8" i="10"/>
  <c r="D8" i="10" s="1"/>
  <c r="I68" i="9"/>
  <c r="H68" i="9"/>
  <c r="H13" i="9"/>
  <c r="H8" i="9"/>
  <c r="D68" i="9"/>
  <c r="I66" i="5"/>
  <c r="H9" i="10" l="1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T36" i="18" s="1"/>
  <c r="S38" i="18"/>
  <c r="R38" i="18"/>
  <c r="O38" i="18"/>
  <c r="N38" i="18"/>
  <c r="M38" i="18"/>
  <c r="M36" i="18" s="1"/>
  <c r="L38" i="18"/>
  <c r="K38" i="18"/>
  <c r="J38" i="18"/>
  <c r="I38" i="18"/>
  <c r="H38" i="18"/>
  <c r="H36" i="18" s="1"/>
  <c r="G38" i="18"/>
  <c r="F38" i="18"/>
  <c r="F36" i="18" s="1"/>
  <c r="E38" i="18"/>
  <c r="D38" i="18"/>
  <c r="C38" i="18"/>
  <c r="B38" i="18"/>
  <c r="B36" i="18" s="1"/>
  <c r="N36" i="18"/>
  <c r="N9" i="18" s="1"/>
  <c r="L36" i="18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J36" i="18" l="1"/>
  <c r="D36" i="18"/>
  <c r="D9" i="18" s="1"/>
  <c r="J9" i="18"/>
  <c r="L9" i="18"/>
  <c r="I36" i="18"/>
  <c r="I9" i="18" s="1"/>
  <c r="K36" i="18"/>
  <c r="K9" i="18" s="1"/>
  <c r="M9" i="18"/>
  <c r="F9" i="18"/>
  <c r="V36" i="18"/>
  <c r="V9" i="18" s="1"/>
  <c r="G36" i="18"/>
  <c r="G9" i="18" s="1"/>
  <c r="H9" i="18"/>
  <c r="C36" i="18"/>
  <c r="C9" i="18" s="1"/>
  <c r="O36" i="18"/>
  <c r="O9" i="18" s="1"/>
  <c r="W36" i="18"/>
  <c r="W9" i="18" s="1"/>
  <c r="Z189" i="18"/>
  <c r="AA136" i="18"/>
  <c r="T9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E72" i="2"/>
  <c r="B72" i="2"/>
  <c r="E67" i="2"/>
  <c r="G67" i="2" s="1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  <c r="E59" i="2"/>
  <c r="G59" i="2" s="1"/>
  <c r="E60" i="2"/>
  <c r="G60" i="2" s="1"/>
  <c r="E61" i="2"/>
  <c r="G61" i="2" s="1"/>
  <c r="E62" i="2"/>
  <c r="G62" i="2" s="1"/>
  <c r="E63" i="2"/>
  <c r="G63" i="2" s="1"/>
  <c r="E64" i="2"/>
  <c r="G64" i="2" s="1"/>
  <c r="E65" i="2"/>
  <c r="G65" i="2" s="1"/>
  <c r="E49" i="2"/>
  <c r="G49" i="2" s="1"/>
  <c r="E42" i="2"/>
  <c r="G42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 s="1"/>
  <c r="E39" i="2"/>
  <c r="G39" i="2" s="1"/>
  <c r="E13" i="2"/>
  <c r="G13" i="2" s="1"/>
  <c r="E9" i="2"/>
  <c r="G9" i="2" s="1"/>
  <c r="E10" i="2"/>
  <c r="G10" i="2" s="1"/>
  <c r="E8" i="2"/>
  <c r="G8" i="2" s="1"/>
  <c r="B14" i="2"/>
  <c r="D14" i="2" s="1"/>
  <c r="B15" i="2"/>
  <c r="D15" i="2" s="1"/>
  <c r="B16" i="2"/>
  <c r="D16" i="2" s="1"/>
  <c r="B17" i="2"/>
  <c r="D17" i="2" s="1"/>
  <c r="B18" i="2"/>
  <c r="D18" i="2" s="1"/>
  <c r="B19" i="2"/>
  <c r="D19" i="2" s="1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D26" i="2" s="1"/>
  <c r="B27" i="2"/>
  <c r="D27" i="2" s="1"/>
  <c r="B28" i="2"/>
  <c r="D28" i="2" s="1"/>
  <c r="B29" i="2"/>
  <c r="D29" i="2" s="1"/>
  <c r="B30" i="2"/>
  <c r="D30" i="2" s="1"/>
  <c r="B31" i="2"/>
  <c r="D31" i="2" s="1"/>
  <c r="B32" i="2"/>
  <c r="D32" i="2" s="1"/>
  <c r="B33" i="2"/>
  <c r="D33" i="2" s="1"/>
  <c r="B34" i="2"/>
  <c r="D34" i="2" s="1"/>
  <c r="B35" i="2"/>
  <c r="D35" i="2" s="1"/>
  <c r="B36" i="2"/>
  <c r="D36" i="2" s="1"/>
  <c r="B37" i="2"/>
  <c r="D37" i="2" s="1"/>
  <c r="B38" i="2"/>
  <c r="D38" i="2" s="1"/>
  <c r="B39" i="2"/>
  <c r="D39" i="2" s="1"/>
  <c r="B13" i="2"/>
  <c r="D13" i="2" s="1"/>
  <c r="B67" i="2"/>
  <c r="D67" i="2" s="1"/>
  <c r="B50" i="2"/>
  <c r="D50" i="2" s="1"/>
  <c r="B51" i="2"/>
  <c r="D51" i="2" s="1"/>
  <c r="B52" i="2"/>
  <c r="D52" i="2" s="1"/>
  <c r="B53" i="2"/>
  <c r="D53" i="2" s="1"/>
  <c r="B54" i="2"/>
  <c r="D54" i="2" s="1"/>
  <c r="B55" i="2"/>
  <c r="D55" i="2" s="1"/>
  <c r="B56" i="2"/>
  <c r="D56" i="2" s="1"/>
  <c r="B57" i="2"/>
  <c r="D57" i="2" s="1"/>
  <c r="B58" i="2"/>
  <c r="D58" i="2" s="1"/>
  <c r="B59" i="2"/>
  <c r="D59" i="2" s="1"/>
  <c r="B60" i="2"/>
  <c r="D60" i="2" s="1"/>
  <c r="B61" i="2"/>
  <c r="D61" i="2" s="1"/>
  <c r="B62" i="2"/>
  <c r="D62" i="2" s="1"/>
  <c r="B63" i="2"/>
  <c r="D63" i="2" s="1"/>
  <c r="B64" i="2"/>
  <c r="D64" i="2" s="1"/>
  <c r="B65" i="2"/>
  <c r="D65" i="2" s="1"/>
  <c r="B43" i="2"/>
  <c r="D43" i="2" s="1"/>
  <c r="B44" i="2"/>
  <c r="D44" i="2" s="1"/>
  <c r="B45" i="2"/>
  <c r="H45" i="2" s="1"/>
  <c r="B42" i="2"/>
  <c r="D42" i="2" s="1"/>
  <c r="F39" i="1"/>
  <c r="F44" i="1"/>
  <c r="H54" i="2" l="1"/>
  <c r="J54" i="2" s="1"/>
  <c r="H34" i="2"/>
  <c r="J34" i="2" s="1"/>
  <c r="H18" i="2"/>
  <c r="J18" i="2" s="1"/>
  <c r="H61" i="2"/>
  <c r="J61" i="2" s="1"/>
  <c r="H37" i="2"/>
  <c r="J37" i="2" s="1"/>
  <c r="H33" i="2"/>
  <c r="J33" i="2" s="1"/>
  <c r="H29" i="2"/>
  <c r="J29" i="2" s="1"/>
  <c r="H25" i="2"/>
  <c r="J25" i="2" s="1"/>
  <c r="H21" i="2"/>
  <c r="J21" i="2" s="1"/>
  <c r="H17" i="2"/>
  <c r="J17" i="2" s="1"/>
  <c r="H8" i="2"/>
  <c r="J8" i="2" s="1"/>
  <c r="H62" i="2"/>
  <c r="J62" i="2" s="1"/>
  <c r="H50" i="2"/>
  <c r="J50" i="2" s="1"/>
  <c r="H30" i="2"/>
  <c r="J30" i="2" s="1"/>
  <c r="H22" i="2"/>
  <c r="J22" i="2" s="1"/>
  <c r="H14" i="2"/>
  <c r="J14" i="2" s="1"/>
  <c r="H65" i="2"/>
  <c r="J65" i="2" s="1"/>
  <c r="H53" i="2"/>
  <c r="J53" i="2" s="1"/>
  <c r="H60" i="2"/>
  <c r="J60" i="2" s="1"/>
  <c r="H52" i="2"/>
  <c r="J52" i="2" s="1"/>
  <c r="H13" i="2"/>
  <c r="J13" i="2" s="1"/>
  <c r="H36" i="2"/>
  <c r="J36" i="2" s="1"/>
  <c r="H32" i="2"/>
  <c r="J32" i="2" s="1"/>
  <c r="H28" i="2"/>
  <c r="J28" i="2" s="1"/>
  <c r="H24" i="2"/>
  <c r="J24" i="2" s="1"/>
  <c r="H20" i="2"/>
  <c r="J20" i="2" s="1"/>
  <c r="H16" i="2"/>
  <c r="J16" i="2" s="1"/>
  <c r="H10" i="2"/>
  <c r="J10" i="2" s="1"/>
  <c r="H49" i="2"/>
  <c r="J49" i="2" s="1"/>
  <c r="H43" i="2"/>
  <c r="J43" i="2" s="1"/>
  <c r="H58" i="2"/>
  <c r="J58" i="2" s="1"/>
  <c r="H38" i="2"/>
  <c r="J38" i="2" s="1"/>
  <c r="H26" i="2"/>
  <c r="J26" i="2" s="1"/>
  <c r="H42" i="2"/>
  <c r="J42" i="2" s="1"/>
  <c r="H57" i="2"/>
  <c r="J57" i="2" s="1"/>
  <c r="H64" i="2"/>
  <c r="J64" i="2" s="1"/>
  <c r="H56" i="2"/>
  <c r="J56" i="2" s="1"/>
  <c r="H44" i="2"/>
  <c r="J44" i="2" s="1"/>
  <c r="H63" i="2"/>
  <c r="J63" i="2" s="1"/>
  <c r="H59" i="2"/>
  <c r="J59" i="2" s="1"/>
  <c r="H55" i="2"/>
  <c r="J55" i="2" s="1"/>
  <c r="H51" i="2"/>
  <c r="J51" i="2" s="1"/>
  <c r="H39" i="2"/>
  <c r="J39" i="2" s="1"/>
  <c r="H35" i="2"/>
  <c r="J35" i="2" s="1"/>
  <c r="H31" i="2"/>
  <c r="J31" i="2" s="1"/>
  <c r="H27" i="2"/>
  <c r="J27" i="2" s="1"/>
  <c r="H23" i="2"/>
  <c r="J23" i="2" s="1"/>
  <c r="H19" i="2"/>
  <c r="J19" i="2" s="1"/>
  <c r="H15" i="2"/>
  <c r="J15" i="2" s="1"/>
  <c r="H9" i="2"/>
  <c r="J9" i="2" s="1"/>
  <c r="E47" i="2"/>
  <c r="G47" i="2" s="1"/>
  <c r="B47" i="2"/>
  <c r="D47" i="2" s="1"/>
  <c r="F13" i="5"/>
  <c r="H47" i="2" l="1"/>
  <c r="J47" i="2" s="1"/>
  <c r="I41" i="5"/>
  <c r="C42" i="12" l="1"/>
  <c r="H53" i="11"/>
  <c r="H32" i="11"/>
  <c r="H28" i="11"/>
  <c r="H27" i="11"/>
  <c r="H20" i="11"/>
  <c r="B8" i="11"/>
  <c r="F42" i="9"/>
  <c r="G7" i="9"/>
  <c r="D71" i="5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F41" i="5"/>
  <c r="H41" i="5"/>
  <c r="C41" i="5"/>
  <c r="B41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F22" i="5"/>
  <c r="H21" i="5"/>
  <c r="H20" i="5"/>
  <c r="F20" i="5"/>
  <c r="H19" i="5"/>
  <c r="H18" i="5"/>
  <c r="H16" i="5"/>
  <c r="H14" i="5"/>
  <c r="H13" i="5"/>
  <c r="C12" i="5"/>
  <c r="B12" i="5"/>
  <c r="C7" i="5"/>
  <c r="B7" i="5"/>
  <c r="D72" i="2"/>
  <c r="H67" i="2"/>
  <c r="C12" i="2"/>
  <c r="D72" i="1"/>
  <c r="H67" i="1"/>
  <c r="H65" i="1"/>
  <c r="F65" i="1"/>
  <c r="H64" i="1"/>
  <c r="H63" i="1"/>
  <c r="H62" i="1"/>
  <c r="H61" i="1"/>
  <c r="H60" i="1"/>
  <c r="H44" i="1"/>
  <c r="H43" i="1"/>
  <c r="H42" i="1"/>
  <c r="B41" i="1"/>
  <c r="F27" i="1"/>
  <c r="F26" i="1"/>
  <c r="F25" i="1"/>
  <c r="F24" i="1"/>
  <c r="F23" i="1"/>
  <c r="F22" i="1"/>
  <c r="B7" i="1"/>
  <c r="C7" i="1"/>
  <c r="D41" i="5" l="1"/>
  <c r="B65" i="5"/>
  <c r="D12" i="5"/>
  <c r="C41" i="2"/>
  <c r="I45" i="2"/>
  <c r="J45" i="2" s="1"/>
  <c r="D7" i="5"/>
  <c r="D7" i="1"/>
  <c r="F7" i="1"/>
  <c r="I7" i="1"/>
  <c r="F41" i="10"/>
  <c r="G41" i="10" s="1"/>
  <c r="C41" i="10"/>
  <c r="C41" i="9"/>
  <c r="B41" i="10"/>
  <c r="B7" i="9"/>
  <c r="D7" i="9" s="1"/>
  <c r="B41" i="9"/>
  <c r="D41" i="9" s="1"/>
  <c r="E41" i="9"/>
  <c r="E41" i="10"/>
  <c r="G41" i="9"/>
  <c r="H41" i="9" s="1"/>
  <c r="C65" i="5"/>
  <c r="F28" i="1"/>
  <c r="F30" i="1"/>
  <c r="F32" i="1"/>
  <c r="F34" i="1"/>
  <c r="F36" i="1"/>
  <c r="F49" i="1"/>
  <c r="F51" i="1"/>
  <c r="F52" i="1"/>
  <c r="F54" i="1"/>
  <c r="F59" i="1"/>
  <c r="H59" i="1"/>
  <c r="F60" i="1"/>
  <c r="F24" i="5"/>
  <c r="F31" i="5"/>
  <c r="F35" i="5"/>
  <c r="F43" i="5"/>
  <c r="F45" i="5"/>
  <c r="F62" i="5"/>
  <c r="F64" i="5"/>
  <c r="F29" i="1"/>
  <c r="F31" i="1"/>
  <c r="F33" i="1"/>
  <c r="F35" i="1"/>
  <c r="F37" i="1"/>
  <c r="F50" i="1"/>
  <c r="F53" i="1"/>
  <c r="F55" i="1"/>
  <c r="I72" i="1"/>
  <c r="F8" i="1"/>
  <c r="F9" i="1"/>
  <c r="F10" i="1"/>
  <c r="F13" i="1"/>
  <c r="F14" i="1"/>
  <c r="F15" i="1"/>
  <c r="F16" i="1"/>
  <c r="F17" i="1"/>
  <c r="F18" i="1"/>
  <c r="F19" i="1"/>
  <c r="F20" i="1"/>
  <c r="F21" i="1"/>
  <c r="F42" i="1"/>
  <c r="F43" i="1"/>
  <c r="F45" i="1"/>
  <c r="F61" i="1"/>
  <c r="F62" i="1"/>
  <c r="F63" i="1"/>
  <c r="F64" i="1"/>
  <c r="F23" i="5"/>
  <c r="F28" i="5"/>
  <c r="E7" i="10"/>
  <c r="H7" i="5"/>
  <c r="B13" i="11"/>
  <c r="H43" i="11"/>
  <c r="B12" i="9"/>
  <c r="G12" i="9"/>
  <c r="H12" i="9" s="1"/>
  <c r="C7" i="2"/>
  <c r="H72" i="2"/>
  <c r="F44" i="5"/>
  <c r="F38" i="5"/>
  <c r="F37" i="5"/>
  <c r="F39" i="5"/>
  <c r="H12" i="1"/>
  <c r="B12" i="1"/>
  <c r="C41" i="1"/>
  <c r="D41" i="1" s="1"/>
  <c r="F58" i="1"/>
  <c r="G72" i="2"/>
  <c r="F8" i="5"/>
  <c r="F18" i="5"/>
  <c r="F27" i="5"/>
  <c r="F30" i="5"/>
  <c r="F34" i="5"/>
  <c r="F42" i="5"/>
  <c r="F50" i="5"/>
  <c r="F53" i="5"/>
  <c r="F61" i="5"/>
  <c r="F66" i="5"/>
  <c r="I71" i="5"/>
  <c r="E12" i="9"/>
  <c r="H18" i="11"/>
  <c r="C42" i="11"/>
  <c r="I72" i="2"/>
  <c r="F15" i="5"/>
  <c r="F26" i="5"/>
  <c r="F29" i="5"/>
  <c r="F33" i="5"/>
  <c r="F58" i="5"/>
  <c r="F63" i="5"/>
  <c r="B41" i="2"/>
  <c r="H15" i="5"/>
  <c r="F21" i="5"/>
  <c r="F25" i="5"/>
  <c r="F32" i="5"/>
  <c r="F36" i="5"/>
  <c r="F49" i="5"/>
  <c r="F54" i="5"/>
  <c r="F57" i="5"/>
  <c r="H44" i="11"/>
  <c r="H64" i="11"/>
  <c r="F14" i="5"/>
  <c r="F52" i="5"/>
  <c r="F56" i="5"/>
  <c r="F60" i="5"/>
  <c r="H19" i="11"/>
  <c r="B42" i="11"/>
  <c r="H42" i="11"/>
  <c r="H50" i="11"/>
  <c r="H56" i="11"/>
  <c r="F10" i="5"/>
  <c r="F17" i="5"/>
  <c r="F51" i="5"/>
  <c r="F55" i="5"/>
  <c r="F59" i="5"/>
  <c r="C7" i="9"/>
  <c r="C12" i="9"/>
  <c r="B7" i="10"/>
  <c r="C12" i="10"/>
  <c r="C8" i="11"/>
  <c r="D8" i="11" s="1"/>
  <c r="H25" i="11"/>
  <c r="H26" i="11"/>
  <c r="H48" i="11"/>
  <c r="C7" i="10"/>
  <c r="B12" i="10"/>
  <c r="C13" i="11"/>
  <c r="H54" i="11"/>
  <c r="C8" i="12"/>
  <c r="H55" i="11"/>
  <c r="C13" i="12"/>
  <c r="E8" i="12"/>
  <c r="E13" i="12"/>
  <c r="E42" i="12"/>
  <c r="B8" i="12"/>
  <c r="F8" i="12"/>
  <c r="B13" i="12"/>
  <c r="F13" i="12"/>
  <c r="B42" i="12"/>
  <c r="D42" i="12" s="1"/>
  <c r="F42" i="12"/>
  <c r="H29" i="11"/>
  <c r="H52" i="11"/>
  <c r="H8" i="11"/>
  <c r="H15" i="11"/>
  <c r="H16" i="11"/>
  <c r="H17" i="11"/>
  <c r="F7" i="10"/>
  <c r="E12" i="10"/>
  <c r="F12" i="10"/>
  <c r="H7" i="9"/>
  <c r="F47" i="9"/>
  <c r="E7" i="9"/>
  <c r="F9" i="5"/>
  <c r="F16" i="5"/>
  <c r="H17" i="5"/>
  <c r="F19" i="5"/>
  <c r="H24" i="5"/>
  <c r="F47" i="5"/>
  <c r="H62" i="5"/>
  <c r="B12" i="2"/>
  <c r="D12" i="2" s="1"/>
  <c r="F7" i="2"/>
  <c r="E7" i="2"/>
  <c r="B7" i="2"/>
  <c r="I67" i="2"/>
  <c r="J67" i="2" s="1"/>
  <c r="E12" i="2"/>
  <c r="E41" i="2"/>
  <c r="F12" i="2"/>
  <c r="H49" i="1"/>
  <c r="H50" i="1"/>
  <c r="H51" i="1"/>
  <c r="H52" i="1"/>
  <c r="H53" i="1"/>
  <c r="H54" i="1"/>
  <c r="H55" i="1"/>
  <c r="H56" i="1"/>
  <c r="H57" i="1"/>
  <c r="H58" i="1"/>
  <c r="C12" i="1"/>
  <c r="I67" i="1"/>
  <c r="B63" i="11" l="1"/>
  <c r="G8" i="12"/>
  <c r="D12" i="10"/>
  <c r="C67" i="10"/>
  <c r="G42" i="12"/>
  <c r="H41" i="10"/>
  <c r="B67" i="10"/>
  <c r="G41" i="2"/>
  <c r="G12" i="10"/>
  <c r="D13" i="12"/>
  <c r="H7" i="10"/>
  <c r="D41" i="2"/>
  <c r="I12" i="2"/>
  <c r="G12" i="2"/>
  <c r="G13" i="12"/>
  <c r="D41" i="10"/>
  <c r="G7" i="10"/>
  <c r="H13" i="12"/>
  <c r="D12" i="9"/>
  <c r="H7" i="2"/>
  <c r="G7" i="2"/>
  <c r="H42" i="12"/>
  <c r="D42" i="11"/>
  <c r="I12" i="10"/>
  <c r="I12" i="5"/>
  <c r="I41" i="10"/>
  <c r="J41" i="10" s="1"/>
  <c r="H12" i="2"/>
  <c r="F42" i="11"/>
  <c r="I42" i="11"/>
  <c r="H8" i="12"/>
  <c r="I13" i="12"/>
  <c r="F12" i="9"/>
  <c r="I12" i="9"/>
  <c r="C66" i="2"/>
  <c r="D7" i="2"/>
  <c r="I7" i="2"/>
  <c r="I42" i="12"/>
  <c r="F7" i="9"/>
  <c r="I7" i="9"/>
  <c r="H12" i="10"/>
  <c r="F13" i="11"/>
  <c r="I13" i="11"/>
  <c r="H41" i="2"/>
  <c r="F7" i="5"/>
  <c r="I7" i="5"/>
  <c r="D13" i="11"/>
  <c r="D8" i="12"/>
  <c r="I8" i="12"/>
  <c r="I7" i="10"/>
  <c r="D7" i="10"/>
  <c r="F8" i="11"/>
  <c r="I8" i="11"/>
  <c r="D65" i="5"/>
  <c r="F41" i="9"/>
  <c r="I41" i="9"/>
  <c r="I41" i="2"/>
  <c r="B66" i="1"/>
  <c r="D12" i="1"/>
  <c r="F12" i="1"/>
  <c r="I12" i="1"/>
  <c r="H47" i="5"/>
  <c r="F12" i="5"/>
  <c r="J72" i="2"/>
  <c r="E63" i="12"/>
  <c r="C63" i="12"/>
  <c r="C67" i="9"/>
  <c r="B67" i="9"/>
  <c r="C66" i="1"/>
  <c r="C63" i="11"/>
  <c r="E67" i="9"/>
  <c r="B66" i="2"/>
  <c r="F63" i="12"/>
  <c r="B63" i="12"/>
  <c r="H13" i="11"/>
  <c r="F48" i="11"/>
  <c r="F67" i="10"/>
  <c r="H12" i="5"/>
  <c r="F66" i="2"/>
  <c r="E66" i="2"/>
  <c r="J7" i="10" l="1"/>
  <c r="D63" i="12"/>
  <c r="G63" i="12"/>
  <c r="J41" i="2"/>
  <c r="J42" i="12"/>
  <c r="D66" i="2"/>
  <c r="G66" i="2"/>
  <c r="J12" i="10"/>
  <c r="D67" i="10"/>
  <c r="J12" i="2"/>
  <c r="J13" i="12"/>
  <c r="H63" i="12"/>
  <c r="J8" i="12"/>
  <c r="J7" i="2"/>
  <c r="D63" i="11"/>
  <c r="I67" i="10"/>
  <c r="F65" i="5"/>
  <c r="I65" i="5"/>
  <c r="I63" i="12"/>
  <c r="I66" i="2"/>
  <c r="F67" i="9"/>
  <c r="I63" i="11"/>
  <c r="H66" i="2"/>
  <c r="D67" i="9"/>
  <c r="D66" i="1"/>
  <c r="F63" i="11"/>
  <c r="H63" i="11"/>
  <c r="H65" i="5"/>
  <c r="J63" i="12" l="1"/>
  <c r="J66" i="2"/>
  <c r="E47" i="10"/>
  <c r="G47" i="10" s="1"/>
  <c r="G67" i="9"/>
  <c r="I67" i="9" s="1"/>
  <c r="H47" i="9"/>
  <c r="H47" i="10" l="1"/>
  <c r="J47" i="10" s="1"/>
  <c r="E67" i="10"/>
  <c r="G67" i="10" s="1"/>
  <c r="H67" i="9"/>
  <c r="B19" i="27"/>
  <c r="D19" i="27" s="1"/>
  <c r="D15" i="27"/>
  <c r="G19" i="27"/>
  <c r="G15" i="27"/>
  <c r="H67" i="10" l="1"/>
  <c r="J67" i="10" s="1"/>
  <c r="E41" i="1"/>
  <c r="F41" i="1" s="1"/>
  <c r="E47" i="1" l="1"/>
  <c r="I66" i="1" l="1"/>
  <c r="F66" i="1"/>
  <c r="F47" i="1"/>
  <c r="H41" i="1"/>
  <c r="I41" i="1"/>
  <c r="H47" i="1"/>
  <c r="I47" i="1"/>
  <c r="G66" i="1"/>
  <c r="H66" i="1" s="1"/>
</calcChain>
</file>

<file path=xl/sharedStrings.xml><?xml version="1.0" encoding="utf-8"?>
<sst xmlns="http://schemas.openxmlformats.org/spreadsheetml/2006/main" count="1811" uniqueCount="528">
  <si>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</si>
  <si>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</si>
  <si>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</si>
  <si>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</si>
  <si>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</si>
  <si>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</si>
  <si>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</si>
  <si>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</si>
  <si>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</si>
  <si>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</si>
  <si>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</si>
  <si>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</si>
  <si>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</si>
  <si>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</si>
  <si>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</si>
  <si>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</si>
  <si>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</si>
  <si>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</si>
  <si>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</si>
  <si>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</si>
  <si>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</si>
  <si>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</si>
  <si>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</si>
  <si>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</si>
  <si>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</si>
  <si>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</si>
  <si>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</si>
  <si>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</si>
  <si>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</si>
  <si>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</si>
  <si>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</si>
  <si>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資料來源: 經濟部國貿局,臺灣自行車輸出業同業公會整理</t>
    <phoneticPr fontId="4" type="noConversion"/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</si>
  <si>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</si>
  <si>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</si>
  <si>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</si>
  <si>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</si>
  <si>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</si>
  <si>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t>CCC CODE: 87120010</t>
    </r>
    <r>
      <rPr>
        <sz val="12"/>
        <color theme="1"/>
        <rFont val="新細明體"/>
        <family val="2"/>
        <charset val="136"/>
        <scheme val="minor"/>
      </rPr>
      <t>(Bicycles)</t>
    </r>
    <phoneticPr fontId="6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</si>
  <si>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</si>
  <si>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</si>
  <si>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</si>
  <si>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</si>
  <si>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</si>
  <si>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</si>
  <si>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</si>
  <si>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</si>
  <si>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</si>
  <si>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非  洲</t>
  </si>
  <si>
    <t>其  他</t>
  </si>
  <si>
    <t>數量/金額</t>
  </si>
  <si>
    <t>總 計</t>
  </si>
  <si>
    <t>月 份</t>
  </si>
  <si>
    <t>出口總數量(台)</t>
  </si>
  <si>
    <t>出口總金額(US$)</t>
  </si>
  <si>
    <t>累計平均單價</t>
    <phoneticPr fontId="4" type="noConversion"/>
  </si>
  <si>
    <t>(US$)</t>
    <phoneticPr fontId="6" type="noConversion"/>
  </si>
  <si>
    <t>資料來源: 經濟部國貿局,臺灣自行車輸出業同業公會整理</t>
  </si>
  <si>
    <t>輪幅</t>
    <phoneticPr fontId="4" type="noConversion"/>
  </si>
  <si>
    <t>輪圈及輪幅</t>
    <phoneticPr fontId="4" type="noConversion"/>
  </si>
  <si>
    <t>-</t>
    <phoneticPr fontId="4" type="noConversion"/>
  </si>
  <si>
    <t>資料來源: 經濟部國貿局,臺灣自行車輸出業同業公會整理</t>
    <phoneticPr fontId="10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</si>
  <si>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</si>
  <si>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</si>
  <si>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</si>
  <si>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</si>
  <si>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</si>
  <si>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</si>
  <si>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</si>
  <si>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</si>
  <si>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</si>
  <si>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</si>
  <si>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</si>
  <si>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</si>
  <si>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</si>
  <si>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</si>
  <si>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</si>
  <si>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</si>
  <si>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</si>
  <si>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</si>
  <si>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</si>
  <si>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</si>
  <si>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</si>
  <si>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</si>
  <si>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</si>
  <si>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</si>
  <si>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</si>
  <si>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</si>
  <si>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</si>
  <si>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</si>
  <si>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</si>
  <si>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</si>
  <si>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</si>
  <si>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</si>
  <si>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</si>
  <si>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</si>
  <si>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</si>
  <si>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</si>
  <si>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</si>
  <si>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</si>
  <si>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</si>
  <si>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</si>
  <si>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</si>
  <si>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</si>
  <si>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</si>
  <si>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</si>
  <si>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</si>
  <si>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</si>
  <si>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</si>
  <si>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</si>
  <si>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</si>
  <si>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平均單價(US$)</t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</si>
  <si>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</si>
  <si>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</si>
  <si>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</si>
  <si>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</si>
  <si>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累計平均單價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</si>
  <si>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</si>
  <si>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</si>
  <si>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</si>
  <si>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</si>
  <si>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資料來源: 經濟部國貿局,臺灣自行車輸出業同業公會整理</t>
    <phoneticPr fontId="10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</si>
  <si>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</si>
  <si>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</si>
  <si>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</si>
  <si>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</si>
  <si>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</si>
  <si>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</si>
  <si>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</si>
  <si>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</si>
  <si>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</si>
  <si>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</si>
  <si>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</si>
  <si>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</si>
  <si>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</si>
  <si>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</si>
  <si>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</si>
  <si>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</si>
  <si>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</si>
  <si>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</si>
  <si>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</si>
  <si>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</si>
  <si>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</si>
  <si>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</si>
  <si>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</si>
  <si>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</si>
  <si>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</si>
  <si>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</si>
  <si>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</si>
  <si>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</si>
  <si>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</si>
  <si>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</si>
  <si>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</si>
  <si>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</si>
  <si>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</si>
  <si>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</si>
  <si>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</si>
  <si>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CODE:  87120010109(Folding Bicycles)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</si>
  <si>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</si>
  <si>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</si>
  <si>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</si>
  <si>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</si>
  <si>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 xml:space="preserve">                 87119030900 (  Other cycles fitted with other auxiliary motor )</t>
    <phoneticPr fontId="10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</si>
  <si>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</si>
  <si>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</si>
  <si>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</si>
  <si>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</si>
  <si>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</si>
  <si>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</si>
  <si>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</si>
  <si>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</si>
  <si>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</si>
  <si>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</si>
  <si>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</si>
  <si>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</si>
  <si>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</si>
  <si>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</si>
  <si>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</si>
  <si>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</si>
  <si>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</si>
  <si>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</si>
  <si>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</si>
  <si>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</si>
  <si>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</si>
  <si>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</si>
  <si>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</si>
  <si>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</si>
  <si>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</si>
  <si>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</si>
  <si>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</si>
  <si>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</si>
  <si>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</si>
  <si>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</si>
  <si>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</si>
  <si>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</si>
  <si>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</si>
  <si>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</si>
  <si>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</si>
  <si>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</si>
  <si>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</si>
  <si>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</si>
  <si>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</si>
  <si>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</si>
  <si>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</si>
  <si>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</si>
  <si>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</si>
  <si>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</si>
  <si>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</si>
  <si>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</si>
  <si>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</si>
  <si>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</si>
  <si>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</si>
  <si>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</si>
  <si>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</si>
  <si>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</si>
  <si>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</si>
  <si>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</si>
  <si>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</si>
  <si>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</si>
  <si>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</si>
  <si>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</si>
  <si>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</si>
  <si>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</si>
  <si>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</si>
  <si>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</si>
  <si>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</si>
  <si>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</si>
  <si>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</si>
  <si>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</si>
  <si>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</si>
  <si>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韓國</t>
    <phoneticPr fontId="10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</si>
  <si>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</si>
  <si>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</si>
  <si>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</si>
  <si>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</si>
  <si>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</si>
  <si>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</si>
  <si>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韓國</t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</si>
  <si>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</si>
  <si>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</si>
  <si>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</si>
  <si>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</si>
  <si>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</si>
  <si>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</si>
  <si>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</si>
  <si>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</si>
  <si>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</si>
  <si>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</si>
  <si>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</si>
  <si>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</si>
  <si>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</si>
  <si>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</si>
  <si>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</si>
  <si>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</si>
  <si>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</si>
  <si>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</si>
  <si>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</si>
  <si>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</si>
  <si>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</si>
  <si>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</si>
  <si>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</si>
  <si>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</si>
  <si>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</si>
  <si>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</si>
  <si>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</si>
  <si>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</si>
  <si>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</si>
  <si>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</si>
  <si>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</si>
  <si>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</si>
  <si>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</si>
  <si>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</si>
  <si>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</si>
  <si>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</si>
  <si>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</si>
  <si>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</si>
  <si>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</si>
  <si>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</si>
  <si>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</si>
  <si>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</si>
  <si>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</si>
  <si>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</si>
  <si>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</si>
  <si>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</si>
  <si>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</si>
  <si>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</si>
  <si>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</si>
  <si>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</si>
  <si>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</si>
  <si>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</si>
  <si>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</si>
  <si>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</si>
  <si>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</si>
  <si>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</si>
  <si>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</si>
  <si>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</si>
  <si>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</si>
  <si>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</si>
  <si>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</si>
  <si>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</si>
  <si>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</si>
  <si>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</si>
  <si>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</si>
  <si>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</si>
  <si>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</si>
  <si>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</si>
  <si>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</si>
  <si>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</si>
  <si>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</si>
  <si>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</si>
  <si>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</si>
  <si>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</si>
  <si>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</si>
  <si>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</si>
  <si>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</si>
  <si>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</si>
  <si>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</si>
  <si>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</si>
  <si>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</si>
  <si>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</si>
  <si>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</si>
  <si>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</si>
  <si>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</si>
  <si>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</si>
  <si>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</si>
  <si>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</si>
  <si>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</si>
  <si>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</si>
  <si>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</si>
  <si>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</si>
  <si>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</si>
  <si>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</si>
  <si>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</si>
  <si>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</si>
  <si>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</si>
  <si>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</si>
  <si>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</si>
  <si>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</si>
  <si>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</si>
  <si>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</si>
  <si>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</si>
  <si>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</si>
  <si>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</si>
  <si>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</si>
  <si>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</si>
  <si>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</si>
  <si>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</si>
  <si>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</si>
  <si>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</si>
  <si>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</si>
  <si>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</si>
  <si>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</si>
  <si>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</si>
  <si>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</si>
  <si>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</si>
  <si>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</si>
  <si>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</si>
  <si>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</si>
  <si>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</si>
  <si>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</si>
  <si>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</si>
  <si>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</si>
  <si>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</si>
  <si>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</si>
  <si>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</si>
  <si>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</si>
  <si>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</si>
  <si>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</si>
  <si>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</si>
  <si>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</si>
  <si>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</si>
  <si>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</si>
  <si>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</si>
  <si>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</si>
  <si>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</si>
  <si>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</si>
  <si>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</si>
  <si>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</si>
  <si>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</si>
  <si>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</si>
  <si>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</si>
  <si>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</si>
  <si>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</si>
  <si>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</si>
  <si>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</si>
  <si>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</si>
  <si>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</si>
  <si>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</si>
  <si>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</si>
  <si>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</si>
  <si>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阿拉國聯合大公國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</si>
  <si>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</si>
  <si>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</si>
  <si>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</si>
  <si>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</si>
  <si>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</si>
  <si>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</si>
  <si>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</si>
  <si>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</si>
  <si>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</si>
  <si>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</si>
  <si>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</si>
  <si>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</si>
  <si>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</si>
  <si>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</si>
  <si>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</si>
  <si>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</si>
  <si>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</si>
  <si>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</si>
  <si>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</si>
  <si>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</si>
  <si>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</si>
  <si>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</si>
  <si>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</si>
  <si>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</si>
  <si>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</si>
  <si>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</si>
  <si>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資料來源: 經濟部國貿局,臺灣自行車輸出業同業公會整理</t>
    <phoneticPr fontId="10" type="noConversion"/>
  </si>
  <si>
    <t>CCC CODE: 87120010(Bicycles)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</si>
  <si>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</si>
  <si>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資料來源: 經濟部國貿局,臺灣自行車輸出業同業公會整理</t>
    <phoneticPr fontId="4" type="noConversion"/>
  </si>
  <si>
    <t>CCC CODE: 87120010109 (Folding Bicycles)</t>
    <phoneticPr fontId="10" type="noConversion"/>
  </si>
  <si>
    <r>
      <rPr>
        <sz val="12"/>
        <color indexed="12"/>
        <rFont val="新細明體"/>
        <family val="1"/>
        <charset val="136"/>
      </rPr>
      <t>數量</t>
    </r>
    <r>
      <rPr>
        <sz val="12"/>
        <color indexed="12"/>
        <rFont val="Times New Roman"/>
        <family val="1"/>
      </rPr>
      <t>(</t>
    </r>
    <r>
      <rPr>
        <sz val="12"/>
        <color indexed="12"/>
        <rFont val="新細明體"/>
        <family val="1"/>
        <charset val="136"/>
      </rPr>
      <t>台</t>
    </r>
    <r>
      <rPr>
        <sz val="12"/>
        <color indexed="12"/>
        <rFont val="Times New Roman"/>
        <family val="1"/>
      </rPr>
      <t>)</t>
    </r>
  </si>
  <si>
    <r>
      <rPr>
        <sz val="12"/>
        <color indexed="12"/>
        <rFont val="新細明體"/>
        <family val="1"/>
        <charset val="136"/>
      </rPr>
      <t>金額</t>
    </r>
    <r>
      <rPr>
        <sz val="12"/>
        <color indexed="12"/>
        <rFont val="Times New Roman"/>
        <family val="1"/>
      </rPr>
      <t>(US$)</t>
    </r>
  </si>
  <si>
    <r>
      <rPr>
        <sz val="9"/>
        <color indexed="12"/>
        <rFont val="新細明體"/>
        <family val="1"/>
        <charset val="136"/>
      </rPr>
      <t>平均單價</t>
    </r>
    <r>
      <rPr>
        <sz val="9"/>
        <color indexed="12"/>
        <rFont val="Times New Roman"/>
        <family val="1"/>
      </rPr>
      <t>(US$)</t>
    </r>
    <phoneticPr fontId="4" type="noConversion"/>
  </si>
  <si>
    <t>CCC CODE: 87116020007 &amp; 87119030900</t>
    <phoneticPr fontId="3" type="noConversion"/>
  </si>
  <si>
    <r>
      <t>1</t>
    </r>
    <r>
      <rPr>
        <sz val="12"/>
        <rFont val="新細明體"/>
        <family val="1"/>
        <charset val="136"/>
      </rPr>
      <t>月數量</t>
    </r>
    <phoneticPr fontId="4" type="noConversion"/>
  </si>
  <si>
    <r>
      <t>1</t>
    </r>
    <r>
      <rPr>
        <sz val="12"/>
        <rFont val="新細明體"/>
        <family val="1"/>
        <charset val="136"/>
      </rPr>
      <t>月金額</t>
    </r>
    <phoneticPr fontId="4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</si>
  <si>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</si>
  <si>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</si>
  <si>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</si>
  <si>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r>
      <rPr>
        <sz val="12"/>
        <rFont val="新細明體"/>
        <family val="1"/>
        <charset val="136"/>
      </rPr>
      <t>輪圈</t>
    </r>
    <r>
      <rPr>
        <sz val="12"/>
        <rFont val="細明體-ExtB"/>
        <family val="1"/>
        <charset val="136"/>
      </rPr>
      <t>(87149200108)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</si>
  <si>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</si>
  <si>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</si>
  <si>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細明體-ExtB"/>
        <family val="1"/>
        <charset val="136"/>
      </rPr>
      <t>(87149200304)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</si>
  <si>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</si>
  <si>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</si>
  <si>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</si>
  <si>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</si>
  <si>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t>裝有棘輪機構之單一鏈輪(87149320103)</t>
    <phoneticPr fontId="4" type="noConversion"/>
  </si>
  <si>
    <t>其他國家</t>
    <phoneticPr fontId="3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</si>
  <si>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</si>
  <si>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</si>
  <si>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</si>
  <si>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細明體-ExtB"/>
        <family val="1"/>
        <charset val="136"/>
      </rPr>
      <t>(87149500007)</t>
    </r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</si>
  <si>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</si>
  <si>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</si>
  <si>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細明體-ExtB"/>
        <family val="1"/>
        <charset val="136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</si>
  <si>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</si>
  <si>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</si>
  <si>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</si>
  <si>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細明體-ExtB"/>
        <family val="1"/>
        <charset val="136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</si>
  <si>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細明體-ExtB"/>
        <family val="1"/>
        <charset val="136"/>
      </rPr>
      <t>(87149990157)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</si>
  <si>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細明體-ExtB"/>
        <family val="1"/>
        <charset val="136"/>
      </rPr>
      <t>(87149990166)</t>
    </r>
    <phoneticPr fontId="4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</si>
  <si>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</si>
  <si>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</si>
  <si>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其他國家</t>
    <phoneticPr fontId="3" type="noConversion"/>
  </si>
  <si>
    <t>資料來源: 經濟部國貿局,臺灣自行車輸出業同業公會整理</t>
    <phoneticPr fontId="4" type="noConversion"/>
  </si>
  <si>
    <r>
      <t>2024</t>
    </r>
    <r>
      <rPr>
        <sz val="12"/>
        <rFont val="新細明體"/>
        <family val="1"/>
        <charset val="136"/>
      </rPr>
      <t>年</t>
    </r>
    <r>
      <rPr>
        <sz val="12"/>
        <rFont val="華康仿宋體"/>
        <family val="3"/>
        <charset val="136"/>
      </rPr>
      <t>1</t>
    </r>
    <r>
      <rPr>
        <sz val="12"/>
        <rFont val="新細明體"/>
        <family val="1"/>
        <charset val="136"/>
      </rPr>
      <t>月</t>
    </r>
    <phoneticPr fontId="4" type="noConversion"/>
  </si>
  <si>
    <r>
      <t>2024</t>
    </r>
    <r>
      <rPr>
        <sz val="12"/>
        <rFont val="新細明體"/>
        <family val="1"/>
        <charset val="136"/>
      </rPr>
      <t>年</t>
    </r>
    <phoneticPr fontId="3" type="noConversion"/>
  </si>
  <si>
    <r>
      <t>2023</t>
    </r>
    <r>
      <rPr>
        <sz val="12"/>
        <color rgb="FF0000FF"/>
        <rFont val="新細明體"/>
        <family val="1"/>
        <charset val="136"/>
      </rPr>
      <t>年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</si>
  <si>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2024-2023</t>
    </r>
    <r>
      <rPr>
        <sz val="12"/>
        <rFont val="新細明體"/>
        <family val="1"/>
        <charset val="136"/>
      </rPr>
      <t>年同期比較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</si>
  <si>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2024-2023</t>
    </r>
    <r>
      <rPr>
        <sz val="12"/>
        <rFont val="新細明體"/>
        <family val="1"/>
        <charset val="136"/>
      </rPr>
      <t>年同期比較</t>
    </r>
    <phoneticPr fontId="4" type="noConversion"/>
  </si>
  <si>
    <r>
      <t>2024/2023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1-1</t>
    </r>
    <r>
      <rPr>
        <sz val="10"/>
        <rFont val="新細明體"/>
        <family val="1"/>
        <charset val="136"/>
      </rPr>
      <t>月</t>
    </r>
    <phoneticPr fontId="3" type="noConversion"/>
  </si>
  <si>
    <r>
      <t>2024</t>
    </r>
    <r>
      <rPr>
        <sz val="12"/>
        <rFont val="新細明體"/>
        <family val="1"/>
        <charset val="136"/>
      </rPr>
      <t>年</t>
    </r>
    <phoneticPr fontId="4" type="noConversion"/>
  </si>
  <si>
    <r>
      <t>2023</t>
    </r>
    <r>
      <rPr>
        <sz val="12"/>
        <color rgb="FF0000FF"/>
        <rFont val="新細明體"/>
        <family val="1"/>
        <charset val="136"/>
      </rPr>
      <t>年</t>
    </r>
    <phoneticPr fontId="4" type="noConversion"/>
  </si>
  <si>
    <r>
      <t>2023</t>
    </r>
    <r>
      <rPr>
        <sz val="12"/>
        <color indexed="12"/>
        <rFont val="新細明體"/>
        <family val="1"/>
        <charset val="136"/>
      </rPr>
      <t>年</t>
    </r>
    <phoneticPr fontId="4" type="noConversion"/>
  </si>
  <si>
    <t>2024年</t>
    <phoneticPr fontId="4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</si>
  <si>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2024 -2023</t>
    </r>
    <r>
      <rPr>
        <sz val="12"/>
        <rFont val="新細明體"/>
        <family val="1"/>
        <charset val="136"/>
      </rPr>
      <t>年同期比較</t>
    </r>
    <phoneticPr fontId="3" type="noConversion"/>
  </si>
  <si>
    <r>
      <t>2024</t>
    </r>
    <r>
      <rPr>
        <sz val="16"/>
        <rFont val="新細明體"/>
        <family val="1"/>
        <charset val="136"/>
      </rPr>
      <t>年</t>
    </r>
    <r>
      <rPr>
        <sz val="16"/>
        <rFont val="細明體-ExtB"/>
        <family val="1"/>
        <charset val="136"/>
      </rPr>
      <t>1</t>
    </r>
    <r>
      <rPr>
        <sz val="16"/>
        <rFont val="新細明體"/>
        <family val="1"/>
        <charset val="136"/>
      </rPr>
      <t>月台灣自行車主要零件進出口統計</t>
    </r>
    <phoneticPr fontId="4" type="noConversion"/>
  </si>
  <si>
    <t>CCC CODE:  87120090004 (Other Cycles)</t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</si>
  <si>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年同期台灣折疊式自行車出口統計比較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</si>
  <si>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年同期台灣電動自行車出口統計比較</t>
    </r>
    <phoneticPr fontId="3" type="noConversion"/>
  </si>
  <si>
    <t>日本</t>
    <phoneticPr fontId="3" type="noConversion"/>
  </si>
  <si>
    <t>中華民國</t>
  </si>
  <si>
    <t>中華民國</t>
    <phoneticPr fontId="3" type="noConversion"/>
  </si>
  <si>
    <t>美國</t>
  </si>
  <si>
    <t>英國</t>
  </si>
  <si>
    <t>瑞士</t>
  </si>
  <si>
    <t>柬埔寨</t>
  </si>
  <si>
    <t>挪威</t>
  </si>
  <si>
    <t>越南</t>
  </si>
  <si>
    <t>馬來西亞</t>
  </si>
  <si>
    <t>緬甸</t>
  </si>
  <si>
    <t>哥倫比亞</t>
  </si>
  <si>
    <t>泰國</t>
  </si>
  <si>
    <t>印尼</t>
  </si>
  <si>
    <t>孟加拉</t>
  </si>
  <si>
    <t>菲律賓</t>
  </si>
  <si>
    <t>印度</t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</si>
  <si>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1-2</t>
    </r>
    <r>
      <rPr>
        <b/>
        <sz val="14"/>
        <rFont val="新細明體"/>
        <family val="1"/>
        <charset val="136"/>
      </rPr>
      <t>月台灣自行車主要出口國家統計</t>
    </r>
    <phoneticPr fontId="4" type="noConversion"/>
  </si>
  <si>
    <r>
      <t>2024</t>
    </r>
    <r>
      <rPr>
        <sz val="12"/>
        <rFont val="新細明體"/>
        <family val="1"/>
        <charset val="136"/>
      </rPr>
      <t>年2月</t>
    </r>
    <phoneticPr fontId="4" type="noConversion"/>
  </si>
  <si>
    <r>
      <t>2</t>
    </r>
    <r>
      <rPr>
        <sz val="12"/>
        <rFont val="新細明體"/>
        <family val="1"/>
        <charset val="136"/>
      </rPr>
      <t>月數量</t>
    </r>
    <phoneticPr fontId="4" type="noConversion"/>
  </si>
  <si>
    <r>
      <t>2</t>
    </r>
    <r>
      <rPr>
        <sz val="12"/>
        <rFont val="新細明體"/>
        <family val="1"/>
        <charset val="136"/>
      </rPr>
      <t>月金額</t>
    </r>
    <phoneticPr fontId="4" type="noConversion"/>
  </si>
  <si>
    <r>
      <t>1-2</t>
    </r>
    <r>
      <rPr>
        <sz val="12"/>
        <rFont val="新細明體"/>
        <family val="1"/>
        <charset val="136"/>
      </rPr>
      <t>月數量</t>
    </r>
    <phoneticPr fontId="4" type="noConversion"/>
  </si>
  <si>
    <r>
      <t>1-2</t>
    </r>
    <r>
      <rPr>
        <sz val="12"/>
        <rFont val="新細明體"/>
        <family val="1"/>
        <charset val="136"/>
      </rPr>
      <t>月金額</t>
    </r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</si>
  <si>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1-2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</si>
  <si>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1-2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年同期台灣其他自行車出口統計比較</t>
    </r>
    <phoneticPr fontId="3" type="noConversion"/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</si>
  <si>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1-2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</si>
  <si>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r>
      <t>2024/2023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1-2</t>
    </r>
    <r>
      <rPr>
        <sz val="10"/>
        <rFont val="新細明體"/>
        <family val="1"/>
        <charset val="136"/>
      </rPr>
      <t>月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</si>
  <si>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年2月台灣自行車出口地區別統計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</si>
  <si>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1-2</t>
    </r>
    <r>
      <rPr>
        <b/>
        <sz val="14"/>
        <rFont val="新細明體"/>
        <family val="1"/>
        <charset val="136"/>
      </rPr>
      <t>月台灣自行車主要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</si>
  <si>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t>2024年1-2月台灣折疊式自行車主要出口國家統計</t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</si>
  <si>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1-2</t>
    </r>
    <r>
      <rPr>
        <b/>
        <sz val="14"/>
        <rFont val="新細明體"/>
        <family val="1"/>
        <charset val="136"/>
      </rPr>
      <t>月台灣電動自行車主要出口國家統計</t>
    </r>
    <phoneticPr fontId="10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</si>
  <si>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1-2</t>
    </r>
    <r>
      <rPr>
        <b/>
        <sz val="14"/>
        <rFont val="新細明體"/>
        <family val="1"/>
        <charset val="136"/>
      </rPr>
      <t>月份自行車主要零件進出口統計</t>
    </r>
    <phoneticPr fontId="4" type="noConversion"/>
  </si>
  <si>
    <r>
      <t>2</t>
    </r>
    <r>
      <rPr>
        <b/>
        <sz val="12"/>
        <rFont val="新細明體"/>
        <family val="1"/>
        <charset val="136"/>
      </rPr>
      <t>月出口量</t>
    </r>
    <phoneticPr fontId="4" type="noConversion"/>
  </si>
  <si>
    <t>2月出口金額</t>
    <phoneticPr fontId="4" type="noConversion"/>
  </si>
  <si>
    <r>
      <t>1-2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</si>
  <si>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1-2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</si>
  <si>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t>2月進口量</t>
    <phoneticPr fontId="4" type="noConversion"/>
  </si>
  <si>
    <t>2月進口金額</t>
    <phoneticPr fontId="4" type="noConversion"/>
  </si>
  <si>
    <r>
      <t>1-2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</si>
  <si>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1-2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</si>
  <si>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t xml:space="preserve">     2024/2023</t>
    </r>
    <r>
      <rPr>
        <b/>
        <sz val="16"/>
        <rFont val="新細明體"/>
        <family val="1"/>
        <charset val="136"/>
      </rPr>
      <t>年</t>
    </r>
    <r>
      <rPr>
        <b/>
        <sz val="16"/>
        <rFont val="華康仿宋體"/>
        <family val="1"/>
      </rPr>
      <t>1-2</t>
    </r>
    <r>
      <rPr>
        <b/>
        <sz val="16"/>
        <rFont val="新細明體"/>
        <family val="1"/>
        <charset val="136"/>
      </rPr>
      <t>月同期自行車主要零件出口統計比較</t>
    </r>
    <phoneticPr fontId="4" type="noConversion"/>
  </si>
  <si>
    <r>
      <t xml:space="preserve">     2024/2023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1-2</t>
    </r>
    <r>
      <rPr>
        <b/>
        <sz val="16"/>
        <rFont val="新細明體"/>
        <family val="1"/>
        <charset val="136"/>
      </rPr>
      <t>月同期自行車主要零件進口統計比較</t>
    </r>
    <phoneticPr fontId="4" type="noConversion"/>
  </si>
  <si>
    <t>2023年</t>
  </si>
  <si>
    <t>數量(kg)</t>
  </si>
  <si>
    <r>
      <rPr>
        <sz val="12"/>
        <rFont val="微軟正黑體"/>
        <family val="1"/>
        <charset val="136"/>
      </rPr>
      <t>腳踏車用電器照明設備</t>
    </r>
    <r>
      <rPr>
        <sz val="12"/>
        <rFont val="Times New Roman"/>
        <family val="1"/>
      </rPr>
      <t>(85121010001)</t>
    </r>
    <phoneticPr fontId="4" type="noConversion"/>
  </si>
  <si>
    <t>喬治亞</t>
  </si>
  <si>
    <t>塞爾維亞</t>
  </si>
  <si>
    <t>多明尼加</t>
  </si>
  <si>
    <t>土耳其</t>
  </si>
  <si>
    <t>厄瓜多</t>
  </si>
  <si>
    <t>日本</t>
    <phoneticPr fontId="4" type="noConversion"/>
  </si>
  <si>
    <t>美國</t>
    <phoneticPr fontId="4" type="noConversion"/>
  </si>
  <si>
    <t>波士尼亞及赫塞哥維納</t>
  </si>
  <si>
    <t>中華民國</t>
    <phoneticPr fontId="4" type="noConversion"/>
  </si>
  <si>
    <t xml:space="preserve">                                                '2024/2023年1-2月台灣電動自行車主要出口國家比較        </t>
    <phoneticPr fontId="4" type="noConversion"/>
  </si>
  <si>
    <r>
      <t xml:space="preserve">     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1-2</t>
    </r>
    <r>
      <rPr>
        <b/>
        <sz val="14"/>
        <rFont val="新細明體"/>
        <family val="1"/>
        <charset val="136"/>
      </rPr>
      <t>月台灣折疊式自行車主要出口國家比較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</si>
</sst>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</numFmts>
  <fonts count="96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9"/>
      <name val="華康仿宋體"/>
      <family val="3"/>
      <charset val="136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color indexed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rgb="FF0033CC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sz val="12"/>
      <name val="細明體"/>
      <family val="1"/>
      <charset val="136"/>
    </font>
    <font>
      <b/>
      <sz val="16"/>
      <name val="新細明體"/>
      <family val="1"/>
      <charset val="136"/>
    </font>
    <font>
      <sz val="9"/>
      <color indexed="12"/>
      <name val="Times New Roman"/>
      <family val="1"/>
    </font>
    <font>
      <sz val="12"/>
      <color rgb="FF0033CC"/>
      <name val="Times New Roman"/>
      <family val="1"/>
    </font>
    <font>
      <sz val="12"/>
      <color indexed="12"/>
      <name val="新細明體"/>
      <family val="1"/>
      <charset val="136"/>
      <scheme val="major"/>
    </font>
    <font>
      <sz val="12"/>
      <color indexed="12"/>
      <name val="新細明體"/>
      <family val="1"/>
      <charset val="136"/>
      <scheme val="minor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4"/>
      <name val="新細明體"/>
      <family val="1"/>
      <charset val="136"/>
      <scheme val="major"/>
    </font>
    <font>
      <sz val="12"/>
      <color theme="1"/>
      <name val="Times New Roman"/>
      <family val="1"/>
    </font>
    <font>
      <b/>
      <sz val="16"/>
      <name val="細明體-ExtB"/>
      <family val="1"/>
      <charset val="136"/>
    </font>
    <font>
      <sz val="16"/>
      <name val="新細明體"/>
      <family val="1"/>
      <charset val="136"/>
    </font>
    <font>
      <sz val="16"/>
      <name val="細明體-ExtB"/>
      <family val="1"/>
      <charset val="136"/>
    </font>
    <font>
      <sz val="12"/>
      <color rgb="FF0000FF"/>
      <name val="Times New Roman"/>
      <family val="1"/>
    </font>
    <font>
      <sz val="12"/>
      <color rgb="FF0000FF"/>
      <name val="華康仿宋體"/>
      <family val="3"/>
      <charset val="136"/>
    </font>
    <font>
      <sz val="11"/>
      <color rgb="FF242424"/>
      <name val="微軟正黑體"/>
      <family val="2"/>
      <charset val="136"/>
    </font>
    <font>
      <sz val="12"/>
      <name val="微軟正黑體"/>
      <family val="1"/>
      <charset val="136"/>
    </font>
    <font>
      <b/>
      <sz val="16"/>
      <name val="華康仿宋體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</cellStyleXfs>
  <cellXfs count="572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43" fontId="0" fillId="2" borderId="0" xfId="0" applyNumberFormat="1" applyFill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1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>
      <alignment horizontal="centerContinuous"/>
    </xf>
    <xf numFmtId="10" fontId="12" fillId="0" borderId="0" xfId="0" applyNumberFormat="1" applyFont="1" applyAlignment="1">
      <alignment horizontal="centerContinuous"/>
    </xf>
    <xf numFmtId="0" fontId="13" fillId="0" borderId="0" xfId="0" applyFont="1" applyAlignment="1"/>
    <xf numFmtId="10" fontId="14" fillId="0" borderId="0" xfId="0" applyNumberFormat="1" applyFont="1" applyAlignment="1"/>
    <xf numFmtId="10" fontId="14" fillId="0" borderId="12" xfId="0" applyNumberFormat="1" applyFont="1" applyBorder="1" applyAlignment="1"/>
    <xf numFmtId="0" fontId="0" fillId="2" borderId="1" xfId="0" applyFill="1" applyBorder="1" applyAlignment="1"/>
    <xf numFmtId="0" fontId="7" fillId="2" borderId="2" xfId="0" applyFont="1" applyFill="1" applyBorder="1" applyAlignment="1"/>
    <xf numFmtId="0" fontId="13" fillId="2" borderId="1" xfId="0" applyFont="1" applyFill="1" applyBorder="1" applyAlignment="1"/>
    <xf numFmtId="10" fontId="14" fillId="2" borderId="2" xfId="0" applyNumberFormat="1" applyFont="1" applyFill="1" applyBorder="1" applyAlignment="1"/>
    <xf numFmtId="0" fontId="13" fillId="2" borderId="2" xfId="0" applyFont="1" applyFill="1" applyBorder="1" applyAlignment="1"/>
    <xf numFmtId="10" fontId="14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5" fillId="0" borderId="4" xfId="0" quotePrefix="1" applyFont="1" applyBorder="1" applyAlignment="1">
      <alignment horizontal="center"/>
    </xf>
    <xf numFmtId="0" fontId="16" fillId="0" borderId="8" xfId="0" quotePrefix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7" fillId="0" borderId="5" xfId="0" quotePrefix="1" applyNumberFormat="1" applyFont="1" applyBorder="1" applyAlignment="1">
      <alignment horizontal="center"/>
    </xf>
    <xf numFmtId="10" fontId="17" fillId="0" borderId="8" xfId="0" quotePrefix="1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43" fontId="22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2" borderId="8" xfId="0" applyFont="1" applyFill="1" applyBorder="1" applyAlignment="1"/>
    <xf numFmtId="10" fontId="19" fillId="2" borderId="8" xfId="0" applyNumberFormat="1" applyFont="1" applyFill="1" applyBorder="1" applyAlignment="1"/>
    <xf numFmtId="43" fontId="19" fillId="2" borderId="8" xfId="0" applyNumberFormat="1" applyFont="1" applyFill="1" applyBorder="1" applyAlignment="1"/>
    <xf numFmtId="43" fontId="13" fillId="2" borderId="8" xfId="0" applyNumberFormat="1" applyFont="1" applyFill="1" applyBorder="1" applyAlignment="1"/>
    <xf numFmtId="176" fontId="13" fillId="2" borderId="6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9" fillId="0" borderId="6" xfId="0" applyNumberFormat="1" applyFont="1" applyBorder="1" applyAlignment="1"/>
    <xf numFmtId="43" fontId="13" fillId="2" borderId="6" xfId="0" applyNumberFormat="1" applyFont="1" applyFill="1" applyBorder="1" applyAlignment="1"/>
    <xf numFmtId="176" fontId="13" fillId="0" borderId="6" xfId="0" applyNumberFormat="1" applyFont="1" applyBorder="1" applyAlignment="1"/>
    <xf numFmtId="176" fontId="13" fillId="0" borderId="10" xfId="0" applyNumberFormat="1" applyFont="1" applyBorder="1" applyAlignment="1"/>
    <xf numFmtId="176" fontId="13" fillId="2" borderId="10" xfId="0" applyNumberFormat="1" applyFont="1" applyFill="1" applyBorder="1" applyAlignment="1"/>
    <xf numFmtId="10" fontId="23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9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3" fillId="2" borderId="2" xfId="0" applyNumberFormat="1" applyFont="1" applyFill="1" applyBorder="1" applyAlignment="1"/>
    <xf numFmtId="10" fontId="19" fillId="0" borderId="0" xfId="0" applyNumberFormat="1" applyFont="1" applyAlignment="1"/>
    <xf numFmtId="10" fontId="19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3" fillId="2" borderId="13" xfId="0" applyNumberFormat="1" applyFont="1" applyFill="1" applyBorder="1" applyAlignment="1"/>
    <xf numFmtId="10" fontId="19" fillId="2" borderId="2" xfId="0" applyNumberFormat="1" applyFont="1" applyFill="1" applyBorder="1" applyAlignment="1"/>
    <xf numFmtId="10" fontId="19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176" fontId="16" fillId="0" borderId="9" xfId="0" applyNumberFormat="1" applyFont="1" applyBorder="1" applyAlignment="1">
      <alignment horizontal="center"/>
    </xf>
    <xf numFmtId="0" fontId="24" fillId="0" borderId="0" xfId="0" applyFont="1" applyAlignment="1"/>
    <xf numFmtId="0" fontId="14" fillId="0" borderId="0" xfId="0" applyFont="1" applyAlignment="1"/>
    <xf numFmtId="176" fontId="14" fillId="2" borderId="0" xfId="0" applyNumberFormat="1" applyFont="1" applyFill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25" fillId="2" borderId="1" xfId="0" applyFont="1" applyFill="1" applyBorder="1" applyAlignment="1"/>
    <xf numFmtId="0" fontId="8" fillId="2" borderId="2" xfId="0" applyFont="1" applyFill="1" applyBorder="1" applyAlignment="1"/>
    <xf numFmtId="0" fontId="16" fillId="2" borderId="2" xfId="0" applyFont="1" applyFill="1" applyBorder="1" applyAlignment="1"/>
    <xf numFmtId="0" fontId="18" fillId="2" borderId="2" xfId="0" applyFont="1" applyFill="1" applyBorder="1" applyAlignment="1"/>
    <xf numFmtId="0" fontId="17" fillId="2" borderId="2" xfId="0" applyFont="1" applyFill="1" applyBorder="1" applyAlignment="1"/>
    <xf numFmtId="0" fontId="17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3" fillId="0" borderId="2" xfId="0" applyFont="1" applyBorder="1" applyAlignment="1"/>
    <xf numFmtId="0" fontId="14" fillId="0" borderId="2" xfId="0" applyFont="1" applyBorder="1" applyAlignment="1"/>
    <xf numFmtId="0" fontId="19" fillId="0" borderId="2" xfId="0" applyFont="1" applyBorder="1" applyAlignment="1"/>
    <xf numFmtId="0" fontId="17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6" fillId="0" borderId="12" xfId="0" applyFont="1" applyBorder="1" applyAlignment="1">
      <alignment horizontal="centerContinuous"/>
    </xf>
    <xf numFmtId="0" fontId="18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0" fontId="7" fillId="2" borderId="10" xfId="3" applyNumberFormat="1" applyFont="1" applyFill="1" applyBorder="1" applyAlignment="1"/>
    <xf numFmtId="10" fontId="14" fillId="2" borderId="0" xfId="3" applyNumberFormat="1" applyFont="1" applyFill="1" applyBorder="1" applyAlignment="1"/>
    <xf numFmtId="176" fontId="13" fillId="0" borderId="0" xfId="0" applyNumberFormat="1" applyFont="1" applyAlignment="1"/>
    <xf numFmtId="10" fontId="14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6" fillId="2" borderId="2" xfId="0" applyNumberFormat="1" applyFont="1" applyFill="1" applyBorder="1" applyAlignment="1"/>
    <xf numFmtId="10" fontId="18" fillId="2" borderId="2" xfId="3" applyNumberFormat="1" applyFont="1" applyFill="1" applyBorder="1" applyAlignment="1"/>
    <xf numFmtId="176" fontId="17" fillId="2" borderId="2" xfId="0" applyNumberFormat="1" applyFont="1" applyFill="1" applyBorder="1" applyAlignment="1"/>
    <xf numFmtId="10" fontId="17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3" fillId="0" borderId="2" xfId="0" applyNumberFormat="1" applyFont="1" applyBorder="1" applyAlignment="1"/>
    <xf numFmtId="10" fontId="14" fillId="0" borderId="2" xfId="3" applyNumberFormat="1" applyFont="1" applyBorder="1" applyAlignment="1"/>
    <xf numFmtId="176" fontId="19" fillId="0" borderId="2" xfId="0" applyNumberFormat="1" applyFont="1" applyBorder="1" applyAlignment="1"/>
    <xf numFmtId="10" fontId="17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6" fillId="0" borderId="12" xfId="0" applyNumberFormat="1" applyFont="1" applyBorder="1" applyAlignment="1">
      <alignment horizontal="centerContinuous"/>
    </xf>
    <xf numFmtId="10" fontId="18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6" fillId="0" borderId="0" xfId="0" applyFont="1" applyAlignment="1"/>
    <xf numFmtId="0" fontId="18" fillId="0" borderId="0" xfId="0" applyFont="1" applyAlignment="1"/>
    <xf numFmtId="43" fontId="7" fillId="2" borderId="3" xfId="0" applyNumberFormat="1" applyFont="1" applyFill="1" applyBorder="1" applyAlignment="1"/>
    <xf numFmtId="43" fontId="26" fillId="0" borderId="5" xfId="0" applyNumberFormat="1" applyFont="1" applyBorder="1" applyAlignment="1">
      <alignment horizontal="center"/>
    </xf>
    <xf numFmtId="0" fontId="25" fillId="2" borderId="5" xfId="0" quotePrefix="1" applyFont="1" applyFill="1" applyBorder="1" applyAlignment="1">
      <alignment horizontal="center"/>
    </xf>
    <xf numFmtId="0" fontId="8" fillId="2" borderId="16" xfId="0" quotePrefix="1" applyFont="1" applyFill="1" applyBorder="1" applyAlignment="1">
      <alignment horizontal="center"/>
    </xf>
    <xf numFmtId="176" fontId="0" fillId="0" borderId="16" xfId="0" applyNumberFormat="1" applyBorder="1" applyAlignment="1"/>
    <xf numFmtId="10" fontId="0" fillId="2" borderId="17" xfId="3" applyNumberFormat="1" applyFont="1" applyFill="1" applyBorder="1" applyAlignment="1"/>
    <xf numFmtId="43" fontId="0" fillId="2" borderId="16" xfId="0" applyNumberFormat="1" applyFill="1" applyBorder="1" applyAlignment="1"/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8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14" fillId="2" borderId="3" xfId="0" applyNumberFormat="1" applyFont="1" applyFill="1" applyBorder="1" applyAlignment="1"/>
    <xf numFmtId="0" fontId="0" fillId="0" borderId="1" xfId="0" applyBorder="1" applyAlignment="1"/>
    <xf numFmtId="10" fontId="18" fillId="0" borderId="8" xfId="0" quotePrefix="1" applyNumberFormat="1" applyFont="1" applyBorder="1" applyAlignment="1">
      <alignment horizontal="center"/>
    </xf>
    <xf numFmtId="10" fontId="18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4" fillId="2" borderId="5" xfId="0" applyNumberFormat="1" applyFont="1" applyFill="1" applyBorder="1" applyAlignment="1"/>
    <xf numFmtId="10" fontId="14" fillId="2" borderId="8" xfId="0" applyNumberFormat="1" applyFont="1" applyFill="1" applyBorder="1" applyAlignment="1"/>
    <xf numFmtId="43" fontId="19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13" fillId="2" borderId="9" xfId="0" applyNumberFormat="1" applyFont="1" applyFill="1" applyBorder="1" applyAlignment="1"/>
    <xf numFmtId="176" fontId="0" fillId="0" borderId="9" xfId="0" applyNumberFormat="1" applyBorder="1" applyAlignment="1"/>
    <xf numFmtId="176" fontId="13" fillId="0" borderId="9" xfId="0" applyNumberFormat="1" applyFont="1" applyBorder="1" applyAlignment="1"/>
    <xf numFmtId="10" fontId="14" fillId="0" borderId="0" xfId="3" applyNumberFormat="1" applyFont="1" applyBorder="1" applyAlignment="1"/>
    <xf numFmtId="0" fontId="28" fillId="0" borderId="7" xfId="0" applyFont="1" applyBorder="1" applyAlignment="1">
      <alignment horizontal="left"/>
    </xf>
    <xf numFmtId="0" fontId="29" fillId="0" borderId="13" xfId="0" applyFont="1" applyBorder="1" applyAlignment="1">
      <alignment horizontal="centerContinuous"/>
    </xf>
    <xf numFmtId="0" fontId="30" fillId="0" borderId="13" xfId="0" applyFont="1" applyBorder="1" applyAlignment="1">
      <alignment horizontal="centerContinuous"/>
    </xf>
    <xf numFmtId="0" fontId="30" fillId="0" borderId="15" xfId="0" applyFont="1" applyBorder="1" applyAlignment="1">
      <alignment horizontal="centerContinuous"/>
    </xf>
    <xf numFmtId="0" fontId="31" fillId="0" borderId="0" xfId="0" applyFont="1" applyAlignment="1"/>
    <xf numFmtId="0" fontId="28" fillId="0" borderId="6" xfId="0" applyFont="1" applyBorder="1" applyAlignment="1">
      <alignment horizontal="left"/>
    </xf>
    <xf numFmtId="0" fontId="29" fillId="0" borderId="12" xfId="0" applyFont="1" applyBorder="1" applyAlignment="1">
      <alignment horizontal="centerContinuous"/>
    </xf>
    <xf numFmtId="0" fontId="30" fillId="0" borderId="12" xfId="0" applyFont="1" applyBorder="1" applyAlignment="1">
      <alignment horizontal="centerContinuous"/>
    </xf>
    <xf numFmtId="0" fontId="30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0" fontId="9" fillId="2" borderId="6" xfId="3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Alignment="1">
      <alignment horizontal="center"/>
    </xf>
    <xf numFmtId="176" fontId="9" fillId="2" borderId="0" xfId="0" quotePrefix="1" applyNumberFormat="1" applyFont="1" applyFill="1" applyAlignment="1"/>
    <xf numFmtId="176" fontId="9" fillId="2" borderId="0" xfId="0" quotePrefix="1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176" fontId="9" fillId="0" borderId="0" xfId="0" quotePrefix="1" applyNumberFormat="1" applyFont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Continuous"/>
    </xf>
    <xf numFmtId="0" fontId="33" fillId="0" borderId="0" xfId="0" applyFont="1" applyAlignment="1">
      <alignment horizontal="centerContinuous"/>
    </xf>
    <xf numFmtId="10" fontId="34" fillId="0" borderId="0" xfId="0" applyNumberFormat="1" applyFont="1" applyAlignment="1">
      <alignment horizontal="centerContinuous"/>
    </xf>
    <xf numFmtId="10" fontId="34" fillId="0" borderId="0" xfId="0" applyNumberFormat="1" applyFont="1" applyAlignment="1">
      <alignment horizontal="center"/>
    </xf>
    <xf numFmtId="0" fontId="35" fillId="0" borderId="0" xfId="0" applyFont="1" applyAlignment="1"/>
    <xf numFmtId="0" fontId="36" fillId="0" borderId="0" xfId="0" applyFont="1" applyAlignment="1"/>
    <xf numFmtId="10" fontId="37" fillId="0" borderId="0" xfId="0" applyNumberFormat="1" applyFont="1" applyAlignment="1"/>
    <xf numFmtId="10" fontId="37" fillId="0" borderId="12" xfId="0" applyNumberFormat="1" applyFont="1" applyBorder="1" applyAlignment="1">
      <alignment horizontal="center"/>
    </xf>
    <xf numFmtId="0" fontId="38" fillId="0" borderId="7" xfId="0" applyFont="1" applyBorder="1" applyAlignment="1">
      <alignment horizontal="left"/>
    </xf>
    <xf numFmtId="0" fontId="38" fillId="0" borderId="13" xfId="0" applyFont="1" applyBorder="1" applyAlignment="1">
      <alignment horizontal="centerContinuous"/>
    </xf>
    <xf numFmtId="0" fontId="39" fillId="0" borderId="13" xfId="0" applyFont="1" applyBorder="1" applyAlignment="1">
      <alignment horizontal="centerContinuous"/>
    </xf>
    <xf numFmtId="0" fontId="35" fillId="0" borderId="15" xfId="0" applyFont="1" applyBorder="1" applyAlignment="1"/>
    <xf numFmtId="0" fontId="38" fillId="0" borderId="6" xfId="0" applyFont="1" applyBorder="1" applyAlignment="1">
      <alignment horizontal="left"/>
    </xf>
    <xf numFmtId="0" fontId="38" fillId="0" borderId="12" xfId="0" applyFont="1" applyBorder="1" applyAlignment="1">
      <alignment horizontal="centerContinuous"/>
    </xf>
    <xf numFmtId="0" fontId="39" fillId="0" borderId="12" xfId="0" applyFont="1" applyBorder="1" applyAlignment="1">
      <alignment horizontal="centerContinuous"/>
    </xf>
    <xf numFmtId="0" fontId="35" fillId="0" borderId="14" xfId="0" applyFont="1" applyBorder="1" applyAlignment="1"/>
    <xf numFmtId="0" fontId="35" fillId="0" borderId="4" xfId="0" quotePrefix="1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5" fillId="0" borderId="14" xfId="0" quotePrefix="1" applyFont="1" applyBorder="1" applyAlignment="1">
      <alignment horizontal="center"/>
    </xf>
    <xf numFmtId="43" fontId="41" fillId="0" borderId="9" xfId="0" applyNumberFormat="1" applyFont="1" applyBorder="1" applyAlignment="1">
      <alignment horizontal="center"/>
    </xf>
    <xf numFmtId="0" fontId="35" fillId="2" borderId="4" xfId="0" applyFont="1" applyFill="1" applyBorder="1" applyAlignment="1">
      <alignment horizontal="center"/>
    </xf>
    <xf numFmtId="0" fontId="35" fillId="2" borderId="7" xfId="0" applyFont="1" applyFill="1" applyBorder="1" applyAlignment="1"/>
    <xf numFmtId="0" fontId="35" fillId="2" borderId="13" xfId="0" applyFont="1" applyFill="1" applyBorder="1" applyAlignment="1"/>
    <xf numFmtId="43" fontId="40" fillId="2" borderId="15" xfId="0" applyNumberFormat="1" applyFont="1" applyFill="1" applyBorder="1" applyAlignment="1"/>
    <xf numFmtId="176" fontId="35" fillId="2" borderId="6" xfId="0" applyNumberFormat="1" applyFont="1" applyFill="1" applyBorder="1" applyAlignment="1"/>
    <xf numFmtId="176" fontId="35" fillId="2" borderId="12" xfId="0" applyNumberFormat="1" applyFont="1" applyFill="1" applyBorder="1" applyAlignment="1"/>
    <xf numFmtId="0" fontId="35" fillId="0" borderId="10" xfId="0" quotePrefix="1" applyFont="1" applyBorder="1" applyAlignment="1">
      <alignment horizontal="center"/>
    </xf>
    <xf numFmtId="176" fontId="35" fillId="0" borderId="6" xfId="0" applyNumberFormat="1" applyFont="1" applyBorder="1" applyAlignment="1"/>
    <xf numFmtId="176" fontId="35" fillId="0" borderId="10" xfId="0" applyNumberFormat="1" applyFont="1" applyBorder="1" applyAlignment="1"/>
    <xf numFmtId="0" fontId="35" fillId="0" borderId="10" xfId="0" applyFont="1" applyBorder="1" applyAlignment="1">
      <alignment horizontal="center"/>
    </xf>
    <xf numFmtId="0" fontId="35" fillId="2" borderId="10" xfId="0" quotePrefix="1" applyFont="1" applyFill="1" applyBorder="1" applyAlignment="1">
      <alignment horizontal="center"/>
    </xf>
    <xf numFmtId="176" fontId="35" fillId="2" borderId="10" xfId="0" applyNumberFormat="1" applyFont="1" applyFill="1" applyBorder="1" applyAlignment="1"/>
    <xf numFmtId="0" fontId="35" fillId="2" borderId="10" xfId="0" applyFont="1" applyFill="1" applyBorder="1" applyAlignment="1">
      <alignment horizontal="center"/>
    </xf>
    <xf numFmtId="0" fontId="35" fillId="2" borderId="0" xfId="0" quotePrefix="1" applyFont="1" applyFill="1" applyAlignment="1">
      <alignment horizontal="center"/>
    </xf>
    <xf numFmtId="176" fontId="35" fillId="2" borderId="0" xfId="0" applyNumberFormat="1" applyFont="1" applyFill="1" applyAlignment="1"/>
    <xf numFmtId="176" fontId="36" fillId="0" borderId="0" xfId="0" applyNumberFormat="1" applyFont="1" applyAlignment="1"/>
    <xf numFmtId="10" fontId="37" fillId="0" borderId="0" xfId="3" applyNumberFormat="1" applyFont="1" applyBorder="1" applyAlignment="1">
      <alignment horizontal="center"/>
    </xf>
    <xf numFmtId="0" fontId="35" fillId="0" borderId="0" xfId="0" applyFont="1" applyAlignment="1">
      <alignment horizontal="left"/>
    </xf>
    <xf numFmtId="10" fontId="37" fillId="0" borderId="0" xfId="0" applyNumberFormat="1" applyFont="1" applyAlignment="1">
      <alignment horizontal="center"/>
    </xf>
    <xf numFmtId="0" fontId="44" fillId="0" borderId="0" xfId="0" applyFont="1" applyAlignment="1">
      <alignment horizontal="centerContinuous"/>
    </xf>
    <xf numFmtId="0" fontId="45" fillId="0" borderId="0" xfId="0" applyFont="1" applyAlignment="1">
      <alignment horizontal="centerContinuous"/>
    </xf>
    <xf numFmtId="0" fontId="44" fillId="0" borderId="0" xfId="0" applyFont="1" applyAlignment="1"/>
    <xf numFmtId="0" fontId="45" fillId="0" borderId="0" xfId="0" applyFont="1" applyAlignment="1"/>
    <xf numFmtId="0" fontId="44" fillId="0" borderId="2" xfId="0" applyFont="1" applyBorder="1" applyAlignment="1"/>
    <xf numFmtId="0" fontId="45" fillId="0" borderId="2" xfId="0" applyFont="1" applyBorder="1" applyAlignment="1"/>
    <xf numFmtId="0" fontId="46" fillId="0" borderId="2" xfId="0" applyFont="1" applyBorder="1" applyAlignment="1"/>
    <xf numFmtId="10" fontId="18" fillId="0" borderId="10" xfId="3" applyNumberFormat="1" applyFont="1" applyBorder="1" applyAlignment="1">
      <alignment horizontal="center"/>
    </xf>
    <xf numFmtId="10" fontId="45" fillId="2" borderId="0" xfId="3" applyNumberFormat="1" applyFont="1" applyFill="1" applyBorder="1" applyAlignment="1"/>
    <xf numFmtId="176" fontId="44" fillId="0" borderId="2" xfId="0" applyNumberFormat="1" applyFont="1" applyBorder="1" applyAlignment="1"/>
    <xf numFmtId="10" fontId="45" fillId="0" borderId="2" xfId="3" applyNumberFormat="1" applyFont="1" applyBorder="1" applyAlignment="1"/>
    <xf numFmtId="176" fontId="46" fillId="0" borderId="2" xfId="0" applyNumberFormat="1" applyFont="1" applyBorder="1" applyAlignment="1"/>
    <xf numFmtId="176" fontId="47" fillId="0" borderId="0" xfId="0" applyNumberFormat="1" applyFont="1" applyAlignment="1">
      <alignment horizontal="centerContinuous"/>
    </xf>
    <xf numFmtId="0" fontId="47" fillId="0" borderId="0" xfId="0" applyFont="1" applyAlignment="1"/>
    <xf numFmtId="176" fontId="47" fillId="0" borderId="0" xfId="0" applyNumberFormat="1" applyFont="1" applyAlignment="1"/>
    <xf numFmtId="0" fontId="47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7" fillId="0" borderId="10" xfId="0" quotePrefix="1" applyFont="1" applyBorder="1" applyAlignment="1">
      <alignment horizontal="center"/>
    </xf>
    <xf numFmtId="0" fontId="47" fillId="0" borderId="1" xfId="0" quotePrefix="1" applyFont="1" applyBorder="1" applyAlignment="1">
      <alignment horizontal="center"/>
    </xf>
    <xf numFmtId="176" fontId="47" fillId="0" borderId="3" xfId="0" applyNumberFormat="1" applyFont="1" applyBorder="1" applyAlignment="1">
      <alignment horizontal="center"/>
    </xf>
    <xf numFmtId="176" fontId="47" fillId="0" borderId="10" xfId="0" quotePrefix="1" applyNumberFormat="1" applyFont="1" applyBorder="1" applyAlignment="1">
      <alignment horizontal="center"/>
    </xf>
    <xf numFmtId="0" fontId="47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7" fillId="0" borderId="5" xfId="0" applyFont="1" applyBorder="1" applyAlignment="1"/>
    <xf numFmtId="178" fontId="8" fillId="0" borderId="11" xfId="2" applyNumberFormat="1" applyFont="1" applyBorder="1" applyAlignment="1"/>
    <xf numFmtId="0" fontId="47" fillId="3" borderId="5" xfId="0" applyFont="1" applyFill="1" applyBorder="1" applyAlignment="1">
      <alignment horizontal="left"/>
    </xf>
    <xf numFmtId="0" fontId="47" fillId="4" borderId="5" xfId="0" applyFont="1" applyFill="1" applyBorder="1" applyAlignment="1">
      <alignment horizontal="left"/>
    </xf>
    <xf numFmtId="0" fontId="47" fillId="0" borderId="5" xfId="0" quotePrefix="1" applyFont="1" applyBorder="1" applyAlignment="1">
      <alignment horizontal="left"/>
    </xf>
    <xf numFmtId="0" fontId="47" fillId="0" borderId="5" xfId="0" applyFont="1" applyBorder="1" applyAlignment="1">
      <alignment horizontal="left"/>
    </xf>
    <xf numFmtId="0" fontId="47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5" fillId="0" borderId="3" xfId="2" applyNumberFormat="1" applyFont="1" applyBorder="1" applyAlignment="1"/>
    <xf numFmtId="0" fontId="48" fillId="0" borderId="0" xfId="0" applyFont="1" applyAlignment="1">
      <alignment horizontal="centerContinuous"/>
    </xf>
    <xf numFmtId="176" fontId="48" fillId="0" borderId="0" xfId="0" applyNumberFormat="1" applyFont="1" applyAlignment="1">
      <alignment horizontal="centerContinuous"/>
    </xf>
    <xf numFmtId="176" fontId="49" fillId="0" borderId="0" xfId="0" applyNumberFormat="1" applyFont="1" applyAlignment="1">
      <alignment horizontal="centerContinuous"/>
    </xf>
    <xf numFmtId="176" fontId="50" fillId="0" borderId="0" xfId="0" applyNumberFormat="1" applyFont="1" applyAlignment="1">
      <alignment horizontal="centerContinuous"/>
    </xf>
    <xf numFmtId="176" fontId="51" fillId="0" borderId="0" xfId="0" applyNumberFormat="1" applyFont="1" applyAlignment="1"/>
    <xf numFmtId="176" fontId="52" fillId="0" borderId="0" xfId="0" applyNumberFormat="1" applyFont="1" applyAlignment="1"/>
    <xf numFmtId="10" fontId="18" fillId="0" borderId="8" xfId="0" applyNumberFormat="1" applyFont="1" applyBorder="1" applyAlignment="1">
      <alignment horizontal="center"/>
    </xf>
    <xf numFmtId="0" fontId="47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3" fillId="3" borderId="8" xfId="0" applyNumberFormat="1" applyFont="1" applyFill="1" applyBorder="1" applyAlignment="1">
      <alignment horizontal="center"/>
    </xf>
    <xf numFmtId="176" fontId="14" fillId="3" borderId="8" xfId="0" applyNumberFormat="1" applyFont="1" applyFill="1" applyBorder="1" applyAlignment="1">
      <alignment horizontal="center"/>
    </xf>
    <xf numFmtId="176" fontId="14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13" fillId="0" borderId="5" xfId="0" applyNumberFormat="1" applyFont="1" applyBorder="1" applyAlignment="1"/>
    <xf numFmtId="178" fontId="13" fillId="0" borderId="5" xfId="2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8" fontId="13" fillId="4" borderId="5" xfId="2" applyNumberFormat="1" applyFont="1" applyFill="1" applyBorder="1" applyAlignment="1"/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13" fillId="4" borderId="5" xfId="0" applyNumberFormat="1" applyFont="1" applyFill="1" applyBorder="1" applyAlignment="1"/>
    <xf numFmtId="176" fontId="23" fillId="4" borderId="5" xfId="0" applyNumberFormat="1" applyFont="1" applyFill="1" applyBorder="1" applyAlignment="1"/>
    <xf numFmtId="0" fontId="47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6" fillId="0" borderId="0" xfId="0" applyNumberFormat="1" applyFont="1" applyAlignment="1"/>
    <xf numFmtId="176" fontId="18" fillId="0" borderId="0" xfId="0" applyNumberFormat="1" applyFont="1" applyAlignment="1"/>
    <xf numFmtId="0" fontId="53" fillId="0" borderId="0" xfId="0" applyFont="1" applyAlignment="1">
      <alignment horizontal="centerContinuous"/>
    </xf>
    <xf numFmtId="176" fontId="8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176" fontId="8" fillId="0" borderId="10" xfId="0" applyNumberFormat="1" applyFont="1" applyBorder="1" applyAlignment="1">
      <alignment horizontal="center"/>
    </xf>
    <xf numFmtId="0" fontId="8" fillId="0" borderId="4" xfId="0" applyFont="1" applyBorder="1" applyAlignment="1"/>
    <xf numFmtId="0" fontId="8" fillId="0" borderId="10" xfId="0" applyFont="1" applyBorder="1" applyAlignment="1">
      <alignment horizontal="right"/>
    </xf>
    <xf numFmtId="176" fontId="8" fillId="0" borderId="10" xfId="0" quotePrefix="1" applyNumberFormat="1" applyFont="1" applyBorder="1" applyAlignment="1">
      <alignment horizontal="left"/>
    </xf>
    <xf numFmtId="176" fontId="8" fillId="0" borderId="10" xfId="0" applyNumberFormat="1" applyFont="1" applyBorder="1" applyAlignment="1"/>
    <xf numFmtId="0" fontId="35" fillId="0" borderId="10" xfId="0" applyFont="1" applyBorder="1" applyAlignment="1">
      <alignment horizontal="right"/>
    </xf>
    <xf numFmtId="0" fontId="8" fillId="0" borderId="10" xfId="0" applyFont="1" applyBorder="1" applyAlignment="1"/>
    <xf numFmtId="0" fontId="8" fillId="0" borderId="0" xfId="0" applyFont="1" applyAlignment="1">
      <alignment horizontal="right"/>
    </xf>
    <xf numFmtId="0" fontId="8" fillId="0" borderId="10" xfId="0" quotePrefix="1" applyFont="1" applyBorder="1" applyAlignment="1">
      <alignment horizontal="right"/>
    </xf>
    <xf numFmtId="176" fontId="54" fillId="0" borderId="10" xfId="4" applyNumberFormat="1" applyFont="1" applyBorder="1"/>
    <xf numFmtId="176" fontId="54" fillId="0" borderId="8" xfId="4" applyNumberFormat="1" applyFont="1" applyBorder="1"/>
    <xf numFmtId="176" fontId="54" fillId="0" borderId="9" xfId="4" applyNumberFormat="1" applyFont="1" applyBorder="1"/>
    <xf numFmtId="180" fontId="13" fillId="0" borderId="10" xfId="1" applyNumberFormat="1" applyFont="1" applyFill="1" applyBorder="1" applyAlignment="1"/>
    <xf numFmtId="180" fontId="54" fillId="0" borderId="10" xfId="1" applyNumberFormat="1" applyFont="1" applyFill="1" applyBorder="1" applyAlignment="1"/>
    <xf numFmtId="180" fontId="54" fillId="0" borderId="3" xfId="1" applyNumberFormat="1" applyFont="1" applyFill="1" applyBorder="1" applyAlignment="1"/>
    <xf numFmtId="176" fontId="13" fillId="0" borderId="10" xfId="4" applyNumberFormat="1" applyFont="1" applyBorder="1"/>
    <xf numFmtId="176" fontId="55" fillId="0" borderId="10" xfId="4" applyNumberFormat="1" applyFont="1" applyBorder="1"/>
    <xf numFmtId="176" fontId="56" fillId="0" borderId="10" xfId="4" applyNumberFormat="1" applyFont="1" applyBorder="1"/>
    <xf numFmtId="180" fontId="55" fillId="0" borderId="10" xfId="1" applyNumberFormat="1" applyFont="1" applyFill="1" applyBorder="1" applyAlignment="1"/>
    <xf numFmtId="180" fontId="56" fillId="0" borderId="10" xfId="1" applyNumberFormat="1" applyFont="1" applyFill="1" applyBorder="1" applyAlignment="1"/>
    <xf numFmtId="176" fontId="55" fillId="5" borderId="10" xfId="4" applyNumberFormat="1" applyFont="1" applyFill="1" applyBorder="1"/>
    <xf numFmtId="176" fontId="57" fillId="0" borderId="10" xfId="0" applyNumberFormat="1" applyFont="1" applyBorder="1" applyAlignment="1"/>
    <xf numFmtId="176" fontId="58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62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6" borderId="9" xfId="4" applyNumberFormat="1" applyFont="1" applyFill="1" applyBorder="1" applyAlignment="1">
      <alignment horizontal="right"/>
    </xf>
    <xf numFmtId="176" fontId="7" fillId="6" borderId="9" xfId="4" applyNumberFormat="1" applyFill="1" applyBorder="1"/>
    <xf numFmtId="176" fontId="7" fillId="6" borderId="9" xfId="4" applyNumberFormat="1" applyFill="1" applyBorder="1" applyAlignment="1">
      <alignment horizontal="right"/>
    </xf>
    <xf numFmtId="179" fontId="7" fillId="6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63" fillId="7" borderId="9" xfId="4" applyNumberFormat="1" applyFont="1" applyFill="1" applyBorder="1" applyAlignment="1">
      <alignment horizontal="right"/>
    </xf>
    <xf numFmtId="176" fontId="64" fillId="7" borderId="9" xfId="4" applyNumberFormat="1" applyFont="1" applyFill="1" applyBorder="1"/>
    <xf numFmtId="176" fontId="64" fillId="7" borderId="9" xfId="4" applyNumberFormat="1" applyFont="1" applyFill="1" applyBorder="1" applyAlignment="1">
      <alignment horizontal="right"/>
    </xf>
    <xf numFmtId="179" fontId="64" fillId="7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5" fillId="0" borderId="10" xfId="4" applyNumberFormat="1" applyFont="1" applyBorder="1" applyAlignment="1">
      <alignment horizontal="right"/>
    </xf>
    <xf numFmtId="176" fontId="16" fillId="7" borderId="9" xfId="4" applyNumberFormat="1" applyFont="1" applyFill="1" applyBorder="1" applyAlignment="1">
      <alignment horizontal="right"/>
    </xf>
    <xf numFmtId="176" fontId="13" fillId="7" borderId="9" xfId="4" applyNumberFormat="1" applyFont="1" applyFill="1" applyBorder="1"/>
    <xf numFmtId="176" fontId="13" fillId="7" borderId="9" xfId="4" applyNumberFormat="1" applyFont="1" applyFill="1" applyBorder="1" applyAlignment="1">
      <alignment horizontal="right"/>
    </xf>
    <xf numFmtId="179" fontId="13" fillId="7" borderId="9" xfId="5" applyNumberFormat="1" applyFont="1" applyFill="1" applyBorder="1" applyAlignment="1">
      <alignment horizontal="right"/>
    </xf>
    <xf numFmtId="176" fontId="16" fillId="8" borderId="9" xfId="4" applyNumberFormat="1" applyFont="1" applyFill="1" applyBorder="1" applyAlignment="1">
      <alignment horizontal="right"/>
    </xf>
    <xf numFmtId="176" fontId="13" fillId="8" borderId="9" xfId="4" applyNumberFormat="1" applyFont="1" applyFill="1" applyBorder="1"/>
    <xf numFmtId="176" fontId="13" fillId="8" borderId="9" xfId="4" applyNumberFormat="1" applyFont="1" applyFill="1" applyBorder="1" applyAlignment="1">
      <alignment horizontal="right"/>
    </xf>
    <xf numFmtId="41" fontId="13" fillId="8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9" fontId="0" fillId="0" borderId="0" xfId="5" applyNumberFormat="1" applyFont="1" applyAlignment="1">
      <alignment horizontal="right"/>
    </xf>
    <xf numFmtId="176" fontId="16" fillId="8" borderId="10" xfId="4" applyNumberFormat="1" applyFont="1" applyFill="1" applyBorder="1" applyAlignment="1">
      <alignment horizontal="right"/>
    </xf>
    <xf numFmtId="176" fontId="13" fillId="8" borderId="10" xfId="4" applyNumberFormat="1" applyFont="1" applyFill="1" applyBorder="1"/>
    <xf numFmtId="176" fontId="13" fillId="8" borderId="10" xfId="4" applyNumberFormat="1" applyFont="1" applyFill="1" applyBorder="1" applyAlignment="1">
      <alignment horizontal="right"/>
    </xf>
    <xf numFmtId="179" fontId="13" fillId="8" borderId="10" xfId="5" applyNumberFormat="1" applyFont="1" applyFill="1" applyBorder="1" applyAlignment="1">
      <alignment horizontal="right"/>
    </xf>
    <xf numFmtId="176" fontId="16" fillId="7" borderId="10" xfId="4" applyNumberFormat="1" applyFont="1" applyFill="1" applyBorder="1" applyAlignment="1">
      <alignment horizontal="right"/>
    </xf>
    <xf numFmtId="176" fontId="13" fillId="7" borderId="10" xfId="4" applyNumberFormat="1" applyFont="1" applyFill="1" applyBorder="1"/>
    <xf numFmtId="176" fontId="13" fillId="7" borderId="10" xfId="4" applyNumberFormat="1" applyFont="1" applyFill="1" applyBorder="1" applyAlignment="1">
      <alignment horizontal="right"/>
    </xf>
    <xf numFmtId="179" fontId="13" fillId="7" borderId="10" xfId="5" applyNumberFormat="1" applyFont="1" applyFill="1" applyBorder="1" applyAlignment="1">
      <alignment horizontal="right"/>
    </xf>
    <xf numFmtId="179" fontId="7" fillId="0" borderId="10" xfId="5" applyNumberFormat="1" applyFont="1" applyFill="1" applyBorder="1" applyAlignment="1">
      <alignment horizontal="right"/>
    </xf>
    <xf numFmtId="176" fontId="61" fillId="0" borderId="10" xfId="4" applyNumberFormat="1" applyFont="1" applyBorder="1" applyAlignment="1">
      <alignment horizontal="right"/>
    </xf>
    <xf numFmtId="176" fontId="68" fillId="0" borderId="10" xfId="4" applyNumberFormat="1" applyFont="1" applyBorder="1"/>
    <xf numFmtId="0" fontId="7" fillId="0" borderId="10" xfId="4" applyBorder="1"/>
    <xf numFmtId="176" fontId="25" fillId="0" borderId="10" xfId="4" applyNumberFormat="1" applyFont="1" applyBorder="1" applyAlignment="1">
      <alignment horizontal="center"/>
    </xf>
    <xf numFmtId="10" fontId="69" fillId="0" borderId="9" xfId="0" applyNumberFormat="1" applyFont="1" applyBorder="1" applyAlignment="1">
      <alignment horizontal="center"/>
    </xf>
    <xf numFmtId="10" fontId="69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41" fontId="13" fillId="0" borderId="14" xfId="2" applyNumberFormat="1" applyFont="1" applyBorder="1" applyAlignment="1"/>
    <xf numFmtId="0" fontId="65" fillId="0" borderId="10" xfId="0" quotePrefix="1" applyFont="1" applyBorder="1" applyAlignment="1">
      <alignment horizontal="center"/>
    </xf>
    <xf numFmtId="0" fontId="65" fillId="0" borderId="10" xfId="0" applyFont="1" applyBorder="1" applyAlignment="1">
      <alignment horizontal="center"/>
    </xf>
    <xf numFmtId="0" fontId="61" fillId="0" borderId="10" xfId="0" applyFont="1" applyBorder="1" applyAlignment="1">
      <alignment horizontal="center"/>
    </xf>
    <xf numFmtId="0" fontId="70" fillId="0" borderId="10" xfId="0" applyFont="1" applyBorder="1" applyAlignment="1">
      <alignment horizontal="center"/>
    </xf>
    <xf numFmtId="176" fontId="35" fillId="0" borderId="10" xfId="4" applyNumberFormat="1" applyFont="1" applyBorder="1" applyAlignment="1">
      <alignment horizontal="right"/>
    </xf>
    <xf numFmtId="176" fontId="70" fillId="0" borderId="10" xfId="4" quotePrefix="1" applyNumberFormat="1" applyFont="1" applyBorder="1" applyAlignment="1">
      <alignment horizontal="right"/>
    </xf>
    <xf numFmtId="176" fontId="35" fillId="0" borderId="9" xfId="4" applyNumberFormat="1" applyFont="1" applyBorder="1" applyAlignment="1">
      <alignment horizontal="right"/>
    </xf>
    <xf numFmtId="176" fontId="43" fillId="0" borderId="10" xfId="4" applyNumberFormat="1" applyFont="1" applyBorder="1" applyAlignment="1">
      <alignment horizontal="right"/>
    </xf>
    <xf numFmtId="0" fontId="35" fillId="0" borderId="10" xfId="4" applyFont="1" applyBorder="1" applyAlignment="1">
      <alignment horizontal="right"/>
    </xf>
    <xf numFmtId="176" fontId="70" fillId="0" borderId="10" xfId="4" applyNumberFormat="1" applyFont="1" applyBorder="1" applyAlignment="1">
      <alignment horizontal="right"/>
    </xf>
    <xf numFmtId="176" fontId="73" fillId="7" borderId="10" xfId="4" applyNumberFormat="1" applyFont="1" applyFill="1" applyBorder="1" applyAlignment="1">
      <alignment horizontal="right"/>
    </xf>
    <xf numFmtId="176" fontId="65" fillId="0" borderId="10" xfId="0" applyNumberFormat="1" applyFont="1" applyBorder="1" applyAlignment="1">
      <alignment horizontal="center" vertical="center"/>
    </xf>
    <xf numFmtId="176" fontId="65" fillId="0" borderId="10" xfId="0" quotePrefix="1" applyNumberFormat="1" applyFont="1" applyBorder="1" applyAlignment="1">
      <alignment horizontal="center" vertical="center"/>
    </xf>
    <xf numFmtId="0" fontId="70" fillId="0" borderId="10" xfId="0" quotePrefix="1" applyFont="1" applyBorder="1" applyAlignment="1">
      <alignment horizontal="center"/>
    </xf>
    <xf numFmtId="178" fontId="65" fillId="0" borderId="11" xfId="2" applyNumberFormat="1" applyFont="1" applyBorder="1" applyAlignment="1"/>
    <xf numFmtId="176" fontId="65" fillId="0" borderId="0" xfId="0" applyNumberFormat="1" applyFont="1" applyAlignment="1"/>
    <xf numFmtId="178" fontId="65" fillId="4" borderId="11" xfId="2" applyNumberFormat="1" applyFont="1" applyFill="1" applyBorder="1" applyAlignment="1"/>
    <xf numFmtId="176" fontId="65" fillId="4" borderId="0" xfId="0" applyNumberFormat="1" applyFont="1" applyFill="1" applyAlignment="1"/>
    <xf numFmtId="176" fontId="8" fillId="4" borderId="0" xfId="0" applyNumberFormat="1" applyFont="1" applyFill="1" applyAlignment="1"/>
    <xf numFmtId="0" fontId="47" fillId="4" borderId="0" xfId="0" applyFont="1" applyFill="1" applyAlignment="1">
      <alignment horizontal="left"/>
    </xf>
    <xf numFmtId="178" fontId="65" fillId="3" borderId="0" xfId="2" applyNumberFormat="1" applyFont="1" applyFill="1" applyBorder="1" applyAlignment="1"/>
    <xf numFmtId="178" fontId="35" fillId="0" borderId="11" xfId="2" applyNumberFormat="1" applyFont="1" applyBorder="1" applyAlignment="1"/>
    <xf numFmtId="0" fontId="47" fillId="0" borderId="0" xfId="0" applyFont="1" applyAlignment="1">
      <alignment horizontal="left"/>
    </xf>
    <xf numFmtId="178" fontId="65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7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7" fillId="3" borderId="0" xfId="0" quotePrefix="1" applyFont="1" applyFill="1" applyAlignment="1">
      <alignment horizontal="left"/>
    </xf>
    <xf numFmtId="178" fontId="13" fillId="0" borderId="5" xfId="2" applyNumberFormat="1" applyFont="1" applyFill="1" applyBorder="1" applyAlignment="1"/>
    <xf numFmtId="0" fontId="65" fillId="0" borderId="0" xfId="0" applyFont="1" applyAlignment="1"/>
    <xf numFmtId="0" fontId="70" fillId="0" borderId="10" xfId="0" applyFont="1" applyBorder="1" applyAlignment="1">
      <alignment horizontal="right"/>
    </xf>
    <xf numFmtId="0" fontId="77" fillId="0" borderId="10" xfId="0" applyFont="1" applyBorder="1" applyAlignment="1">
      <alignment horizontal="right"/>
    </xf>
    <xf numFmtId="0" fontId="70" fillId="2" borderId="10" xfId="0" applyFon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/>
    <xf numFmtId="3" fontId="44" fillId="0" borderId="0" xfId="0" applyNumberFormat="1" applyFont="1" applyAlignment="1"/>
    <xf numFmtId="3" fontId="0" fillId="0" borderId="0" xfId="0" applyNumberFormat="1">
      <alignment vertical="center"/>
    </xf>
    <xf numFmtId="176" fontId="44" fillId="2" borderId="0" xfId="0" applyNumberFormat="1" applyFont="1" applyFill="1" applyAlignment="1"/>
    <xf numFmtId="181" fontId="7" fillId="0" borderId="10" xfId="3" applyNumberFormat="1" applyFont="1" applyBorder="1" applyAlignment="1"/>
    <xf numFmtId="176" fontId="54" fillId="0" borderId="3" xfId="4" applyNumberFormat="1" applyFont="1" applyBorder="1"/>
    <xf numFmtId="176" fontId="13" fillId="2" borderId="0" xfId="0" applyNumberFormat="1" applyFont="1" applyFill="1" applyAlignment="1"/>
    <xf numFmtId="176" fontId="54" fillId="0" borderId="10" xfId="4" applyNumberFormat="1" applyFont="1" applyBorder="1" applyAlignment="1">
      <alignment horizontal="right" vertical="center"/>
    </xf>
    <xf numFmtId="3" fontId="13" fillId="0" borderId="10" xfId="4" applyNumberFormat="1" applyFont="1" applyBorder="1"/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0" fontId="13" fillId="0" borderId="6" xfId="0" applyFont="1" applyBorder="1" applyAlignment="1">
      <alignment horizontal="center"/>
    </xf>
    <xf numFmtId="176" fontId="13" fillId="2" borderId="9" xfId="0" applyNumberFormat="1" applyFont="1" applyFill="1" applyBorder="1" applyAlignment="1">
      <alignment horizontal="center"/>
    </xf>
    <xf numFmtId="176" fontId="13" fillId="0" borderId="10" xfId="0" applyNumberFormat="1" applyFont="1" applyBorder="1" applyAlignment="1">
      <alignment horizontal="center"/>
    </xf>
    <xf numFmtId="176" fontId="13" fillId="2" borderId="10" xfId="0" applyNumberFormat="1" applyFont="1" applyFill="1" applyBorder="1" applyAlignment="1">
      <alignment horizontal="center"/>
    </xf>
    <xf numFmtId="10" fontId="14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10" fontId="14" fillId="2" borderId="5" xfId="0" applyNumberFormat="1" applyFont="1" applyFill="1" applyBorder="1" applyAlignment="1">
      <alignment horizontal="center"/>
    </xf>
    <xf numFmtId="43" fontId="79" fillId="0" borderId="9" xfId="0" applyNumberFormat="1" applyFont="1" applyBorder="1" applyAlignment="1">
      <alignment horizontal="center"/>
    </xf>
    <xf numFmtId="176" fontId="80" fillId="0" borderId="10" xfId="4" applyNumberFormat="1" applyFont="1" applyBorder="1"/>
    <xf numFmtId="180" fontId="80" fillId="0" borderId="0" xfId="1" applyNumberFormat="1" applyFont="1" applyFill="1" applyAlignment="1"/>
    <xf numFmtId="176" fontId="81" fillId="0" borderId="10" xfId="0" applyNumberFormat="1" applyFont="1" applyBorder="1" applyAlignment="1"/>
    <xf numFmtId="176" fontId="82" fillId="0" borderId="10" xfId="0" applyNumberFormat="1" applyFont="1" applyBorder="1" applyAlignment="1"/>
    <xf numFmtId="43" fontId="8" fillId="0" borderId="8" xfId="0" applyNumberFormat="1" applyFont="1" applyBorder="1" applyAlignment="1">
      <alignment horizontal="center"/>
    </xf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3" fillId="2" borderId="9" xfId="3" applyNumberFormat="1" applyFont="1" applyFill="1" applyBorder="1" applyAlignment="1"/>
    <xf numFmtId="181" fontId="23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83" fillId="9" borderId="10" xfId="0" applyNumberFormat="1" applyFont="1" applyFill="1" applyBorder="1" applyAlignment="1">
      <alignment horizontal="right" vertical="center" wrapText="1"/>
    </xf>
    <xf numFmtId="43" fontId="0" fillId="0" borderId="10" xfId="0" applyNumberFormat="1" applyBorder="1" applyAlignment="1"/>
    <xf numFmtId="10" fontId="0" fillId="0" borderId="10" xfId="3" applyNumberFormat="1" applyFont="1" applyFill="1" applyBorder="1" applyAlignment="1"/>
    <xf numFmtId="43" fontId="13" fillId="0" borderId="6" xfId="0" applyNumberFormat="1" applyFont="1" applyBorder="1" applyAlignment="1"/>
    <xf numFmtId="2" fontId="9" fillId="0" borderId="6" xfId="0" applyNumberFormat="1" applyFont="1" applyBorder="1" applyAlignment="1">
      <alignment horizontal="center"/>
    </xf>
    <xf numFmtId="10" fontId="9" fillId="0" borderId="6" xfId="3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16" fillId="0" borderId="15" xfId="0" quotePrefix="1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8" fillId="0" borderId="15" xfId="0" applyNumberFormat="1" applyFont="1" applyBorder="1" applyAlignment="1">
      <alignment horizontal="center"/>
    </xf>
    <xf numFmtId="0" fontId="84" fillId="0" borderId="0" xfId="0" applyFont="1" applyAlignment="1"/>
    <xf numFmtId="0" fontId="85" fillId="2" borderId="2" xfId="0" applyFont="1" applyFill="1" applyBorder="1" applyAlignment="1"/>
    <xf numFmtId="0" fontId="85" fillId="0" borderId="4" xfId="0" quotePrefix="1" applyFont="1" applyBorder="1" applyAlignment="1">
      <alignment horizontal="center"/>
    </xf>
    <xf numFmtId="0" fontId="85" fillId="0" borderId="9" xfId="0" quotePrefix="1" applyFont="1" applyBorder="1" applyAlignment="1">
      <alignment horizontal="center"/>
    </xf>
    <xf numFmtId="0" fontId="84" fillId="2" borderId="11" xfId="0" applyFont="1" applyFill="1" applyBorder="1" applyAlignment="1"/>
    <xf numFmtId="176" fontId="84" fillId="2" borderId="9" xfId="0" applyNumberFormat="1" applyFont="1" applyFill="1" applyBorder="1" applyAlignment="1"/>
    <xf numFmtId="176" fontId="84" fillId="0" borderId="9" xfId="0" applyNumberFormat="1" applyFont="1" applyBorder="1" applyAlignment="1"/>
    <xf numFmtId="176" fontId="84" fillId="0" borderId="10" xfId="0" applyNumberFormat="1" applyFont="1" applyBorder="1" applyAlignment="1"/>
    <xf numFmtId="176" fontId="84" fillId="2" borderId="10" xfId="0" applyNumberFormat="1" applyFont="1" applyFill="1" applyBorder="1" applyAlignment="1"/>
    <xf numFmtId="176" fontId="84" fillId="2" borderId="0" xfId="0" applyNumberFormat="1" applyFont="1" applyFill="1" applyAlignment="1"/>
    <xf numFmtId="0" fontId="85" fillId="0" borderId="0" xfId="0" applyFont="1" applyAlignment="1"/>
    <xf numFmtId="0" fontId="86" fillId="0" borderId="0" xfId="0" applyFont="1" applyAlignment="1">
      <alignment horizontal="centerContinuous"/>
    </xf>
    <xf numFmtId="0" fontId="87" fillId="2" borderId="1" xfId="0" applyFont="1" applyFill="1" applyBorder="1" applyAlignment="1"/>
    <xf numFmtId="0" fontId="92" fillId="0" borderId="8" xfId="0" quotePrefix="1" applyFont="1" applyBorder="1" applyAlignment="1">
      <alignment horizontal="center"/>
    </xf>
    <xf numFmtId="0" fontId="92" fillId="0" borderId="9" xfId="0" applyFont="1" applyBorder="1" applyAlignment="1">
      <alignment horizontal="center"/>
    </xf>
    <xf numFmtId="0" fontId="91" fillId="2" borderId="8" xfId="0" applyFont="1" applyFill="1" applyBorder="1" applyAlignment="1"/>
    <xf numFmtId="176" fontId="54" fillId="5" borderId="10" xfId="4" applyNumberFormat="1" applyFont="1" applyFill="1" applyBorder="1"/>
    <xf numFmtId="0" fontId="93" fillId="0" borderId="0" xfId="0" applyFont="1">
      <alignment vertical="center"/>
    </xf>
    <xf numFmtId="3" fontId="93" fillId="0" borderId="0" xfId="0" applyNumberFormat="1" applyFont="1">
      <alignment vertical="center"/>
    </xf>
    <xf numFmtId="10" fontId="0" fillId="2" borderId="3" xfId="3" applyNumberFormat="1" applyFont="1" applyFill="1" applyBorder="1" applyAlignment="1"/>
    <xf numFmtId="176" fontId="8" fillId="0" borderId="5" xfId="0" quotePrefix="1" applyNumberFormat="1" applyFont="1" applyBorder="1" applyAlignment="1">
      <alignment horizontal="center"/>
    </xf>
    <xf numFmtId="2" fontId="9" fillId="2" borderId="6" xfId="0" applyNumberFormat="1" applyFont="1" applyFill="1" applyBorder="1" applyAlignment="1">
      <alignment horizontal="center"/>
    </xf>
    <xf numFmtId="10" fontId="9" fillId="2" borderId="12" xfId="3" applyNumberFormat="1" applyFont="1" applyFill="1" applyBorder="1" applyAlignment="1"/>
    <xf numFmtId="176" fontId="9" fillId="0" borderId="9" xfId="0" applyNumberFormat="1" applyFont="1" applyBorder="1" applyAlignment="1"/>
    <xf numFmtId="176" fontId="9" fillId="2" borderId="9" xfId="0" quotePrefix="1" applyNumberFormat="1" applyFont="1" applyFill="1" applyBorder="1" applyAlignment="1">
      <alignment horizontal="center"/>
    </xf>
    <xf numFmtId="176" fontId="74" fillId="0" borderId="10" xfId="0" applyNumberFormat="1" applyFont="1" applyBorder="1" applyAlignment="1">
      <alignment horizontal="center"/>
    </xf>
    <xf numFmtId="176" fontId="74" fillId="0" borderId="3" xfId="0" applyNumberFormat="1" applyFont="1" applyBorder="1" applyAlignment="1">
      <alignment horizontal="center"/>
    </xf>
    <xf numFmtId="176" fontId="7" fillId="5" borderId="5" xfId="0" applyNumberFormat="1" applyFont="1" applyFill="1" applyBorder="1" applyAlignment="1"/>
    <xf numFmtId="176" fontId="13" fillId="5" borderId="5" xfId="0" applyNumberFormat="1" applyFont="1" applyFill="1" applyBorder="1" applyAlignment="1"/>
    <xf numFmtId="178" fontId="65" fillId="0" borderId="11" xfId="2" applyNumberFormat="1" applyFont="1" applyFill="1" applyBorder="1" applyAlignment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8" fillId="2" borderId="8" xfId="0" quotePrefix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6">
    <cellStyle name="一般" xfId="0" builtinId="0"/>
    <cellStyle name="一般 2" xfId="4" xr:uid="{00000000-0005-0000-0000-000001000000}"/>
    <cellStyle name="千分位" xfId="1" builtinId="3"/>
    <cellStyle name="千分位 3" xfId="5" xr:uid="{00000000-0005-0000-0000-000003000000}"/>
    <cellStyle name="百分比" xfId="3" builtinId="5"/>
    <cellStyle name="貨幣" xfId="2" builtinId="4"/>
  </cellStyles>
  <dxfs count="82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02%20&#25972;&#36554;&#20986;&#21475;.xlsx" TargetMode="External"/><Relationship Id="rId1" Type="http://schemas.openxmlformats.org/officeDocument/2006/relationships/externalLinkPath" Target="file:///D:\DATA%20Files\Downloads\&#36914;&#20986;&#21475;&#20540;&#34920;%20-%202024%2002%20&#25972;&#36554;&#20986;&#21475;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-04-17T162814.638.xlsx" TargetMode="External"/><Relationship Id="rId1" Type="http://schemas.openxmlformats.org/officeDocument/2006/relationships/externalLinkPath" Target="file:///D:\DATA%20Files\Downloads\&#36914;&#20986;&#21475;&#20540;&#34920;%20-%202024-04-17T162814.638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01-02%20&#38651;&#36628;&#36554;&#20986;&#21475;.xlsx" TargetMode="External"/><Relationship Id="rId1" Type="http://schemas.openxmlformats.org/officeDocument/2006/relationships/externalLinkPath" Target="file:///D:\DATA%20Files\Downloads\&#36914;&#20986;&#21475;&#20540;&#34920;%20-%202024%2001-02%20&#38651;&#36628;&#36554;&#20986;&#21475;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3%2001-02%20&#38651;&#36628;&#36554;&#20986;&#21475;.xlsx" TargetMode="External"/><Relationship Id="rId1" Type="http://schemas.openxmlformats.org/officeDocument/2006/relationships/externalLinkPath" Target="file:///D:\DATA%20Files\Downloads\&#36914;&#20986;&#21475;&#20540;&#34920;%20-%202023%2001-02%20&#38651;&#36628;&#36554;&#20986;&#21475;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01-02%20&#25722;&#30090;&#36554;&#20986;&#21475;.xlsx" TargetMode="External"/><Relationship Id="rId1" Type="http://schemas.openxmlformats.org/officeDocument/2006/relationships/externalLinkPath" Target="file:///D:\DATA%20Files\Downloads\&#36914;&#20986;&#21475;&#20540;&#34920;%20-%202024%2001-02%20&#25722;&#30090;&#36554;&#20986;&#21475;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04%20&#38646;&#20214;&#20986;&#21475;.xlsx" TargetMode="External"/><Relationship Id="rId1" Type="http://schemas.openxmlformats.org/officeDocument/2006/relationships/externalLinkPath" Target="file:///D:\DATA%20Files\Downloads\&#36914;&#20986;&#21475;&#20540;&#34920;%20-%202024%2004%20&#38646;&#20214;&#20986;&#21475;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01-02%20&#38646;&#20214;&#20986;&#21475;.xlsx" TargetMode="External"/><Relationship Id="rId1" Type="http://schemas.openxmlformats.org/officeDocument/2006/relationships/externalLinkPath" Target="file:///D:\DATA%20Files\Downloads\&#36914;&#20986;&#21475;&#20540;&#34920;%20-%202024%2001-02%20&#38646;&#20214;&#20986;&#21475;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-04%20&#38646;&#20214;&#36914;&#21475;.xlsx" TargetMode="External"/><Relationship Id="rId1" Type="http://schemas.openxmlformats.org/officeDocument/2006/relationships/externalLinkPath" Target="file:///D:\DATA%20Files\Downloads\&#36914;&#20986;&#21475;&#20540;&#34920;%20-%202024-04%20&#38646;&#20214;&#36914;&#21475;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01-02%20&#38646;&#20214;&#36914;&#21475;.xlsx" TargetMode="External"/><Relationship Id="rId1" Type="http://schemas.openxmlformats.org/officeDocument/2006/relationships/externalLinkPath" Target="file:///D:\DATA%20Files\Downloads\&#36914;&#20986;&#21475;&#20540;&#34920;%20-%202024%2001-02%20&#38646;&#20214;&#36914;&#2147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&#38646;&#20214;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4180;&#32113;&#35336;/2018&#32113;&#35336;/BP107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01-02%20&#25972;&#36554;&#20986;&#21475;.xlsx" TargetMode="External"/><Relationship Id="rId1" Type="http://schemas.openxmlformats.org/officeDocument/2006/relationships/externalLinkPath" Target="file:///D:\DATA%20Files\Downloads\&#36914;&#20986;&#21475;&#20540;&#34920;%20-%202024%2001-02%20&#25972;&#36554;&#20986;&#2147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2023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3%2001-02%20&#25972;&#36554;&#20986;&#21475;.xlsx" TargetMode="External"/><Relationship Id="rId1" Type="http://schemas.openxmlformats.org/officeDocument/2006/relationships/externalLinkPath" Target="file:///D:\DATA%20Files\Downloads\&#36914;&#20986;&#21475;&#20540;&#34920;%20-%202023%2001-02%20&#25972;&#36554;&#20986;&#2147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12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02%20&#25972;&#36554;&#36914;&#21475;.xlsx" TargetMode="External"/><Relationship Id="rId1" Type="http://schemas.openxmlformats.org/officeDocument/2006/relationships/externalLinkPath" Target="file:///D:\DATA%20Files\Downloads\&#36914;&#20986;&#21475;&#20540;&#34920;%20-%202024%2002%20&#25972;&#36554;&#36914;&#21475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01-02%20&#25972;&#36554;&#36914;&#21475;.xlsx" TargetMode="External"/><Relationship Id="rId1" Type="http://schemas.openxmlformats.org/officeDocument/2006/relationships/externalLinkPath" Target="file:///D:\DATA%20Files\Downloads\&#36914;&#20986;&#21475;&#20540;&#34920;%20-%202024%2001-02%20&#25972;&#36554;&#36914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75549991</v>
          </cell>
          <cell r="C10">
            <v>71119</v>
          </cell>
        </row>
        <row r="11">
          <cell r="A11" t="str">
            <v>美國</v>
          </cell>
          <cell r="B11">
            <v>17842687</v>
          </cell>
          <cell r="C11">
            <v>21048</v>
          </cell>
        </row>
        <row r="12">
          <cell r="A12" t="str">
            <v>荷蘭</v>
          </cell>
          <cell r="B12">
            <v>11813070</v>
          </cell>
          <cell r="C12">
            <v>7492</v>
          </cell>
        </row>
        <row r="13">
          <cell r="A13" t="str">
            <v>中國大陸</v>
          </cell>
          <cell r="B13">
            <v>10176413</v>
          </cell>
          <cell r="C13">
            <v>6698</v>
          </cell>
        </row>
        <row r="14">
          <cell r="A14" t="str">
            <v>加拿大</v>
          </cell>
          <cell r="B14">
            <v>5082086</v>
          </cell>
          <cell r="C14">
            <v>3442</v>
          </cell>
        </row>
        <row r="15">
          <cell r="A15" t="str">
            <v>英國</v>
          </cell>
          <cell r="B15">
            <v>4837998</v>
          </cell>
          <cell r="C15">
            <v>4519</v>
          </cell>
        </row>
        <row r="16">
          <cell r="A16" t="str">
            <v>德國</v>
          </cell>
          <cell r="B16">
            <v>3984763</v>
          </cell>
          <cell r="C16">
            <v>4464</v>
          </cell>
        </row>
        <row r="17">
          <cell r="A17" t="str">
            <v>挪威</v>
          </cell>
          <cell r="B17">
            <v>2382055</v>
          </cell>
          <cell r="C17">
            <v>3500</v>
          </cell>
        </row>
        <row r="18">
          <cell r="A18" t="str">
            <v>澳大利亞</v>
          </cell>
          <cell r="B18">
            <v>2335956</v>
          </cell>
          <cell r="C18">
            <v>2594</v>
          </cell>
        </row>
        <row r="19">
          <cell r="A19" t="str">
            <v>義大利</v>
          </cell>
          <cell r="B19">
            <v>1726265</v>
          </cell>
          <cell r="C19">
            <v>970</v>
          </cell>
        </row>
        <row r="20">
          <cell r="A20" t="str">
            <v>西班牙</v>
          </cell>
          <cell r="B20">
            <v>1671501</v>
          </cell>
          <cell r="C20">
            <v>977</v>
          </cell>
        </row>
        <row r="21">
          <cell r="A21" t="str">
            <v>瑞士</v>
          </cell>
          <cell r="B21">
            <v>1615047</v>
          </cell>
          <cell r="C21">
            <v>1077</v>
          </cell>
        </row>
        <row r="22">
          <cell r="A22" t="str">
            <v>日本</v>
          </cell>
          <cell r="B22">
            <v>1543418</v>
          </cell>
          <cell r="C22">
            <v>1976</v>
          </cell>
        </row>
        <row r="23">
          <cell r="A23" t="str">
            <v>韓國</v>
          </cell>
          <cell r="B23">
            <v>1254735</v>
          </cell>
          <cell r="C23">
            <v>764</v>
          </cell>
        </row>
        <row r="24">
          <cell r="A24" t="str">
            <v>俄羅斯</v>
          </cell>
          <cell r="B24">
            <v>1214600</v>
          </cell>
          <cell r="C24">
            <v>1126</v>
          </cell>
        </row>
        <row r="25">
          <cell r="A25" t="str">
            <v>瑞典</v>
          </cell>
          <cell r="B25">
            <v>876123</v>
          </cell>
          <cell r="C25">
            <v>2206</v>
          </cell>
        </row>
        <row r="26">
          <cell r="A26" t="str">
            <v>巴西</v>
          </cell>
          <cell r="B26">
            <v>715142</v>
          </cell>
          <cell r="C26">
            <v>500</v>
          </cell>
        </row>
        <row r="27">
          <cell r="A27" t="str">
            <v>南非</v>
          </cell>
          <cell r="B27">
            <v>642620</v>
          </cell>
          <cell r="C27">
            <v>306</v>
          </cell>
        </row>
        <row r="28">
          <cell r="A28" t="str">
            <v>比利時</v>
          </cell>
          <cell r="B28">
            <v>538986</v>
          </cell>
          <cell r="C28">
            <v>638</v>
          </cell>
        </row>
        <row r="29">
          <cell r="A29" t="str">
            <v>哥倫比亞</v>
          </cell>
          <cell r="B29">
            <v>530379</v>
          </cell>
          <cell r="C29">
            <v>327</v>
          </cell>
        </row>
        <row r="30">
          <cell r="A30" t="str">
            <v>智利</v>
          </cell>
          <cell r="B30">
            <v>462544</v>
          </cell>
          <cell r="C30">
            <v>333</v>
          </cell>
        </row>
        <row r="31">
          <cell r="A31" t="str">
            <v>斯洛維尼亞</v>
          </cell>
          <cell r="B31">
            <v>454288</v>
          </cell>
          <cell r="C31">
            <v>364</v>
          </cell>
        </row>
        <row r="32">
          <cell r="A32" t="str">
            <v>法國</v>
          </cell>
          <cell r="B32">
            <v>365826</v>
          </cell>
          <cell r="C32">
            <v>174</v>
          </cell>
        </row>
        <row r="33">
          <cell r="A33" t="str">
            <v>墨西哥</v>
          </cell>
          <cell r="B33">
            <v>350398</v>
          </cell>
          <cell r="C33">
            <v>445</v>
          </cell>
        </row>
        <row r="34">
          <cell r="A34" t="str">
            <v>捷克</v>
          </cell>
          <cell r="B34">
            <v>336500</v>
          </cell>
          <cell r="C34">
            <v>253</v>
          </cell>
        </row>
        <row r="35">
          <cell r="A35" t="str">
            <v>紐西蘭</v>
          </cell>
          <cell r="B35">
            <v>335449</v>
          </cell>
          <cell r="C35">
            <v>244</v>
          </cell>
        </row>
        <row r="36">
          <cell r="A36" t="str">
            <v>新加坡</v>
          </cell>
          <cell r="B36">
            <v>289163</v>
          </cell>
          <cell r="C36">
            <v>167</v>
          </cell>
        </row>
        <row r="37">
          <cell r="A37" t="str">
            <v>泰國</v>
          </cell>
          <cell r="B37">
            <v>257890</v>
          </cell>
          <cell r="C37">
            <v>144</v>
          </cell>
        </row>
        <row r="38">
          <cell r="A38" t="str">
            <v>匈牙利</v>
          </cell>
          <cell r="B38">
            <v>190660</v>
          </cell>
          <cell r="C38">
            <v>250</v>
          </cell>
        </row>
        <row r="39">
          <cell r="A39" t="str">
            <v>丹麥</v>
          </cell>
          <cell r="B39">
            <v>188013</v>
          </cell>
          <cell r="C39">
            <v>2427</v>
          </cell>
        </row>
        <row r="40">
          <cell r="A40" t="str">
            <v>哥斯大黎加</v>
          </cell>
          <cell r="B40">
            <v>168855</v>
          </cell>
          <cell r="C40">
            <v>88</v>
          </cell>
        </row>
        <row r="41">
          <cell r="A41" t="str">
            <v>香港</v>
          </cell>
          <cell r="B41">
            <v>155722</v>
          </cell>
          <cell r="C41">
            <v>72</v>
          </cell>
        </row>
        <row r="42">
          <cell r="A42" t="str">
            <v>馬來西亞</v>
          </cell>
          <cell r="B42">
            <v>153235</v>
          </cell>
          <cell r="C42">
            <v>87</v>
          </cell>
        </row>
        <row r="43">
          <cell r="A43" t="str">
            <v>菲律賓</v>
          </cell>
          <cell r="B43">
            <v>148518</v>
          </cell>
          <cell r="C43">
            <v>191</v>
          </cell>
        </row>
        <row r="44">
          <cell r="A44" t="str">
            <v>巴拿馬</v>
          </cell>
          <cell r="B44">
            <v>125279</v>
          </cell>
          <cell r="C44">
            <v>95</v>
          </cell>
        </row>
        <row r="45">
          <cell r="A45" t="str">
            <v>模里西斯</v>
          </cell>
          <cell r="B45">
            <v>119700</v>
          </cell>
          <cell r="C45">
            <v>78</v>
          </cell>
        </row>
        <row r="46">
          <cell r="A46" t="str">
            <v>阿拉伯聯合大公國</v>
          </cell>
          <cell r="B46">
            <v>112719</v>
          </cell>
          <cell r="C46">
            <v>261</v>
          </cell>
        </row>
        <row r="47">
          <cell r="A47" t="str">
            <v>波蘭</v>
          </cell>
          <cell r="B47">
            <v>108416</v>
          </cell>
          <cell r="C47">
            <v>163</v>
          </cell>
        </row>
        <row r="48">
          <cell r="A48" t="str">
            <v>關島</v>
          </cell>
          <cell r="B48">
            <v>107395</v>
          </cell>
          <cell r="C48">
            <v>42</v>
          </cell>
        </row>
        <row r="49">
          <cell r="A49" t="str">
            <v>秘魯</v>
          </cell>
          <cell r="B49">
            <v>81383</v>
          </cell>
          <cell r="C49">
            <v>43</v>
          </cell>
        </row>
        <row r="50">
          <cell r="A50" t="str">
            <v>愛沙尼亞</v>
          </cell>
          <cell r="B50">
            <v>60855</v>
          </cell>
          <cell r="C50">
            <v>292</v>
          </cell>
        </row>
        <row r="51">
          <cell r="A51" t="str">
            <v>越南</v>
          </cell>
          <cell r="B51">
            <v>39911</v>
          </cell>
          <cell r="C51">
            <v>41</v>
          </cell>
        </row>
        <row r="52">
          <cell r="A52" t="str">
            <v>印度</v>
          </cell>
          <cell r="B52">
            <v>28148</v>
          </cell>
          <cell r="C52">
            <v>26</v>
          </cell>
        </row>
        <row r="53">
          <cell r="A53" t="str">
            <v>土耳其</v>
          </cell>
          <cell r="B53">
            <v>26650</v>
          </cell>
          <cell r="C53">
            <v>16</v>
          </cell>
        </row>
        <row r="54">
          <cell r="A54" t="str">
            <v>法屬玻里尼西亞</v>
          </cell>
          <cell r="B54">
            <v>18330</v>
          </cell>
          <cell r="C54">
            <v>100</v>
          </cell>
        </row>
        <row r="55">
          <cell r="A55" t="str">
            <v>烏拉圭</v>
          </cell>
          <cell r="B55">
            <v>17883</v>
          </cell>
          <cell r="C55">
            <v>10</v>
          </cell>
        </row>
        <row r="56">
          <cell r="A56" t="str">
            <v>印尼</v>
          </cell>
          <cell r="B56">
            <v>17756</v>
          </cell>
          <cell r="C56">
            <v>32</v>
          </cell>
        </row>
        <row r="57">
          <cell r="A57" t="str">
            <v>多明尼加</v>
          </cell>
          <cell r="B57">
            <v>16577</v>
          </cell>
          <cell r="C57">
            <v>15</v>
          </cell>
        </row>
        <row r="58">
          <cell r="A58" t="str">
            <v>黎巴嫩</v>
          </cell>
          <cell r="B58">
            <v>10743</v>
          </cell>
          <cell r="C58">
            <v>24</v>
          </cell>
        </row>
        <row r="59">
          <cell r="A59" t="str">
            <v>薩爾瓦多</v>
          </cell>
          <cell r="B59">
            <v>7172</v>
          </cell>
          <cell r="C59">
            <v>3</v>
          </cell>
        </row>
        <row r="60">
          <cell r="A60" t="str">
            <v>冰島</v>
          </cell>
          <cell r="B60">
            <v>6535</v>
          </cell>
          <cell r="C60">
            <v>4</v>
          </cell>
        </row>
        <row r="61">
          <cell r="A61" t="str">
            <v>芬蘭</v>
          </cell>
          <cell r="B61">
            <v>3570</v>
          </cell>
          <cell r="C61">
            <v>9</v>
          </cell>
        </row>
        <row r="62">
          <cell r="A62" t="str">
            <v>甘比亞</v>
          </cell>
          <cell r="B62">
            <v>64</v>
          </cell>
          <cell r="C62">
            <v>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62026650</v>
          </cell>
          <cell r="C10">
            <v>35076</v>
          </cell>
        </row>
        <row r="11">
          <cell r="A11" t="str">
            <v>荷蘭</v>
          </cell>
          <cell r="B11">
            <v>24070259</v>
          </cell>
          <cell r="C11">
            <v>13500</v>
          </cell>
        </row>
        <row r="12">
          <cell r="A12" t="str">
            <v>美國</v>
          </cell>
          <cell r="B12">
            <v>10929838</v>
          </cell>
          <cell r="C12">
            <v>5044</v>
          </cell>
        </row>
        <row r="13">
          <cell r="A13" t="str">
            <v>德國</v>
          </cell>
          <cell r="B13">
            <v>9137105</v>
          </cell>
          <cell r="C13">
            <v>6687</v>
          </cell>
        </row>
        <row r="14">
          <cell r="A14" t="str">
            <v>加拿大</v>
          </cell>
          <cell r="B14">
            <v>3395346</v>
          </cell>
          <cell r="C14">
            <v>1848</v>
          </cell>
        </row>
        <row r="15">
          <cell r="A15" t="str">
            <v>英國</v>
          </cell>
          <cell r="B15">
            <v>2431718</v>
          </cell>
          <cell r="C15">
            <v>1461</v>
          </cell>
        </row>
        <row r="16">
          <cell r="A16" t="str">
            <v>挪威</v>
          </cell>
          <cell r="B16">
            <v>2200033</v>
          </cell>
          <cell r="C16">
            <v>1239</v>
          </cell>
        </row>
        <row r="17">
          <cell r="A17" t="str">
            <v>義大利</v>
          </cell>
          <cell r="B17">
            <v>1297672</v>
          </cell>
          <cell r="C17">
            <v>511</v>
          </cell>
        </row>
        <row r="18">
          <cell r="A18" t="str">
            <v>澳大利亞</v>
          </cell>
          <cell r="B18">
            <v>1117150</v>
          </cell>
          <cell r="C18">
            <v>524</v>
          </cell>
        </row>
        <row r="19">
          <cell r="A19" t="str">
            <v>南非</v>
          </cell>
          <cell r="B19">
            <v>1080746</v>
          </cell>
          <cell r="C19">
            <v>419</v>
          </cell>
        </row>
        <row r="20">
          <cell r="A20" t="str">
            <v>法國</v>
          </cell>
          <cell r="B20">
            <v>1029136</v>
          </cell>
          <cell r="C20">
            <v>593</v>
          </cell>
        </row>
        <row r="21">
          <cell r="A21" t="str">
            <v>西班牙</v>
          </cell>
          <cell r="B21">
            <v>811317</v>
          </cell>
          <cell r="C21">
            <v>448</v>
          </cell>
        </row>
        <row r="22">
          <cell r="A22" t="str">
            <v>紐西蘭</v>
          </cell>
          <cell r="B22">
            <v>778132</v>
          </cell>
          <cell r="C22">
            <v>296</v>
          </cell>
        </row>
        <row r="23">
          <cell r="A23" t="str">
            <v>瑞士</v>
          </cell>
          <cell r="B23">
            <v>760822</v>
          </cell>
          <cell r="C23">
            <v>335</v>
          </cell>
        </row>
        <row r="24">
          <cell r="A24" t="str">
            <v>巴拿馬</v>
          </cell>
          <cell r="B24">
            <v>718329</v>
          </cell>
          <cell r="C24">
            <v>253</v>
          </cell>
        </row>
        <row r="25">
          <cell r="A25" t="str">
            <v>比利時</v>
          </cell>
          <cell r="B25">
            <v>421709</v>
          </cell>
          <cell r="C25">
            <v>246</v>
          </cell>
        </row>
        <row r="26">
          <cell r="A26" t="str">
            <v>瑞典</v>
          </cell>
          <cell r="B26">
            <v>325852</v>
          </cell>
          <cell r="C26">
            <v>800</v>
          </cell>
        </row>
        <row r="27">
          <cell r="A27" t="str">
            <v>韓國</v>
          </cell>
          <cell r="B27">
            <v>281543</v>
          </cell>
          <cell r="C27">
            <v>123</v>
          </cell>
        </row>
        <row r="28">
          <cell r="A28" t="str">
            <v>芬蘭</v>
          </cell>
          <cell r="B28">
            <v>229551</v>
          </cell>
          <cell r="C28">
            <v>135</v>
          </cell>
        </row>
        <row r="29">
          <cell r="A29" t="str">
            <v>日本</v>
          </cell>
          <cell r="B29">
            <v>188811</v>
          </cell>
          <cell r="C29">
            <v>240</v>
          </cell>
        </row>
        <row r="30">
          <cell r="A30" t="str">
            <v>匈牙利</v>
          </cell>
          <cell r="B30">
            <v>186548</v>
          </cell>
          <cell r="C30">
            <v>107</v>
          </cell>
        </row>
        <row r="31">
          <cell r="A31" t="str">
            <v>丹麥</v>
          </cell>
          <cell r="B31">
            <v>178228</v>
          </cell>
          <cell r="C31">
            <v>83</v>
          </cell>
        </row>
        <row r="32">
          <cell r="A32" t="str">
            <v>秘魯</v>
          </cell>
          <cell r="B32">
            <v>111444</v>
          </cell>
          <cell r="C32">
            <v>26</v>
          </cell>
        </row>
        <row r="33">
          <cell r="A33" t="str">
            <v>冰島</v>
          </cell>
          <cell r="B33">
            <v>109850</v>
          </cell>
          <cell r="C33">
            <v>45</v>
          </cell>
        </row>
        <row r="34">
          <cell r="A34" t="str">
            <v>多明尼加</v>
          </cell>
          <cell r="B34">
            <v>65381</v>
          </cell>
          <cell r="C34">
            <v>23</v>
          </cell>
        </row>
        <row r="35">
          <cell r="A35" t="str">
            <v>波蘭</v>
          </cell>
          <cell r="B35">
            <v>64807</v>
          </cell>
          <cell r="C35">
            <v>35</v>
          </cell>
        </row>
        <row r="36">
          <cell r="A36" t="str">
            <v>關島</v>
          </cell>
          <cell r="B36">
            <v>43322</v>
          </cell>
          <cell r="C36">
            <v>9</v>
          </cell>
        </row>
        <row r="37">
          <cell r="A37" t="str">
            <v>馬來西亞</v>
          </cell>
          <cell r="B37">
            <v>43130</v>
          </cell>
          <cell r="C37">
            <v>14</v>
          </cell>
        </row>
        <row r="38">
          <cell r="A38" t="str">
            <v>阿拉伯聯合大公國</v>
          </cell>
          <cell r="B38">
            <v>14281</v>
          </cell>
          <cell r="C38">
            <v>30</v>
          </cell>
        </row>
        <row r="39">
          <cell r="A39" t="str">
            <v>奧地利</v>
          </cell>
          <cell r="B39">
            <v>2741</v>
          </cell>
          <cell r="C39">
            <v>1</v>
          </cell>
        </row>
        <row r="40">
          <cell r="A40" t="str">
            <v>巴西</v>
          </cell>
          <cell r="B40">
            <v>1849</v>
          </cell>
          <cell r="C40">
            <v>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123201621</v>
          </cell>
          <cell r="C10">
            <v>66914</v>
          </cell>
        </row>
        <row r="11">
          <cell r="A11" t="str">
            <v>荷蘭</v>
          </cell>
          <cell r="B11">
            <v>44267785</v>
          </cell>
          <cell r="C11">
            <v>23905</v>
          </cell>
        </row>
        <row r="12">
          <cell r="A12" t="str">
            <v>美國</v>
          </cell>
          <cell r="B12">
            <v>34257089</v>
          </cell>
          <cell r="C12">
            <v>16264</v>
          </cell>
        </row>
        <row r="13">
          <cell r="A13" t="str">
            <v>德國</v>
          </cell>
          <cell r="B13">
            <v>11928687</v>
          </cell>
          <cell r="C13">
            <v>8968</v>
          </cell>
        </row>
        <row r="14">
          <cell r="A14" t="str">
            <v>英國</v>
          </cell>
          <cell r="B14">
            <v>5283005</v>
          </cell>
          <cell r="C14">
            <v>2888</v>
          </cell>
        </row>
        <row r="15">
          <cell r="A15" t="str">
            <v>加拿大</v>
          </cell>
          <cell r="B15">
            <v>5101289</v>
          </cell>
          <cell r="C15">
            <v>2632</v>
          </cell>
        </row>
        <row r="16">
          <cell r="A16" t="str">
            <v>挪威</v>
          </cell>
          <cell r="B16">
            <v>2533227</v>
          </cell>
          <cell r="C16">
            <v>1449</v>
          </cell>
        </row>
        <row r="17">
          <cell r="A17" t="str">
            <v>瑞士</v>
          </cell>
          <cell r="B17">
            <v>2440483</v>
          </cell>
          <cell r="C17">
            <v>1297</v>
          </cell>
        </row>
        <row r="18">
          <cell r="A18" t="str">
            <v>義大利</v>
          </cell>
          <cell r="B18">
            <v>2289156</v>
          </cell>
          <cell r="C18">
            <v>1008</v>
          </cell>
        </row>
        <row r="19">
          <cell r="A19" t="str">
            <v>法國</v>
          </cell>
          <cell r="B19">
            <v>1912779</v>
          </cell>
          <cell r="C19">
            <v>1393</v>
          </cell>
        </row>
        <row r="20">
          <cell r="A20" t="str">
            <v>巴拿馬</v>
          </cell>
          <cell r="B20">
            <v>1840951</v>
          </cell>
          <cell r="C20">
            <v>740</v>
          </cell>
        </row>
        <row r="21">
          <cell r="A21" t="str">
            <v>澳大利亞</v>
          </cell>
          <cell r="B21">
            <v>1648288</v>
          </cell>
          <cell r="C21">
            <v>731</v>
          </cell>
        </row>
        <row r="22">
          <cell r="A22" t="str">
            <v>西班牙</v>
          </cell>
          <cell r="B22">
            <v>1572692</v>
          </cell>
          <cell r="C22">
            <v>806</v>
          </cell>
        </row>
        <row r="23">
          <cell r="A23" t="str">
            <v>紐西蘭</v>
          </cell>
          <cell r="B23">
            <v>1501043</v>
          </cell>
          <cell r="C23">
            <v>555</v>
          </cell>
        </row>
        <row r="24">
          <cell r="A24" t="str">
            <v>南非</v>
          </cell>
          <cell r="B24">
            <v>1088137</v>
          </cell>
          <cell r="C24">
            <v>421</v>
          </cell>
        </row>
        <row r="25">
          <cell r="A25" t="str">
            <v>韓國</v>
          </cell>
          <cell r="B25">
            <v>998927</v>
          </cell>
          <cell r="C25">
            <v>397</v>
          </cell>
        </row>
        <row r="26">
          <cell r="A26" t="str">
            <v>丹麥</v>
          </cell>
          <cell r="B26">
            <v>928260</v>
          </cell>
          <cell r="C26">
            <v>456</v>
          </cell>
        </row>
        <row r="27">
          <cell r="A27" t="str">
            <v>日本</v>
          </cell>
          <cell r="B27">
            <v>834377</v>
          </cell>
          <cell r="C27">
            <v>812</v>
          </cell>
        </row>
        <row r="28">
          <cell r="A28" t="str">
            <v>瑞典</v>
          </cell>
          <cell r="B28">
            <v>441533</v>
          </cell>
          <cell r="C28">
            <v>1100</v>
          </cell>
        </row>
        <row r="29">
          <cell r="A29" t="str">
            <v>比利時</v>
          </cell>
          <cell r="B29">
            <v>421709</v>
          </cell>
          <cell r="C29">
            <v>246</v>
          </cell>
        </row>
        <row r="30">
          <cell r="A30" t="str">
            <v>墨西哥</v>
          </cell>
          <cell r="B30">
            <v>395726</v>
          </cell>
          <cell r="C30">
            <v>127</v>
          </cell>
        </row>
        <row r="31">
          <cell r="A31" t="str">
            <v>波蘭</v>
          </cell>
          <cell r="B31">
            <v>293856</v>
          </cell>
          <cell r="C31">
            <v>158</v>
          </cell>
        </row>
        <row r="32">
          <cell r="A32" t="str">
            <v>芬蘭</v>
          </cell>
          <cell r="B32">
            <v>229551</v>
          </cell>
          <cell r="C32">
            <v>135</v>
          </cell>
        </row>
        <row r="33">
          <cell r="A33" t="str">
            <v>捷克</v>
          </cell>
          <cell r="B33">
            <v>215167</v>
          </cell>
          <cell r="C33">
            <v>93</v>
          </cell>
        </row>
        <row r="34">
          <cell r="A34" t="str">
            <v>匈牙利</v>
          </cell>
          <cell r="B34">
            <v>186548</v>
          </cell>
          <cell r="C34">
            <v>107</v>
          </cell>
        </row>
        <row r="35">
          <cell r="A35" t="str">
            <v>馬來西亞</v>
          </cell>
          <cell r="B35">
            <v>151806</v>
          </cell>
          <cell r="C35">
            <v>52</v>
          </cell>
        </row>
        <row r="36">
          <cell r="A36" t="str">
            <v>秘魯</v>
          </cell>
          <cell r="B36">
            <v>111444</v>
          </cell>
          <cell r="C36">
            <v>26</v>
          </cell>
        </row>
        <row r="37">
          <cell r="A37" t="str">
            <v>冰島</v>
          </cell>
          <cell r="B37">
            <v>109850</v>
          </cell>
          <cell r="C37">
            <v>45</v>
          </cell>
        </row>
        <row r="38">
          <cell r="A38" t="str">
            <v>多明尼加</v>
          </cell>
          <cell r="B38">
            <v>65381</v>
          </cell>
          <cell r="C38">
            <v>23</v>
          </cell>
        </row>
        <row r="39">
          <cell r="A39" t="str">
            <v>關島</v>
          </cell>
          <cell r="B39">
            <v>43322</v>
          </cell>
          <cell r="C39">
            <v>9</v>
          </cell>
        </row>
        <row r="40">
          <cell r="A40" t="str">
            <v>薩爾瓦多</v>
          </cell>
          <cell r="B40">
            <v>43156</v>
          </cell>
          <cell r="C40">
            <v>12</v>
          </cell>
        </row>
        <row r="41">
          <cell r="A41" t="str">
            <v>阿拉伯聯合大公國</v>
          </cell>
          <cell r="B41">
            <v>37257</v>
          </cell>
          <cell r="C41">
            <v>45</v>
          </cell>
        </row>
        <row r="42">
          <cell r="A42" t="str">
            <v>瓜地馬拉</v>
          </cell>
          <cell r="B42">
            <v>20276</v>
          </cell>
          <cell r="C42">
            <v>8</v>
          </cell>
        </row>
        <row r="43">
          <cell r="A43" t="str">
            <v>奧地利</v>
          </cell>
          <cell r="B43">
            <v>2741</v>
          </cell>
          <cell r="C43">
            <v>1</v>
          </cell>
        </row>
        <row r="44">
          <cell r="A44" t="str">
            <v>泰國</v>
          </cell>
          <cell r="B44">
            <v>2249</v>
          </cell>
          <cell r="C44">
            <v>1</v>
          </cell>
        </row>
        <row r="45">
          <cell r="A45" t="str">
            <v>巴西</v>
          </cell>
          <cell r="B45">
            <v>1849</v>
          </cell>
          <cell r="C45">
            <v>1</v>
          </cell>
        </row>
        <row r="46">
          <cell r="A46" t="str">
            <v>葡萄牙</v>
          </cell>
          <cell r="B46">
            <v>1093</v>
          </cell>
          <cell r="C46">
            <v>2</v>
          </cell>
        </row>
        <row r="47">
          <cell r="A47" t="str">
            <v>香港</v>
          </cell>
          <cell r="B47">
            <v>932</v>
          </cell>
          <cell r="C47">
            <v>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272103046</v>
          </cell>
          <cell r="C10">
            <v>170910</v>
          </cell>
        </row>
        <row r="11">
          <cell r="A11" t="str">
            <v>荷蘭</v>
          </cell>
          <cell r="B11">
            <v>105358370</v>
          </cell>
          <cell r="C11">
            <v>69151</v>
          </cell>
        </row>
        <row r="12">
          <cell r="A12" t="str">
            <v>美國</v>
          </cell>
          <cell r="B12">
            <v>63553979</v>
          </cell>
          <cell r="C12">
            <v>31713</v>
          </cell>
        </row>
        <row r="13">
          <cell r="A13" t="str">
            <v>德國</v>
          </cell>
          <cell r="B13">
            <v>15915102</v>
          </cell>
          <cell r="C13">
            <v>16755</v>
          </cell>
        </row>
        <row r="14">
          <cell r="A14" t="str">
            <v>英國</v>
          </cell>
          <cell r="B14">
            <v>15817751</v>
          </cell>
          <cell r="C14">
            <v>11410</v>
          </cell>
        </row>
        <row r="15">
          <cell r="A15" t="str">
            <v>加拿大</v>
          </cell>
          <cell r="B15">
            <v>7747359</v>
          </cell>
          <cell r="C15">
            <v>4001</v>
          </cell>
        </row>
        <row r="16">
          <cell r="A16" t="str">
            <v>義大利</v>
          </cell>
          <cell r="B16">
            <v>7729220</v>
          </cell>
          <cell r="C16">
            <v>3576</v>
          </cell>
        </row>
        <row r="17">
          <cell r="A17" t="str">
            <v>澳大利亞</v>
          </cell>
          <cell r="B17">
            <v>6652329</v>
          </cell>
          <cell r="C17">
            <v>3277</v>
          </cell>
        </row>
        <row r="18">
          <cell r="A18" t="str">
            <v>法國</v>
          </cell>
          <cell r="B18">
            <v>6266854</v>
          </cell>
          <cell r="C18">
            <v>5279</v>
          </cell>
        </row>
        <row r="19">
          <cell r="A19" t="str">
            <v>紐西蘭</v>
          </cell>
          <cell r="B19">
            <v>5970183</v>
          </cell>
          <cell r="C19">
            <v>2880</v>
          </cell>
        </row>
        <row r="20">
          <cell r="A20" t="str">
            <v>瑞士</v>
          </cell>
          <cell r="B20">
            <v>5504587</v>
          </cell>
          <cell r="C20">
            <v>3022</v>
          </cell>
        </row>
        <row r="21">
          <cell r="A21" t="str">
            <v>希臘</v>
          </cell>
          <cell r="B21">
            <v>5256906</v>
          </cell>
          <cell r="C21">
            <v>2085</v>
          </cell>
        </row>
        <row r="22">
          <cell r="A22" t="str">
            <v>挪威</v>
          </cell>
          <cell r="B22">
            <v>3569241</v>
          </cell>
          <cell r="C22">
            <v>2098</v>
          </cell>
        </row>
        <row r="23">
          <cell r="A23" t="str">
            <v>比利時</v>
          </cell>
          <cell r="B23">
            <v>3480070</v>
          </cell>
          <cell r="C23">
            <v>1455</v>
          </cell>
        </row>
        <row r="24">
          <cell r="A24" t="str">
            <v>西班牙</v>
          </cell>
          <cell r="B24">
            <v>3022909</v>
          </cell>
          <cell r="C24">
            <v>2553</v>
          </cell>
        </row>
        <row r="25">
          <cell r="A25" t="str">
            <v>奧地利</v>
          </cell>
          <cell r="B25">
            <v>2445250</v>
          </cell>
          <cell r="C25">
            <v>1250</v>
          </cell>
        </row>
        <row r="26">
          <cell r="A26" t="str">
            <v>日本</v>
          </cell>
          <cell r="B26">
            <v>2406041</v>
          </cell>
          <cell r="C26">
            <v>2017</v>
          </cell>
        </row>
        <row r="27">
          <cell r="A27" t="str">
            <v>丹麥</v>
          </cell>
          <cell r="B27">
            <v>2100997</v>
          </cell>
          <cell r="C27">
            <v>1445</v>
          </cell>
        </row>
        <row r="28">
          <cell r="A28" t="str">
            <v>韓國</v>
          </cell>
          <cell r="B28">
            <v>1545376</v>
          </cell>
          <cell r="C28">
            <v>704</v>
          </cell>
        </row>
        <row r="29">
          <cell r="A29" t="str">
            <v>捷克</v>
          </cell>
          <cell r="B29">
            <v>1544200</v>
          </cell>
          <cell r="C29">
            <v>2273</v>
          </cell>
        </row>
        <row r="30">
          <cell r="A30" t="str">
            <v>波蘭</v>
          </cell>
          <cell r="B30">
            <v>1167627</v>
          </cell>
          <cell r="C30">
            <v>618</v>
          </cell>
        </row>
        <row r="31">
          <cell r="A31" t="str">
            <v>智利</v>
          </cell>
          <cell r="B31">
            <v>948158</v>
          </cell>
          <cell r="C31">
            <v>369</v>
          </cell>
        </row>
        <row r="32">
          <cell r="A32" t="str">
            <v>南非</v>
          </cell>
          <cell r="B32">
            <v>804919</v>
          </cell>
          <cell r="C32">
            <v>344</v>
          </cell>
        </row>
        <row r="33">
          <cell r="A33" t="str">
            <v>巴拿馬</v>
          </cell>
          <cell r="B33">
            <v>689102</v>
          </cell>
          <cell r="C33">
            <v>253</v>
          </cell>
        </row>
        <row r="34">
          <cell r="A34" t="str">
            <v>瑞典</v>
          </cell>
          <cell r="B34">
            <v>605733</v>
          </cell>
          <cell r="C34">
            <v>1499</v>
          </cell>
        </row>
        <row r="35">
          <cell r="A35" t="str">
            <v>墨西哥</v>
          </cell>
          <cell r="B35">
            <v>578105</v>
          </cell>
          <cell r="C35">
            <v>232</v>
          </cell>
        </row>
        <row r="36">
          <cell r="A36" t="str">
            <v>哥倫比亞</v>
          </cell>
          <cell r="B36">
            <v>418105</v>
          </cell>
          <cell r="C36">
            <v>194</v>
          </cell>
        </row>
        <row r="37">
          <cell r="A37" t="str">
            <v>巴西</v>
          </cell>
          <cell r="B37">
            <v>341334</v>
          </cell>
          <cell r="C37">
            <v>145</v>
          </cell>
        </row>
        <row r="38">
          <cell r="A38" t="str">
            <v>中國大陸</v>
          </cell>
          <cell r="B38">
            <v>158972</v>
          </cell>
          <cell r="C38">
            <v>97</v>
          </cell>
        </row>
        <row r="39">
          <cell r="A39" t="str">
            <v>以色列</v>
          </cell>
          <cell r="B39">
            <v>136209</v>
          </cell>
          <cell r="C39">
            <v>59</v>
          </cell>
        </row>
        <row r="40">
          <cell r="A40" t="str">
            <v>芬蘭</v>
          </cell>
          <cell r="B40">
            <v>131961</v>
          </cell>
          <cell r="C40">
            <v>60</v>
          </cell>
        </row>
        <row r="41">
          <cell r="A41" t="str">
            <v>秘魯</v>
          </cell>
          <cell r="B41">
            <v>88274</v>
          </cell>
          <cell r="C41">
            <v>42</v>
          </cell>
        </row>
        <row r="42">
          <cell r="A42" t="str">
            <v>馬來西亞</v>
          </cell>
          <cell r="B42">
            <v>42663</v>
          </cell>
          <cell r="C42">
            <v>12</v>
          </cell>
        </row>
        <row r="43">
          <cell r="A43" t="str">
            <v>哥斯大黎加</v>
          </cell>
          <cell r="B43">
            <v>36797</v>
          </cell>
          <cell r="C43">
            <v>18</v>
          </cell>
        </row>
        <row r="44">
          <cell r="A44" t="str">
            <v>阿拉伯聯合大公國</v>
          </cell>
          <cell r="B44">
            <v>36209</v>
          </cell>
          <cell r="C44">
            <v>12</v>
          </cell>
        </row>
        <row r="45">
          <cell r="A45" t="str">
            <v>新加坡</v>
          </cell>
          <cell r="B45">
            <v>28984</v>
          </cell>
          <cell r="C45">
            <v>10</v>
          </cell>
        </row>
        <row r="46">
          <cell r="A46" t="str">
            <v>菲律賓</v>
          </cell>
          <cell r="B46">
            <v>2092</v>
          </cell>
          <cell r="C46">
            <v>1</v>
          </cell>
        </row>
        <row r="47">
          <cell r="A47" t="str">
            <v>烏拉圭</v>
          </cell>
          <cell r="B47">
            <v>1078</v>
          </cell>
          <cell r="C47">
            <v>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801176</v>
          </cell>
          <cell r="C10">
            <v>967</v>
          </cell>
        </row>
        <row r="11">
          <cell r="A11" t="str">
            <v>韓國</v>
          </cell>
          <cell r="B11">
            <v>262063</v>
          </cell>
          <cell r="C11">
            <v>430</v>
          </cell>
        </row>
        <row r="12">
          <cell r="A12" t="str">
            <v>中國大陸</v>
          </cell>
          <cell r="B12">
            <v>238706</v>
          </cell>
          <cell r="C12">
            <v>197</v>
          </cell>
        </row>
        <row r="13">
          <cell r="A13" t="str">
            <v>日本</v>
          </cell>
          <cell r="B13">
            <v>226275</v>
          </cell>
          <cell r="C13">
            <v>259</v>
          </cell>
        </row>
        <row r="14">
          <cell r="A14" t="str">
            <v>西班牙</v>
          </cell>
          <cell r="B14">
            <v>40131</v>
          </cell>
          <cell r="C14">
            <v>48</v>
          </cell>
        </row>
        <row r="15">
          <cell r="A15" t="str">
            <v>俄羅斯</v>
          </cell>
          <cell r="B15">
            <v>24967</v>
          </cell>
          <cell r="C15">
            <v>20</v>
          </cell>
        </row>
        <row r="16">
          <cell r="A16" t="str">
            <v>香港</v>
          </cell>
          <cell r="B16">
            <v>7784</v>
          </cell>
          <cell r="C16">
            <v>5</v>
          </cell>
        </row>
        <row r="17">
          <cell r="A17" t="str">
            <v>菲律賓</v>
          </cell>
          <cell r="B17">
            <v>989</v>
          </cell>
          <cell r="C17">
            <v>3</v>
          </cell>
        </row>
        <row r="18">
          <cell r="A18" t="str">
            <v>泰國</v>
          </cell>
          <cell r="B18">
            <v>261</v>
          </cell>
          <cell r="C18">
            <v>5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35096451</v>
          </cell>
          <cell r="D10">
            <v>562854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11573324</v>
          </cell>
          <cell r="D11">
            <v>262156</v>
          </cell>
          <cell r="E11">
            <v>0</v>
          </cell>
        </row>
        <row r="12">
          <cell r="A12">
            <v>87149620002</v>
          </cell>
          <cell r="B12" t="str">
            <v>曲柄齒輪及其零件</v>
          </cell>
          <cell r="C12">
            <v>5742079</v>
          </cell>
          <cell r="D12">
            <v>124252</v>
          </cell>
          <cell r="E12">
            <v>0</v>
          </cell>
        </row>
        <row r="13">
          <cell r="A13">
            <v>87149990111</v>
          </cell>
          <cell r="B13" t="str">
            <v>腳踏車用變速器</v>
          </cell>
          <cell r="C13">
            <v>5402040</v>
          </cell>
          <cell r="D13">
            <v>47139</v>
          </cell>
          <cell r="E13">
            <v>0</v>
          </cell>
        </row>
        <row r="14">
          <cell r="A14">
            <v>87149200304</v>
          </cell>
          <cell r="B14" t="str">
            <v>輪圈及輪幅</v>
          </cell>
          <cell r="C14">
            <v>5030633</v>
          </cell>
          <cell r="D14">
            <v>38304</v>
          </cell>
          <cell r="E14">
            <v>33625</v>
          </cell>
        </row>
        <row r="15">
          <cell r="A15">
            <v>87149320906</v>
          </cell>
          <cell r="B15" t="str">
            <v>其他飛輪之鏈輪</v>
          </cell>
          <cell r="C15">
            <v>4670103</v>
          </cell>
          <cell r="D15">
            <v>104736</v>
          </cell>
          <cell r="E15">
            <v>0</v>
          </cell>
        </row>
        <row r="16">
          <cell r="A16">
            <v>87149200108</v>
          </cell>
          <cell r="B16" t="str">
            <v>輪圈</v>
          </cell>
          <cell r="C16">
            <v>3187629</v>
          </cell>
          <cell r="D16">
            <v>94344</v>
          </cell>
          <cell r="E16">
            <v>169791</v>
          </cell>
        </row>
        <row r="17">
          <cell r="A17">
            <v>87149990166</v>
          </cell>
          <cell r="B17" t="str">
            <v>腳踏車用把手</v>
          </cell>
          <cell r="C17">
            <v>3181318</v>
          </cell>
          <cell r="D17">
            <v>78092</v>
          </cell>
          <cell r="E17">
            <v>0</v>
          </cell>
        </row>
        <row r="18">
          <cell r="A18">
            <v>87149990157</v>
          </cell>
          <cell r="B18" t="str">
            <v>腳踏車用座管及上下管</v>
          </cell>
          <cell r="C18">
            <v>3044440</v>
          </cell>
          <cell r="D18">
            <v>76205</v>
          </cell>
          <cell r="E18">
            <v>0</v>
          </cell>
        </row>
        <row r="19">
          <cell r="A19">
            <v>87149310007</v>
          </cell>
          <cell r="B19" t="str">
            <v>輪轂，但倒煞車輪轂及輪轂煞車除外</v>
          </cell>
          <cell r="C19">
            <v>2793720</v>
          </cell>
          <cell r="D19">
            <v>47546</v>
          </cell>
          <cell r="E19">
            <v>0</v>
          </cell>
        </row>
        <row r="20">
          <cell r="A20">
            <v>87149610004</v>
          </cell>
          <cell r="B20" t="str">
            <v>踏板及其零件</v>
          </cell>
          <cell r="C20">
            <v>2771180</v>
          </cell>
          <cell r="D20">
            <v>97982</v>
          </cell>
          <cell r="E20">
            <v>0</v>
          </cell>
        </row>
        <row r="21">
          <cell r="A21">
            <v>87149500007</v>
          </cell>
          <cell r="B21" t="str">
            <v>腳踏車車座</v>
          </cell>
          <cell r="C21">
            <v>1970924</v>
          </cell>
          <cell r="D21">
            <v>89769</v>
          </cell>
          <cell r="E21">
            <v>0</v>
          </cell>
        </row>
        <row r="22">
          <cell r="A22">
            <v>87149990148</v>
          </cell>
          <cell r="B22" t="str">
            <v>腳踏車用把手豎管</v>
          </cell>
          <cell r="C22">
            <v>1629360</v>
          </cell>
          <cell r="D22">
            <v>41391</v>
          </cell>
          <cell r="E22">
            <v>0</v>
          </cell>
        </row>
        <row r="23">
          <cell r="A23">
            <v>87149200206</v>
          </cell>
          <cell r="B23" t="str">
            <v>輪幅</v>
          </cell>
          <cell r="C23">
            <v>768220</v>
          </cell>
          <cell r="D23">
            <v>67087</v>
          </cell>
          <cell r="E23">
            <v>10508104</v>
          </cell>
        </row>
        <row r="24">
          <cell r="A24">
            <v>87149990139</v>
          </cell>
          <cell r="B24" t="str">
            <v>腳踏車用軸心</v>
          </cell>
          <cell r="C24">
            <v>385306</v>
          </cell>
          <cell r="D24">
            <v>9559</v>
          </cell>
          <cell r="E24">
            <v>0</v>
          </cell>
        </row>
        <row r="25">
          <cell r="A25">
            <v>87149320103</v>
          </cell>
          <cell r="B25" t="str">
            <v>裝有棘輪機構之單一鏈輪　</v>
          </cell>
          <cell r="C25">
            <v>78801</v>
          </cell>
          <cell r="D25">
            <v>1893</v>
          </cell>
          <cell r="E25">
            <v>0</v>
          </cell>
        </row>
        <row r="26">
          <cell r="A26">
            <v>87149410006</v>
          </cell>
          <cell r="B26" t="str">
            <v>鋼?煞車器及其零件</v>
          </cell>
          <cell r="C26">
            <v>69654</v>
          </cell>
          <cell r="D26">
            <v>4006</v>
          </cell>
          <cell r="E26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78141303</v>
          </cell>
          <cell r="D10">
            <v>1203577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24373229</v>
          </cell>
          <cell r="D11">
            <v>552137</v>
          </cell>
          <cell r="E11">
            <v>0</v>
          </cell>
        </row>
        <row r="12">
          <cell r="A12">
            <v>87149620002</v>
          </cell>
          <cell r="B12" t="str">
            <v>曲柄齒輪及其零件</v>
          </cell>
          <cell r="C12">
            <v>12099792</v>
          </cell>
          <cell r="D12">
            <v>258839</v>
          </cell>
          <cell r="E12">
            <v>0</v>
          </cell>
        </row>
        <row r="13">
          <cell r="A13">
            <v>87149990111</v>
          </cell>
          <cell r="B13" t="str">
            <v>腳踏車用變速器</v>
          </cell>
          <cell r="C13">
            <v>10353611</v>
          </cell>
          <cell r="D13">
            <v>86985</v>
          </cell>
          <cell r="E13">
            <v>0</v>
          </cell>
        </row>
        <row r="14">
          <cell r="A14">
            <v>87149200304</v>
          </cell>
          <cell r="B14" t="str">
            <v>輪圈及輪幅</v>
          </cell>
          <cell r="C14">
            <v>9426458</v>
          </cell>
          <cell r="D14">
            <v>82328</v>
          </cell>
          <cell r="E14">
            <v>72896</v>
          </cell>
        </row>
        <row r="15">
          <cell r="A15">
            <v>87149320906</v>
          </cell>
          <cell r="B15" t="str">
            <v>其他飛輪之鏈輪</v>
          </cell>
          <cell r="C15">
            <v>9253265</v>
          </cell>
          <cell r="D15">
            <v>206865</v>
          </cell>
          <cell r="E15">
            <v>0</v>
          </cell>
        </row>
        <row r="16">
          <cell r="A16">
            <v>87149990166</v>
          </cell>
          <cell r="B16" t="str">
            <v>腳踏車用把手</v>
          </cell>
          <cell r="C16">
            <v>6343596</v>
          </cell>
          <cell r="D16">
            <v>153389</v>
          </cell>
          <cell r="E16">
            <v>0</v>
          </cell>
        </row>
        <row r="17">
          <cell r="A17">
            <v>87149310007</v>
          </cell>
          <cell r="B17" t="str">
            <v>輪轂，但倒煞車輪轂及輪轂煞車除外</v>
          </cell>
          <cell r="C17">
            <v>6051812</v>
          </cell>
          <cell r="D17">
            <v>113265</v>
          </cell>
          <cell r="E17">
            <v>0</v>
          </cell>
        </row>
        <row r="18">
          <cell r="A18">
            <v>87149990157</v>
          </cell>
          <cell r="B18" t="str">
            <v>腳踏車用座管及上下管</v>
          </cell>
          <cell r="C18">
            <v>5882357</v>
          </cell>
          <cell r="D18">
            <v>140235</v>
          </cell>
          <cell r="E18">
            <v>0</v>
          </cell>
        </row>
        <row r="19">
          <cell r="A19">
            <v>87149200108</v>
          </cell>
          <cell r="B19" t="str">
            <v>輪圈</v>
          </cell>
          <cell r="C19">
            <v>5683522</v>
          </cell>
          <cell r="D19">
            <v>200225</v>
          </cell>
          <cell r="E19">
            <v>347157</v>
          </cell>
        </row>
        <row r="20">
          <cell r="A20">
            <v>87149610004</v>
          </cell>
          <cell r="B20" t="str">
            <v>踏板及其零件</v>
          </cell>
          <cell r="C20">
            <v>5495603</v>
          </cell>
          <cell r="D20">
            <v>208831</v>
          </cell>
          <cell r="E20">
            <v>0</v>
          </cell>
        </row>
        <row r="21">
          <cell r="A21">
            <v>87149500007</v>
          </cell>
          <cell r="B21" t="str">
            <v>腳踏車車座</v>
          </cell>
          <cell r="C21">
            <v>4135351</v>
          </cell>
          <cell r="D21">
            <v>175997</v>
          </cell>
          <cell r="E21">
            <v>0</v>
          </cell>
        </row>
        <row r="22">
          <cell r="A22">
            <v>87149990148</v>
          </cell>
          <cell r="B22" t="str">
            <v>腳踏車用把手豎管</v>
          </cell>
          <cell r="C22">
            <v>3324191</v>
          </cell>
          <cell r="D22">
            <v>81023</v>
          </cell>
          <cell r="E22">
            <v>0</v>
          </cell>
        </row>
        <row r="23">
          <cell r="A23">
            <v>87149200206</v>
          </cell>
          <cell r="B23" t="str">
            <v>輪幅</v>
          </cell>
          <cell r="C23">
            <v>1731458</v>
          </cell>
          <cell r="D23">
            <v>135757</v>
          </cell>
          <cell r="E23">
            <v>19611650</v>
          </cell>
        </row>
        <row r="24">
          <cell r="A24">
            <v>87149990139</v>
          </cell>
          <cell r="B24" t="str">
            <v>腳踏車用軸心</v>
          </cell>
          <cell r="C24">
            <v>625922</v>
          </cell>
          <cell r="D24">
            <v>22740</v>
          </cell>
          <cell r="E24">
            <v>0</v>
          </cell>
        </row>
        <row r="25">
          <cell r="A25">
            <v>87149410006</v>
          </cell>
          <cell r="B25" t="str">
            <v>鋼?煞車器及其零件</v>
          </cell>
          <cell r="C25">
            <v>378622</v>
          </cell>
          <cell r="D25">
            <v>16225</v>
          </cell>
          <cell r="E25">
            <v>0</v>
          </cell>
        </row>
        <row r="26">
          <cell r="A26">
            <v>87149320103</v>
          </cell>
          <cell r="B26" t="str">
            <v>裝有棘輪機構之單一鏈輪　</v>
          </cell>
          <cell r="C26">
            <v>85774</v>
          </cell>
          <cell r="D26">
            <v>2183</v>
          </cell>
          <cell r="E26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18842742</v>
          </cell>
          <cell r="D10">
            <v>219797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5863238</v>
          </cell>
          <cell r="D11">
            <v>67556</v>
          </cell>
          <cell r="E11">
            <v>0</v>
          </cell>
        </row>
        <row r="12">
          <cell r="A12">
            <v>87149310007</v>
          </cell>
          <cell r="B12" t="str">
            <v>輪轂，但倒煞車輪轂及輪轂煞車除外</v>
          </cell>
          <cell r="C12">
            <v>2442419</v>
          </cell>
          <cell r="D12">
            <v>56483</v>
          </cell>
          <cell r="E12">
            <v>0</v>
          </cell>
        </row>
        <row r="13">
          <cell r="A13">
            <v>87149620002</v>
          </cell>
          <cell r="B13" t="str">
            <v>曲柄齒輪及其零件</v>
          </cell>
          <cell r="C13">
            <v>2358306</v>
          </cell>
          <cell r="D13">
            <v>47460</v>
          </cell>
          <cell r="E13">
            <v>0</v>
          </cell>
        </row>
        <row r="14">
          <cell r="A14">
            <v>87149200108</v>
          </cell>
          <cell r="B14" t="str">
            <v>輪圈</v>
          </cell>
          <cell r="C14">
            <v>2246797</v>
          </cell>
          <cell r="D14">
            <v>28879</v>
          </cell>
          <cell r="E14">
            <v>60299</v>
          </cell>
        </row>
        <row r="15">
          <cell r="A15">
            <v>87149990111</v>
          </cell>
          <cell r="B15" t="str">
            <v>腳踏車用變速器</v>
          </cell>
          <cell r="C15">
            <v>2240146</v>
          </cell>
          <cell r="D15">
            <v>23526</v>
          </cell>
          <cell r="E15">
            <v>0</v>
          </cell>
        </row>
        <row r="16">
          <cell r="A16">
            <v>87149990166</v>
          </cell>
          <cell r="B16" t="str">
            <v>腳踏車用把手</v>
          </cell>
          <cell r="C16">
            <v>1383423</v>
          </cell>
          <cell r="D16">
            <v>18941</v>
          </cell>
          <cell r="E16">
            <v>0</v>
          </cell>
        </row>
        <row r="17">
          <cell r="A17">
            <v>87149320906</v>
          </cell>
          <cell r="B17" t="str">
            <v>其他飛輪之鏈輪</v>
          </cell>
          <cell r="C17">
            <v>869535</v>
          </cell>
          <cell r="D17">
            <v>14731</v>
          </cell>
          <cell r="E17">
            <v>0</v>
          </cell>
        </row>
        <row r="18">
          <cell r="A18">
            <v>87149200206</v>
          </cell>
          <cell r="B18" t="str">
            <v>輪幅</v>
          </cell>
          <cell r="C18">
            <v>714189</v>
          </cell>
          <cell r="D18">
            <v>5613</v>
          </cell>
          <cell r="E18">
            <v>1169086</v>
          </cell>
        </row>
        <row r="19">
          <cell r="A19">
            <v>87149990157</v>
          </cell>
          <cell r="B19" t="str">
            <v>腳踏車用座管及上下管</v>
          </cell>
          <cell r="C19">
            <v>643484</v>
          </cell>
          <cell r="D19">
            <v>8149</v>
          </cell>
          <cell r="E19">
            <v>0</v>
          </cell>
        </row>
        <row r="20">
          <cell r="A20">
            <v>87149500007</v>
          </cell>
          <cell r="B20" t="str">
            <v>腳踏車車座</v>
          </cell>
          <cell r="C20">
            <v>425824</v>
          </cell>
          <cell r="D20">
            <v>27794</v>
          </cell>
          <cell r="E20">
            <v>0</v>
          </cell>
        </row>
        <row r="21">
          <cell r="A21">
            <v>87149200304</v>
          </cell>
          <cell r="B21" t="str">
            <v>輪圈及輪幅</v>
          </cell>
          <cell r="C21">
            <v>218172</v>
          </cell>
          <cell r="D21">
            <v>9133</v>
          </cell>
          <cell r="E21">
            <v>22303</v>
          </cell>
        </row>
        <row r="22">
          <cell r="A22">
            <v>87149990148</v>
          </cell>
          <cell r="B22" t="str">
            <v>腳踏車用把手豎管</v>
          </cell>
          <cell r="C22">
            <v>173847</v>
          </cell>
          <cell r="D22">
            <v>4792</v>
          </cell>
          <cell r="E22">
            <v>0</v>
          </cell>
        </row>
        <row r="23">
          <cell r="A23">
            <v>87149610004</v>
          </cell>
          <cell r="B23" t="str">
            <v>踏板及其零件</v>
          </cell>
          <cell r="C23">
            <v>94924</v>
          </cell>
          <cell r="D23">
            <v>6255</v>
          </cell>
          <cell r="E23">
            <v>0</v>
          </cell>
        </row>
        <row r="24">
          <cell r="A24">
            <v>87149990139</v>
          </cell>
          <cell r="B24" t="str">
            <v>腳踏車用軸心</v>
          </cell>
          <cell r="C24">
            <v>49889</v>
          </cell>
          <cell r="D24">
            <v>3288</v>
          </cell>
          <cell r="E24">
            <v>0</v>
          </cell>
        </row>
        <row r="25">
          <cell r="A25">
            <v>87149410006</v>
          </cell>
          <cell r="B25" t="str">
            <v>鋼?煞車器及其零件</v>
          </cell>
          <cell r="C25">
            <v>36661</v>
          </cell>
          <cell r="D25">
            <v>1667</v>
          </cell>
          <cell r="E25">
            <v>0</v>
          </cell>
        </row>
        <row r="26">
          <cell r="A26">
            <v>87149320103</v>
          </cell>
          <cell r="B26" t="str">
            <v>裝有棘輪機構之單一鏈輪　</v>
          </cell>
          <cell r="C26">
            <v>5053</v>
          </cell>
          <cell r="D26">
            <v>197</v>
          </cell>
          <cell r="E26">
            <v>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49593273</v>
          </cell>
          <cell r="D10">
            <v>677354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17013323</v>
          </cell>
          <cell r="D11">
            <v>213782</v>
          </cell>
          <cell r="E11">
            <v>0</v>
          </cell>
        </row>
        <row r="12">
          <cell r="A12">
            <v>87149200108</v>
          </cell>
          <cell r="B12" t="str">
            <v>輪圈</v>
          </cell>
          <cell r="C12">
            <v>9084488</v>
          </cell>
          <cell r="D12">
            <v>103108</v>
          </cell>
          <cell r="E12">
            <v>229984</v>
          </cell>
        </row>
        <row r="13">
          <cell r="A13">
            <v>87149620002</v>
          </cell>
          <cell r="B13" t="str">
            <v>曲柄齒輪及其零件</v>
          </cell>
          <cell r="C13">
            <v>6682971</v>
          </cell>
          <cell r="D13">
            <v>199903</v>
          </cell>
          <cell r="E13">
            <v>0</v>
          </cell>
        </row>
        <row r="14">
          <cell r="A14">
            <v>87149990111</v>
          </cell>
          <cell r="B14" t="str">
            <v>腳踏車用變速器</v>
          </cell>
          <cell r="C14">
            <v>6356064</v>
          </cell>
          <cell r="D14">
            <v>65144</v>
          </cell>
          <cell r="E14">
            <v>0</v>
          </cell>
        </row>
        <row r="15">
          <cell r="A15">
            <v>87149310007</v>
          </cell>
          <cell r="B15" t="str">
            <v>輪轂，但倒煞車輪轂及輪轂煞車除外</v>
          </cell>
          <cell r="C15">
            <v>5443381</v>
          </cell>
          <cell r="D15">
            <v>135298</v>
          </cell>
          <cell r="E15">
            <v>0</v>
          </cell>
        </row>
        <row r="16">
          <cell r="A16">
            <v>87149990166</v>
          </cell>
          <cell r="B16" t="str">
            <v>腳踏車用把手</v>
          </cell>
          <cell r="C16">
            <v>3685725</v>
          </cell>
          <cell r="D16">
            <v>56403</v>
          </cell>
          <cell r="E16">
            <v>0</v>
          </cell>
        </row>
        <row r="17">
          <cell r="A17">
            <v>87149320906</v>
          </cell>
          <cell r="B17" t="str">
            <v>其他飛輪之鏈輪</v>
          </cell>
          <cell r="C17">
            <v>2388617</v>
          </cell>
          <cell r="D17">
            <v>46304</v>
          </cell>
          <cell r="E17">
            <v>0</v>
          </cell>
        </row>
        <row r="18">
          <cell r="A18">
            <v>87149990157</v>
          </cell>
          <cell r="B18" t="str">
            <v>腳踏車用座管及上下管</v>
          </cell>
          <cell r="C18">
            <v>2257329</v>
          </cell>
          <cell r="D18">
            <v>43141</v>
          </cell>
          <cell r="E18">
            <v>0</v>
          </cell>
        </row>
        <row r="19">
          <cell r="A19">
            <v>87149200206</v>
          </cell>
          <cell r="B19" t="str">
            <v>輪幅</v>
          </cell>
          <cell r="C19">
            <v>1550048</v>
          </cell>
          <cell r="D19">
            <v>15197</v>
          </cell>
          <cell r="E19">
            <v>3078203</v>
          </cell>
        </row>
        <row r="20">
          <cell r="A20">
            <v>87149500007</v>
          </cell>
          <cell r="B20" t="str">
            <v>腳踏車車座</v>
          </cell>
          <cell r="C20">
            <v>1376624</v>
          </cell>
          <cell r="D20">
            <v>87120</v>
          </cell>
          <cell r="E20">
            <v>0</v>
          </cell>
        </row>
        <row r="21">
          <cell r="A21">
            <v>87149200304</v>
          </cell>
          <cell r="B21" t="str">
            <v>輪圈及輪幅</v>
          </cell>
          <cell r="C21">
            <v>875025</v>
          </cell>
          <cell r="D21">
            <v>27807</v>
          </cell>
          <cell r="E21">
            <v>121532</v>
          </cell>
        </row>
        <row r="22">
          <cell r="A22">
            <v>87149990148</v>
          </cell>
          <cell r="B22" t="str">
            <v>腳踏車用把手豎管</v>
          </cell>
          <cell r="C22">
            <v>719701</v>
          </cell>
          <cell r="D22">
            <v>25307</v>
          </cell>
          <cell r="E22">
            <v>0</v>
          </cell>
        </row>
        <row r="23">
          <cell r="A23">
            <v>87149610004</v>
          </cell>
          <cell r="B23" t="str">
            <v>踏板及其零件</v>
          </cell>
          <cell r="C23">
            <v>331539</v>
          </cell>
          <cell r="D23">
            <v>36593</v>
          </cell>
          <cell r="E23">
            <v>0</v>
          </cell>
        </row>
        <row r="24">
          <cell r="A24">
            <v>87149990139</v>
          </cell>
          <cell r="B24" t="str">
            <v>腳踏車用軸心</v>
          </cell>
          <cell r="C24">
            <v>199021</v>
          </cell>
          <cell r="D24">
            <v>15975</v>
          </cell>
          <cell r="E24">
            <v>0</v>
          </cell>
        </row>
        <row r="25">
          <cell r="A25">
            <v>87149320103</v>
          </cell>
          <cell r="B25" t="str">
            <v>裝有棘輪機構之單一鏈輪　</v>
          </cell>
          <cell r="C25">
            <v>98564</v>
          </cell>
          <cell r="D25">
            <v>2402</v>
          </cell>
          <cell r="E25">
            <v>0</v>
          </cell>
        </row>
        <row r="26">
          <cell r="A26">
            <v>87149410006</v>
          </cell>
          <cell r="B26" t="str">
            <v>鋼?煞車器及其零件</v>
          </cell>
          <cell r="C26">
            <v>95819</v>
          </cell>
          <cell r="D26">
            <v>4652</v>
          </cell>
          <cell r="E26">
            <v>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</sheetNames>
    <sheetDataSet>
      <sheetData sheetId="0">
        <row r="11">
          <cell r="B11">
            <v>87149120007</v>
          </cell>
          <cell r="C11" t="str">
            <v>其他車架及叉及其零件</v>
          </cell>
          <cell r="D11" t="str">
            <v>Other frames and forks, and parts thereof</v>
          </cell>
          <cell r="E11">
            <v>83986155</v>
          </cell>
          <cell r="F11">
            <v>1367895</v>
          </cell>
          <cell r="G11">
            <v>0</v>
          </cell>
        </row>
        <row r="12">
          <cell r="B12">
            <v>87149490009</v>
          </cell>
          <cell r="C12" t="str">
            <v>其他煞車器及其零件</v>
          </cell>
          <cell r="D12" t="str">
            <v>Other brakes and parts thereof</v>
          </cell>
          <cell r="E12">
            <v>23112685</v>
          </cell>
          <cell r="F12">
            <v>485754</v>
          </cell>
          <cell r="G12">
            <v>0</v>
          </cell>
        </row>
        <row r="13">
          <cell r="B13">
            <v>87149320906</v>
          </cell>
          <cell r="C13" t="str">
            <v>其他飛輪之鏈輪</v>
          </cell>
          <cell r="D13" t="str">
            <v>Other free-wheel sprocket-wheels</v>
          </cell>
          <cell r="E13">
            <v>14429904</v>
          </cell>
          <cell r="F13">
            <v>287172</v>
          </cell>
          <cell r="G13">
            <v>0</v>
          </cell>
        </row>
        <row r="14">
          <cell r="B14">
            <v>87149200304</v>
          </cell>
          <cell r="C14" t="str">
            <v>輪圈及輪幅</v>
          </cell>
          <cell r="D14" t="str">
            <v>Wheel rims and spokes</v>
          </cell>
          <cell r="E14">
            <v>12298659</v>
          </cell>
          <cell r="F14">
            <v>111727</v>
          </cell>
          <cell r="G14">
            <v>79952</v>
          </cell>
        </row>
        <row r="15">
          <cell r="B15">
            <v>87149990111</v>
          </cell>
          <cell r="C15" t="str">
            <v>腳踏車用變速器</v>
          </cell>
          <cell r="D15" t="str">
            <v>Derailer of bicycles</v>
          </cell>
          <cell r="E15">
            <v>11507483</v>
          </cell>
          <cell r="F15">
            <v>112459</v>
          </cell>
          <cell r="G15">
            <v>0</v>
          </cell>
        </row>
        <row r="16">
          <cell r="B16">
            <v>87149620002</v>
          </cell>
          <cell r="C16" t="str">
            <v>曲柄齒輪及其零件</v>
          </cell>
          <cell r="D16" t="str">
            <v>Crank-gear and parts thereof</v>
          </cell>
          <cell r="E16">
            <v>10642918</v>
          </cell>
          <cell r="F16">
            <v>197400</v>
          </cell>
          <cell r="G16">
            <v>0</v>
          </cell>
        </row>
        <row r="17">
          <cell r="B17">
            <v>87149990157</v>
          </cell>
          <cell r="C17" t="str">
            <v>腳踏車用座管及上下管</v>
          </cell>
          <cell r="D17" t="str">
            <v>Seat tube, top tube and down tube of bicycles</v>
          </cell>
          <cell r="E17">
            <v>7501793</v>
          </cell>
          <cell r="F17">
            <v>185664</v>
          </cell>
          <cell r="G17">
            <v>0</v>
          </cell>
        </row>
        <row r="18">
          <cell r="B18">
            <v>87149610004</v>
          </cell>
          <cell r="C18" t="str">
            <v>踏板及其零件</v>
          </cell>
          <cell r="D18" t="str">
            <v>Pedals and parts thereof</v>
          </cell>
          <cell r="E18">
            <v>6477167</v>
          </cell>
          <cell r="F18">
            <v>269520</v>
          </cell>
          <cell r="G18">
            <v>0</v>
          </cell>
        </row>
        <row r="19">
          <cell r="B19">
            <v>87149990166</v>
          </cell>
          <cell r="C19" t="str">
            <v>腳踏車用把手</v>
          </cell>
          <cell r="D19" t="str">
            <v>Handle-bar of bicycles</v>
          </cell>
          <cell r="E19">
            <v>5809977</v>
          </cell>
          <cell r="F19">
            <v>174343</v>
          </cell>
          <cell r="G19">
            <v>0</v>
          </cell>
        </row>
        <row r="20">
          <cell r="B20">
            <v>87149310007</v>
          </cell>
          <cell r="C20" t="str">
            <v>輪轂，但倒煞車輪轂及輪轂煞車除外</v>
          </cell>
          <cell r="D20" t="str">
            <v>Hubs, other than coaster braking hubs and hub brakes</v>
          </cell>
          <cell r="E20">
            <v>5363523</v>
          </cell>
          <cell r="F20">
            <v>115291</v>
          </cell>
          <cell r="G20">
            <v>0</v>
          </cell>
        </row>
        <row r="21">
          <cell r="B21">
            <v>87149500007</v>
          </cell>
          <cell r="C21" t="str">
            <v>腳踏車車座</v>
          </cell>
          <cell r="D21" t="str">
            <v>Saddles of cycles</v>
          </cell>
          <cell r="E21">
            <v>4248166</v>
          </cell>
          <cell r="F21">
            <v>168086</v>
          </cell>
          <cell r="G21">
            <v>0</v>
          </cell>
        </row>
        <row r="22">
          <cell r="B22">
            <v>87149990148</v>
          </cell>
          <cell r="C22" t="str">
            <v>腳踏車用把手豎管</v>
          </cell>
          <cell r="D22" t="str">
            <v>Handle-bar stems of bicycles</v>
          </cell>
          <cell r="E22">
            <v>3415152</v>
          </cell>
          <cell r="F22">
            <v>97617</v>
          </cell>
          <cell r="G22">
            <v>0</v>
          </cell>
        </row>
        <row r="23">
          <cell r="B23">
            <v>87149200108</v>
          </cell>
          <cell r="C23" t="str">
            <v>輪圈</v>
          </cell>
          <cell r="D23" t="str">
            <v>Wheel rims</v>
          </cell>
          <cell r="E23">
            <v>3271632</v>
          </cell>
          <cell r="F23">
            <v>152723</v>
          </cell>
          <cell r="G23">
            <v>285594</v>
          </cell>
        </row>
        <row r="24">
          <cell r="B24">
            <v>87149410006</v>
          </cell>
          <cell r="C24" t="str">
            <v>鋼?煞車器及其零件</v>
          </cell>
          <cell r="D24" t="str">
            <v>Caliper brake, and parts thereof</v>
          </cell>
          <cell r="E24">
            <v>907515</v>
          </cell>
          <cell r="F24">
            <v>34676</v>
          </cell>
          <cell r="G24">
            <v>0</v>
          </cell>
        </row>
        <row r="25">
          <cell r="B25">
            <v>87149200206</v>
          </cell>
          <cell r="C25" t="str">
            <v>輪幅</v>
          </cell>
          <cell r="D25" t="str">
            <v>Wheel spokes</v>
          </cell>
          <cell r="E25">
            <v>740780</v>
          </cell>
          <cell r="F25">
            <v>57348</v>
          </cell>
          <cell r="G25">
            <v>7116132</v>
          </cell>
        </row>
        <row r="26">
          <cell r="B26">
            <v>87149420004</v>
          </cell>
          <cell r="C26" t="str">
            <v>倒煞車輪轂及其零件</v>
          </cell>
          <cell r="D26" t="str">
            <v>Coaster braking hub and parts thereof</v>
          </cell>
          <cell r="E26">
            <v>652548</v>
          </cell>
          <cell r="F26">
            <v>10715</v>
          </cell>
          <cell r="G26">
            <v>0</v>
          </cell>
        </row>
        <row r="27">
          <cell r="B27">
            <v>87149990139</v>
          </cell>
          <cell r="C27" t="str">
            <v>腳踏車用軸心</v>
          </cell>
          <cell r="D27" t="str">
            <v>Axle of bicycles</v>
          </cell>
          <cell r="E27">
            <v>369249</v>
          </cell>
          <cell r="F27">
            <v>19954</v>
          </cell>
          <cell r="G27">
            <v>0</v>
          </cell>
        </row>
        <row r="28">
          <cell r="B28">
            <v>87149910001</v>
          </cell>
          <cell r="C28" t="str">
            <v>邊車零件</v>
          </cell>
          <cell r="D28" t="str">
            <v>Parts for side cars</v>
          </cell>
          <cell r="E28">
            <v>185784</v>
          </cell>
          <cell r="F28">
            <v>17106</v>
          </cell>
          <cell r="G28">
            <v>0</v>
          </cell>
        </row>
        <row r="29">
          <cell r="B29">
            <v>87149920009</v>
          </cell>
          <cell r="C29" t="str">
            <v>車輛用反光片、帶</v>
          </cell>
          <cell r="D29" t="str">
            <v>Reflective sheets and bands, suitable for vehicles use</v>
          </cell>
          <cell r="E29">
            <v>146505</v>
          </cell>
          <cell r="F29">
            <v>9888</v>
          </cell>
          <cell r="G29">
            <v>0</v>
          </cell>
        </row>
        <row r="30">
          <cell r="B30">
            <v>87149320103</v>
          </cell>
          <cell r="C30" t="str">
            <v>裝有棘輪機構之單一鏈輪　</v>
          </cell>
          <cell r="D30" t="str">
            <v>Single sprocket-wheel, fitted with ratchet mechanism</v>
          </cell>
          <cell r="E30">
            <v>112385</v>
          </cell>
          <cell r="F30">
            <v>2902</v>
          </cell>
          <cell r="G30">
            <v>0</v>
          </cell>
        </row>
        <row r="31">
          <cell r="B31">
            <v>85121010001</v>
          </cell>
          <cell r="C31" t="str">
            <v>腳踏車用電氣照明設備</v>
          </cell>
          <cell r="D31" t="str">
            <v>Electrical lighting equipment of a kind used on bicycles</v>
          </cell>
          <cell r="E31">
            <v>1586599</v>
          </cell>
          <cell r="F31">
            <v>12696</v>
          </cell>
          <cell r="G31">
            <v>83660</v>
          </cell>
        </row>
        <row r="32">
          <cell r="B32">
            <v>85121020009</v>
          </cell>
          <cell r="C32" t="str">
            <v>腳踏車用視覺信號設備</v>
          </cell>
          <cell r="D32" t="str">
            <v>Electrical visual signalling equipment of a kind use on bicycles</v>
          </cell>
          <cell r="E32">
            <v>1139215</v>
          </cell>
          <cell r="F32">
            <v>6291</v>
          </cell>
          <cell r="G32">
            <v>70276</v>
          </cell>
        </row>
        <row r="33">
          <cell r="B33">
            <v>73151100209</v>
          </cell>
          <cell r="C33" t="str">
            <v>腳踏車用滾子鏈</v>
          </cell>
          <cell r="D33" t="str">
            <v>Roller chain of bicycles</v>
          </cell>
          <cell r="E33">
            <v>3442350</v>
          </cell>
          <cell r="F33">
            <v>138043</v>
          </cell>
          <cell r="G33">
            <v>0</v>
          </cell>
        </row>
        <row r="34">
          <cell r="B34">
            <v>40115000008</v>
          </cell>
          <cell r="C34" t="str">
            <v>新橡膠氣胎，腳踏車用</v>
          </cell>
          <cell r="D34" t="str">
            <v>New pneumatic tyres, of rubber, of a kind used on bicycles</v>
          </cell>
          <cell r="E34">
            <v>8735653</v>
          </cell>
          <cell r="F34">
            <v>472158</v>
          </cell>
          <cell r="G34">
            <v>635377</v>
          </cell>
        </row>
        <row r="35">
          <cell r="B35">
            <v>40132000003</v>
          </cell>
          <cell r="C35" t="str">
            <v>橡膠內胎，腳踏車用</v>
          </cell>
          <cell r="D35" t="str">
            <v>Inner tubes, of rubber, of a kind used on bicycles</v>
          </cell>
          <cell r="E35">
            <v>897120</v>
          </cell>
          <cell r="F35">
            <v>78649</v>
          </cell>
          <cell r="G35">
            <v>444795</v>
          </cell>
        </row>
      </sheetData>
      <sheetData sheetId="1">
        <row r="11">
          <cell r="B11">
            <v>87149120007</v>
          </cell>
        </row>
      </sheetData>
      <sheetData sheetId="2">
        <row r="11">
          <cell r="B11">
            <v>87149120007</v>
          </cell>
        </row>
      </sheetData>
      <sheetData sheetId="3">
        <row r="11">
          <cell r="B11">
            <v>87149120007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9">
          <cell r="A9" t="str">
            <v>中文名稱</v>
          </cell>
          <cell r="B9" t="str">
            <v>2024年01至02月
出口金額($US)</v>
          </cell>
          <cell r="C9" t="str">
            <v>2024年01至02月
出口數量</v>
          </cell>
        </row>
        <row r="10">
          <cell r="A10" t="str">
            <v>總計</v>
          </cell>
          <cell r="B10">
            <v>159829904</v>
          </cell>
          <cell r="C10">
            <v>146191</v>
          </cell>
        </row>
        <row r="11">
          <cell r="A11" t="str">
            <v>美國</v>
          </cell>
          <cell r="B11">
            <v>43912705</v>
          </cell>
          <cell r="C11">
            <v>47233</v>
          </cell>
        </row>
        <row r="12">
          <cell r="A12" t="str">
            <v>荷蘭</v>
          </cell>
          <cell r="B12">
            <v>26672998</v>
          </cell>
          <cell r="C12">
            <v>16022</v>
          </cell>
        </row>
        <row r="13">
          <cell r="A13" t="str">
            <v>中國大陸</v>
          </cell>
          <cell r="B13">
            <v>22288368</v>
          </cell>
          <cell r="C13">
            <v>17578</v>
          </cell>
        </row>
        <row r="14">
          <cell r="A14" t="str">
            <v>英國</v>
          </cell>
          <cell r="B14">
            <v>8973117</v>
          </cell>
          <cell r="C14">
            <v>7748</v>
          </cell>
        </row>
        <row r="15">
          <cell r="A15" t="str">
            <v>德國</v>
          </cell>
          <cell r="B15">
            <v>8244241</v>
          </cell>
          <cell r="C15">
            <v>10776</v>
          </cell>
        </row>
        <row r="16">
          <cell r="A16" t="str">
            <v>加拿大</v>
          </cell>
          <cell r="B16">
            <v>7035526</v>
          </cell>
          <cell r="C16">
            <v>4868</v>
          </cell>
        </row>
        <row r="17">
          <cell r="A17" t="str">
            <v>日本</v>
          </cell>
          <cell r="B17">
            <v>4968611</v>
          </cell>
          <cell r="C17">
            <v>5659</v>
          </cell>
        </row>
        <row r="18">
          <cell r="A18" t="str">
            <v>澳大利亞</v>
          </cell>
          <cell r="B18">
            <v>4914234</v>
          </cell>
          <cell r="C18">
            <v>4349</v>
          </cell>
        </row>
        <row r="19">
          <cell r="A19" t="str">
            <v>瑞士</v>
          </cell>
          <cell r="B19">
            <v>3671924</v>
          </cell>
          <cell r="C19">
            <v>2308</v>
          </cell>
        </row>
        <row r="20">
          <cell r="A20" t="str">
            <v>挪威</v>
          </cell>
          <cell r="B20">
            <v>3072350</v>
          </cell>
          <cell r="C20">
            <v>4580</v>
          </cell>
        </row>
        <row r="21">
          <cell r="A21" t="str">
            <v>義大利</v>
          </cell>
          <cell r="B21">
            <v>2884073</v>
          </cell>
          <cell r="C21">
            <v>1682</v>
          </cell>
        </row>
        <row r="22">
          <cell r="A22" t="str">
            <v>西班牙</v>
          </cell>
          <cell r="B22">
            <v>2852767</v>
          </cell>
          <cell r="C22">
            <v>1731</v>
          </cell>
        </row>
        <row r="23">
          <cell r="A23" t="str">
            <v>韓國</v>
          </cell>
          <cell r="B23">
            <v>2654382</v>
          </cell>
          <cell r="C23">
            <v>1518</v>
          </cell>
        </row>
        <row r="24">
          <cell r="A24" t="str">
            <v>法國</v>
          </cell>
          <cell r="B24">
            <v>2523924</v>
          </cell>
          <cell r="C24">
            <v>1332</v>
          </cell>
        </row>
        <row r="25">
          <cell r="A25" t="str">
            <v>瑞典</v>
          </cell>
          <cell r="B25">
            <v>1666161</v>
          </cell>
          <cell r="C25">
            <v>4026</v>
          </cell>
        </row>
        <row r="26">
          <cell r="A26" t="str">
            <v>比利時</v>
          </cell>
          <cell r="B26">
            <v>1623560</v>
          </cell>
          <cell r="C26">
            <v>1949</v>
          </cell>
        </row>
        <row r="27">
          <cell r="A27" t="str">
            <v>俄羅斯</v>
          </cell>
          <cell r="B27">
            <v>1214600</v>
          </cell>
          <cell r="C27">
            <v>1126</v>
          </cell>
        </row>
        <row r="28">
          <cell r="A28" t="str">
            <v>捷克</v>
          </cell>
          <cell r="B28">
            <v>1059734</v>
          </cell>
          <cell r="C28">
            <v>1351</v>
          </cell>
        </row>
        <row r="29">
          <cell r="A29" t="str">
            <v>波蘭</v>
          </cell>
          <cell r="B29">
            <v>785023</v>
          </cell>
          <cell r="C29">
            <v>933</v>
          </cell>
        </row>
        <row r="30">
          <cell r="A30" t="str">
            <v>巴西</v>
          </cell>
          <cell r="B30">
            <v>715142</v>
          </cell>
          <cell r="C30">
            <v>500</v>
          </cell>
        </row>
        <row r="31">
          <cell r="A31" t="str">
            <v>巴拿馬</v>
          </cell>
          <cell r="B31">
            <v>714064</v>
          </cell>
          <cell r="C31">
            <v>378</v>
          </cell>
        </row>
        <row r="32">
          <cell r="A32" t="str">
            <v>墨西哥</v>
          </cell>
          <cell r="B32">
            <v>684428</v>
          </cell>
          <cell r="C32">
            <v>729</v>
          </cell>
        </row>
        <row r="33">
          <cell r="A33" t="str">
            <v>南非</v>
          </cell>
          <cell r="B33">
            <v>642620</v>
          </cell>
          <cell r="C33">
            <v>306</v>
          </cell>
        </row>
        <row r="34">
          <cell r="A34" t="str">
            <v>紐西蘭</v>
          </cell>
          <cell r="B34">
            <v>607846</v>
          </cell>
          <cell r="C34">
            <v>446</v>
          </cell>
        </row>
        <row r="35">
          <cell r="A35" t="str">
            <v>哥倫比亞</v>
          </cell>
          <cell r="B35">
            <v>532628</v>
          </cell>
          <cell r="C35">
            <v>342</v>
          </cell>
        </row>
        <row r="36">
          <cell r="A36" t="str">
            <v>智利</v>
          </cell>
          <cell r="B36">
            <v>511227</v>
          </cell>
          <cell r="C36">
            <v>402</v>
          </cell>
        </row>
        <row r="37">
          <cell r="A37" t="str">
            <v>新加坡</v>
          </cell>
          <cell r="B37">
            <v>510790</v>
          </cell>
          <cell r="C37">
            <v>272</v>
          </cell>
        </row>
        <row r="38">
          <cell r="A38" t="str">
            <v>斯洛維尼亞</v>
          </cell>
          <cell r="B38">
            <v>454288</v>
          </cell>
          <cell r="C38">
            <v>364</v>
          </cell>
        </row>
        <row r="39">
          <cell r="A39" t="str">
            <v>泰國</v>
          </cell>
          <cell r="B39">
            <v>373990</v>
          </cell>
          <cell r="C39">
            <v>210</v>
          </cell>
        </row>
        <row r="40">
          <cell r="A40" t="str">
            <v>香港</v>
          </cell>
          <cell r="B40">
            <v>293189</v>
          </cell>
          <cell r="C40">
            <v>204</v>
          </cell>
        </row>
        <row r="41">
          <cell r="A41" t="str">
            <v>阿拉伯聯合大公國</v>
          </cell>
          <cell r="B41">
            <v>267796</v>
          </cell>
          <cell r="C41">
            <v>460</v>
          </cell>
        </row>
        <row r="42">
          <cell r="A42" t="str">
            <v>阿根廷</v>
          </cell>
          <cell r="B42">
            <v>265585</v>
          </cell>
          <cell r="C42">
            <v>182</v>
          </cell>
        </row>
        <row r="43">
          <cell r="A43" t="str">
            <v>馬來西亞</v>
          </cell>
          <cell r="B43">
            <v>240413</v>
          </cell>
          <cell r="C43">
            <v>125</v>
          </cell>
        </row>
        <row r="44">
          <cell r="A44" t="str">
            <v>印度</v>
          </cell>
          <cell r="B44">
            <v>236986</v>
          </cell>
          <cell r="C44">
            <v>225</v>
          </cell>
        </row>
        <row r="45">
          <cell r="A45" t="str">
            <v>菲律賓</v>
          </cell>
          <cell r="B45">
            <v>200478</v>
          </cell>
          <cell r="C45">
            <v>234</v>
          </cell>
        </row>
        <row r="46">
          <cell r="A46" t="str">
            <v>匈牙利</v>
          </cell>
          <cell r="B46">
            <v>190660</v>
          </cell>
          <cell r="C46">
            <v>250</v>
          </cell>
        </row>
        <row r="47">
          <cell r="A47" t="str">
            <v>丹麥</v>
          </cell>
          <cell r="B47">
            <v>188013</v>
          </cell>
          <cell r="C47">
            <v>2427</v>
          </cell>
        </row>
        <row r="48">
          <cell r="A48" t="str">
            <v>哥斯大黎加</v>
          </cell>
          <cell r="B48">
            <v>168855</v>
          </cell>
          <cell r="C48">
            <v>88</v>
          </cell>
        </row>
        <row r="49">
          <cell r="A49" t="str">
            <v>模里西斯</v>
          </cell>
          <cell r="B49">
            <v>160413</v>
          </cell>
          <cell r="C49">
            <v>126</v>
          </cell>
        </row>
        <row r="50">
          <cell r="A50" t="str">
            <v>關島</v>
          </cell>
          <cell r="B50">
            <v>107395</v>
          </cell>
          <cell r="C50">
            <v>42</v>
          </cell>
        </row>
        <row r="51">
          <cell r="A51" t="str">
            <v>瓜地馬拉</v>
          </cell>
          <cell r="B51">
            <v>102409</v>
          </cell>
          <cell r="C51">
            <v>80</v>
          </cell>
        </row>
        <row r="52">
          <cell r="A52" t="str">
            <v>波多黎各</v>
          </cell>
          <cell r="B52">
            <v>87597</v>
          </cell>
          <cell r="C52">
            <v>70</v>
          </cell>
        </row>
        <row r="53">
          <cell r="A53" t="str">
            <v>秘魯</v>
          </cell>
          <cell r="B53">
            <v>81383</v>
          </cell>
          <cell r="C53">
            <v>43</v>
          </cell>
        </row>
        <row r="54">
          <cell r="A54" t="str">
            <v>薩爾瓦多</v>
          </cell>
          <cell r="B54">
            <v>66459</v>
          </cell>
          <cell r="C54">
            <v>41</v>
          </cell>
        </row>
        <row r="55">
          <cell r="A55" t="str">
            <v>烏拉圭</v>
          </cell>
          <cell r="B55">
            <v>65184</v>
          </cell>
          <cell r="C55">
            <v>44</v>
          </cell>
        </row>
        <row r="56">
          <cell r="A56" t="str">
            <v>愛沙尼亞</v>
          </cell>
          <cell r="B56">
            <v>60855</v>
          </cell>
          <cell r="C56">
            <v>292</v>
          </cell>
        </row>
        <row r="57">
          <cell r="A57" t="str">
            <v>越南</v>
          </cell>
          <cell r="B57">
            <v>58131</v>
          </cell>
          <cell r="C57">
            <v>49</v>
          </cell>
        </row>
        <row r="58">
          <cell r="A58" t="str">
            <v>卡達</v>
          </cell>
          <cell r="B58">
            <v>35476</v>
          </cell>
          <cell r="C58">
            <v>33</v>
          </cell>
        </row>
        <row r="59">
          <cell r="A59" t="str">
            <v>多明尼加</v>
          </cell>
          <cell r="B59">
            <v>30973</v>
          </cell>
          <cell r="C59">
            <v>23</v>
          </cell>
        </row>
        <row r="60">
          <cell r="A60" t="str">
            <v>尼泊爾</v>
          </cell>
          <cell r="B60">
            <v>30527</v>
          </cell>
          <cell r="C60">
            <v>18</v>
          </cell>
        </row>
        <row r="61">
          <cell r="A61" t="str">
            <v>土耳其</v>
          </cell>
          <cell r="B61">
            <v>26650</v>
          </cell>
          <cell r="C61">
            <v>16</v>
          </cell>
        </row>
        <row r="62">
          <cell r="A62" t="str">
            <v>法屬玻里尼西亞</v>
          </cell>
          <cell r="B62">
            <v>18330</v>
          </cell>
          <cell r="C62">
            <v>100</v>
          </cell>
        </row>
        <row r="63">
          <cell r="A63" t="str">
            <v>印尼</v>
          </cell>
          <cell r="B63">
            <v>17756</v>
          </cell>
          <cell r="C63">
            <v>32</v>
          </cell>
        </row>
        <row r="64">
          <cell r="A64" t="str">
            <v>賽普勒斯</v>
          </cell>
          <cell r="B64">
            <v>17159</v>
          </cell>
          <cell r="C64">
            <v>128</v>
          </cell>
        </row>
        <row r="65">
          <cell r="A65" t="str">
            <v>烏克蘭</v>
          </cell>
          <cell r="B65">
            <v>16677</v>
          </cell>
          <cell r="C65">
            <v>90</v>
          </cell>
        </row>
        <row r="66">
          <cell r="A66" t="str">
            <v>黎巴嫩</v>
          </cell>
          <cell r="B66">
            <v>10743</v>
          </cell>
          <cell r="C66">
            <v>24</v>
          </cell>
        </row>
        <row r="67">
          <cell r="A67" t="str">
            <v>葡萄牙</v>
          </cell>
          <cell r="B67">
            <v>7294</v>
          </cell>
          <cell r="C67">
            <v>3</v>
          </cell>
        </row>
        <row r="68">
          <cell r="A68" t="str">
            <v>冰島</v>
          </cell>
          <cell r="B68">
            <v>6535</v>
          </cell>
          <cell r="C68">
            <v>4</v>
          </cell>
        </row>
        <row r="69">
          <cell r="A69" t="str">
            <v>芬蘭</v>
          </cell>
          <cell r="B69">
            <v>3570</v>
          </cell>
          <cell r="C69">
            <v>9</v>
          </cell>
        </row>
        <row r="70">
          <cell r="A70" t="str">
            <v>奧地利</v>
          </cell>
          <cell r="B70">
            <v>611</v>
          </cell>
          <cell r="C70">
            <v>1</v>
          </cell>
        </row>
        <row r="71">
          <cell r="A71" t="str">
            <v>蘇利南</v>
          </cell>
          <cell r="B71">
            <v>289</v>
          </cell>
          <cell r="C71">
            <v>1</v>
          </cell>
        </row>
        <row r="72">
          <cell r="A72" t="str">
            <v>伊拉克</v>
          </cell>
          <cell r="B72">
            <v>96</v>
          </cell>
          <cell r="C72">
            <v>3</v>
          </cell>
        </row>
        <row r="73">
          <cell r="A73" t="str">
            <v>甘比亞</v>
          </cell>
          <cell r="B73">
            <v>64</v>
          </cell>
          <cell r="C73">
            <v>2</v>
          </cell>
        </row>
        <row r="74">
          <cell r="A74" t="str">
            <v>迦納</v>
          </cell>
          <cell r="B74">
            <v>32</v>
          </cell>
          <cell r="C74">
            <v>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  <sheetName val="折同"/>
      <sheetName val="折"/>
      <sheetName val="電同"/>
      <sheetName val="電"/>
      <sheetName val="折出"/>
      <sheetName val="折出同"/>
      <sheetName val="電出"/>
      <sheetName val="電出同"/>
      <sheetName val="202301"/>
    </sheetNames>
    <sheetDataSet>
      <sheetData sheetId="0">
        <row r="10">
          <cell r="B10" t="str">
            <v>總計</v>
          </cell>
        </row>
        <row r="11">
          <cell r="C11" t="str">
            <v>美國</v>
          </cell>
          <cell r="D11">
            <v>46688469</v>
          </cell>
          <cell r="E11">
            <v>47446</v>
          </cell>
        </row>
        <row r="12">
          <cell r="C12" t="str">
            <v>荷蘭</v>
          </cell>
          <cell r="D12">
            <v>22492749</v>
          </cell>
          <cell r="E12">
            <v>20352</v>
          </cell>
        </row>
        <row r="13">
          <cell r="C13" t="str">
            <v>澳大利亞</v>
          </cell>
          <cell r="D13">
            <v>9472448</v>
          </cell>
          <cell r="E13">
            <v>6564</v>
          </cell>
        </row>
        <row r="14">
          <cell r="C14" t="str">
            <v>英國</v>
          </cell>
          <cell r="D14">
            <v>7936304</v>
          </cell>
          <cell r="E14">
            <v>11699</v>
          </cell>
        </row>
        <row r="15">
          <cell r="C15" t="str">
            <v>加拿大</v>
          </cell>
          <cell r="D15">
            <v>7442615</v>
          </cell>
          <cell r="E15">
            <v>5903</v>
          </cell>
        </row>
        <row r="16">
          <cell r="C16" t="str">
            <v>中國大陸</v>
          </cell>
          <cell r="D16">
            <v>6956764</v>
          </cell>
          <cell r="E16">
            <v>8772</v>
          </cell>
        </row>
        <row r="17">
          <cell r="C17" t="str">
            <v>德國</v>
          </cell>
          <cell r="D17">
            <v>5630719</v>
          </cell>
          <cell r="E17">
            <v>12264</v>
          </cell>
        </row>
        <row r="18">
          <cell r="C18" t="str">
            <v>日本</v>
          </cell>
          <cell r="D18">
            <v>5216766</v>
          </cell>
          <cell r="E18">
            <v>5610</v>
          </cell>
        </row>
        <row r="19">
          <cell r="C19" t="str">
            <v>法國</v>
          </cell>
          <cell r="D19">
            <v>4657126</v>
          </cell>
          <cell r="E19">
            <v>6102</v>
          </cell>
        </row>
        <row r="20">
          <cell r="C20" t="str">
            <v>比利時</v>
          </cell>
          <cell r="D20">
            <v>4005163</v>
          </cell>
          <cell r="E20">
            <v>1884</v>
          </cell>
        </row>
        <row r="21">
          <cell r="C21" t="str">
            <v>韓國</v>
          </cell>
          <cell r="D21">
            <v>3744934</v>
          </cell>
          <cell r="E21">
            <v>3797</v>
          </cell>
        </row>
        <row r="22">
          <cell r="C22" t="str">
            <v>義大利</v>
          </cell>
          <cell r="D22">
            <v>3185035</v>
          </cell>
          <cell r="E22">
            <v>1500</v>
          </cell>
        </row>
        <row r="23">
          <cell r="C23" t="str">
            <v>西班牙</v>
          </cell>
          <cell r="D23">
            <v>3017123</v>
          </cell>
          <cell r="E23">
            <v>3784</v>
          </cell>
        </row>
        <row r="24">
          <cell r="C24" t="str">
            <v>紐西蘭</v>
          </cell>
          <cell r="D24">
            <v>2489574</v>
          </cell>
          <cell r="E24">
            <v>1622</v>
          </cell>
        </row>
        <row r="25">
          <cell r="C25" t="str">
            <v>挪威</v>
          </cell>
          <cell r="D25">
            <v>2083857</v>
          </cell>
          <cell r="E25">
            <v>7229</v>
          </cell>
        </row>
        <row r="26">
          <cell r="C26" t="str">
            <v>墨西哥</v>
          </cell>
          <cell r="D26">
            <v>1993103</v>
          </cell>
          <cell r="E26">
            <v>1354</v>
          </cell>
        </row>
        <row r="27">
          <cell r="C27" t="str">
            <v>巴拿馬</v>
          </cell>
          <cell r="D27">
            <v>1449510</v>
          </cell>
          <cell r="E27">
            <v>692</v>
          </cell>
        </row>
        <row r="28">
          <cell r="C28" t="str">
            <v>瑞士</v>
          </cell>
          <cell r="D28">
            <v>1391535</v>
          </cell>
          <cell r="E28">
            <v>1324</v>
          </cell>
        </row>
        <row r="29">
          <cell r="C29" t="str">
            <v>智利</v>
          </cell>
          <cell r="D29">
            <v>1253497</v>
          </cell>
          <cell r="E29">
            <v>884</v>
          </cell>
        </row>
        <row r="30">
          <cell r="C30" t="str">
            <v>南非</v>
          </cell>
          <cell r="D30">
            <v>1215230</v>
          </cell>
          <cell r="E30">
            <v>510</v>
          </cell>
        </row>
        <row r="31">
          <cell r="C31" t="str">
            <v>巴西</v>
          </cell>
          <cell r="D31">
            <v>1186145</v>
          </cell>
          <cell r="E31">
            <v>783</v>
          </cell>
        </row>
        <row r="32">
          <cell r="C32" t="str">
            <v>波蘭</v>
          </cell>
          <cell r="D32">
            <v>1098009</v>
          </cell>
          <cell r="E32">
            <v>2149</v>
          </cell>
        </row>
        <row r="33">
          <cell r="C33" t="str">
            <v>以色列</v>
          </cell>
          <cell r="D33">
            <v>780978</v>
          </cell>
          <cell r="E33">
            <v>615</v>
          </cell>
        </row>
        <row r="34">
          <cell r="C34" t="str">
            <v>秘魯</v>
          </cell>
          <cell r="D34">
            <v>767156</v>
          </cell>
          <cell r="E34">
            <v>314</v>
          </cell>
        </row>
        <row r="35">
          <cell r="C35" t="str">
            <v>新加坡</v>
          </cell>
          <cell r="D35">
            <v>688073</v>
          </cell>
          <cell r="E35">
            <v>340</v>
          </cell>
        </row>
        <row r="36">
          <cell r="C36" t="str">
            <v>哥倫比亞</v>
          </cell>
          <cell r="D36">
            <v>620327</v>
          </cell>
          <cell r="E36">
            <v>222</v>
          </cell>
        </row>
        <row r="37">
          <cell r="C37" t="str">
            <v>捷克</v>
          </cell>
          <cell r="D37">
            <v>590720</v>
          </cell>
          <cell r="E37">
            <v>942</v>
          </cell>
        </row>
        <row r="38">
          <cell r="C38" t="str">
            <v>瑞典</v>
          </cell>
          <cell r="D38">
            <v>544477</v>
          </cell>
          <cell r="E38">
            <v>3426</v>
          </cell>
        </row>
        <row r="39">
          <cell r="C39" t="str">
            <v>芬蘭</v>
          </cell>
          <cell r="D39">
            <v>424085</v>
          </cell>
          <cell r="E39">
            <v>893</v>
          </cell>
        </row>
        <row r="40">
          <cell r="C40" t="str">
            <v>馬來西亞</v>
          </cell>
          <cell r="D40">
            <v>391894</v>
          </cell>
          <cell r="E40">
            <v>218</v>
          </cell>
        </row>
        <row r="41">
          <cell r="C41" t="str">
            <v>丹麥</v>
          </cell>
          <cell r="D41">
            <v>374510</v>
          </cell>
          <cell r="E41">
            <v>810</v>
          </cell>
        </row>
        <row r="42">
          <cell r="C42" t="str">
            <v>泰國</v>
          </cell>
          <cell r="D42">
            <v>361241</v>
          </cell>
          <cell r="E42">
            <v>219</v>
          </cell>
        </row>
        <row r="43">
          <cell r="C43" t="str">
            <v>香港</v>
          </cell>
          <cell r="D43">
            <v>319706</v>
          </cell>
          <cell r="E43">
            <v>248</v>
          </cell>
        </row>
        <row r="44">
          <cell r="C44" t="str">
            <v>匈牙利</v>
          </cell>
          <cell r="D44">
            <v>236602</v>
          </cell>
          <cell r="E44">
            <v>467</v>
          </cell>
        </row>
        <row r="45">
          <cell r="C45" t="str">
            <v>厄瓜多</v>
          </cell>
          <cell r="D45">
            <v>168006</v>
          </cell>
          <cell r="E45">
            <v>158</v>
          </cell>
        </row>
        <row r="46">
          <cell r="C46" t="str">
            <v>烏拉圭</v>
          </cell>
          <cell r="D46">
            <v>144869</v>
          </cell>
          <cell r="E46">
            <v>130</v>
          </cell>
        </row>
        <row r="47">
          <cell r="C47" t="str">
            <v>菲律賓</v>
          </cell>
          <cell r="D47">
            <v>141636</v>
          </cell>
          <cell r="E47">
            <v>151</v>
          </cell>
        </row>
        <row r="48">
          <cell r="C48" t="str">
            <v>阿拉伯聯合大公國</v>
          </cell>
          <cell r="D48">
            <v>129020</v>
          </cell>
          <cell r="E48">
            <v>90</v>
          </cell>
        </row>
        <row r="49">
          <cell r="C49" t="str">
            <v>哥斯大黎加</v>
          </cell>
          <cell r="D49">
            <v>126078</v>
          </cell>
          <cell r="E49">
            <v>73</v>
          </cell>
        </row>
        <row r="50">
          <cell r="C50" t="str">
            <v>愛沙尼亞</v>
          </cell>
          <cell r="D50">
            <v>80752</v>
          </cell>
          <cell r="E50">
            <v>236</v>
          </cell>
        </row>
        <row r="51">
          <cell r="C51" t="str">
            <v>奧地利</v>
          </cell>
          <cell r="D51">
            <v>73725</v>
          </cell>
          <cell r="E51">
            <v>29</v>
          </cell>
        </row>
        <row r="52">
          <cell r="C52" t="str">
            <v>蒙古</v>
          </cell>
          <cell r="D52">
            <v>67418</v>
          </cell>
          <cell r="E52">
            <v>61</v>
          </cell>
        </row>
        <row r="53">
          <cell r="C53" t="str">
            <v>克羅埃西亞</v>
          </cell>
          <cell r="D53">
            <v>65785</v>
          </cell>
          <cell r="E53">
            <v>323</v>
          </cell>
        </row>
        <row r="54">
          <cell r="C54" t="str">
            <v>薩爾瓦多</v>
          </cell>
          <cell r="D54">
            <v>56046</v>
          </cell>
          <cell r="E54">
            <v>47</v>
          </cell>
        </row>
        <row r="55">
          <cell r="C55" t="str">
            <v>越南</v>
          </cell>
          <cell r="D55">
            <v>50849</v>
          </cell>
          <cell r="E55">
            <v>24</v>
          </cell>
        </row>
        <row r="56">
          <cell r="C56" t="str">
            <v>印度</v>
          </cell>
          <cell r="D56">
            <v>39412</v>
          </cell>
          <cell r="E56">
            <v>22</v>
          </cell>
        </row>
        <row r="57">
          <cell r="C57" t="str">
            <v>希臘</v>
          </cell>
          <cell r="D57">
            <v>35523</v>
          </cell>
          <cell r="E57">
            <v>98</v>
          </cell>
        </row>
        <row r="58">
          <cell r="C58" t="str">
            <v>瓜地馬拉</v>
          </cell>
          <cell r="D58">
            <v>27451</v>
          </cell>
          <cell r="E58">
            <v>16</v>
          </cell>
        </row>
        <row r="59">
          <cell r="C59" t="str">
            <v>印尼</v>
          </cell>
          <cell r="D59">
            <v>25850</v>
          </cell>
          <cell r="E59">
            <v>9</v>
          </cell>
        </row>
        <row r="60">
          <cell r="C60" t="str">
            <v>俄羅斯</v>
          </cell>
          <cell r="D60">
            <v>24967</v>
          </cell>
          <cell r="E60">
            <v>20</v>
          </cell>
        </row>
        <row r="61">
          <cell r="C61" t="str">
            <v>模里西斯</v>
          </cell>
          <cell r="D61">
            <v>9150</v>
          </cell>
          <cell r="E61">
            <v>3</v>
          </cell>
        </row>
        <row r="62">
          <cell r="C62" t="str">
            <v>盧森堡</v>
          </cell>
          <cell r="D62">
            <v>7582</v>
          </cell>
          <cell r="E62">
            <v>2</v>
          </cell>
        </row>
        <row r="63">
          <cell r="C63" t="str">
            <v>東加</v>
          </cell>
          <cell r="D63">
            <v>6536</v>
          </cell>
          <cell r="E63">
            <v>60</v>
          </cell>
        </row>
        <row r="64">
          <cell r="C64" t="str">
            <v>新克里多亞</v>
          </cell>
          <cell r="D64">
            <v>6438</v>
          </cell>
          <cell r="E64">
            <v>2</v>
          </cell>
        </row>
        <row r="65">
          <cell r="C65" t="str">
            <v>阿根廷</v>
          </cell>
          <cell r="D65">
            <v>3562</v>
          </cell>
          <cell r="E65">
            <v>1</v>
          </cell>
        </row>
      </sheetData>
      <sheetData sheetId="1">
        <row r="2">
          <cell r="B2" t="str">
            <v>總計</v>
          </cell>
        </row>
      </sheetData>
      <sheetData sheetId="2">
        <row r="2">
          <cell r="B2" t="str">
            <v>總計</v>
          </cell>
        </row>
      </sheetData>
      <sheetData sheetId="3">
        <row r="2">
          <cell r="B2" t="str">
            <v>總計</v>
          </cell>
        </row>
        <row r="3">
          <cell r="C3" t="str">
            <v>美國</v>
          </cell>
          <cell r="D3" t="str">
            <v>United States</v>
          </cell>
          <cell r="E3">
            <v>44739526</v>
          </cell>
          <cell r="F3">
            <v>46688469</v>
          </cell>
          <cell r="G3">
            <v>72176</v>
          </cell>
          <cell r="H3">
            <v>47446</v>
          </cell>
        </row>
        <row r="4">
          <cell r="C4" t="str">
            <v>荷蘭</v>
          </cell>
          <cell r="D4" t="str">
            <v>Netherlands</v>
          </cell>
          <cell r="E4">
            <v>10839495</v>
          </cell>
          <cell r="F4">
            <v>22492749</v>
          </cell>
          <cell r="G4">
            <v>10482</v>
          </cell>
          <cell r="H4">
            <v>20352</v>
          </cell>
        </row>
        <row r="5">
          <cell r="C5" t="str">
            <v>澳大利亞</v>
          </cell>
          <cell r="D5" t="str">
            <v>Australia</v>
          </cell>
          <cell r="E5">
            <v>8478700</v>
          </cell>
          <cell r="F5">
            <v>9472448</v>
          </cell>
          <cell r="G5">
            <v>10980</v>
          </cell>
          <cell r="H5">
            <v>6564</v>
          </cell>
        </row>
        <row r="6">
          <cell r="C6" t="str">
            <v>英國</v>
          </cell>
          <cell r="D6" t="str">
            <v>United Kingdom</v>
          </cell>
          <cell r="E6">
            <v>5857504</v>
          </cell>
          <cell r="F6">
            <v>7936304</v>
          </cell>
          <cell r="G6">
            <v>11331</v>
          </cell>
          <cell r="H6">
            <v>11699</v>
          </cell>
        </row>
        <row r="7">
          <cell r="C7" t="str">
            <v>加拿大</v>
          </cell>
          <cell r="D7" t="str">
            <v>Canada</v>
          </cell>
          <cell r="E7">
            <v>3458264</v>
          </cell>
          <cell r="F7">
            <v>7442615</v>
          </cell>
          <cell r="G7">
            <v>3785</v>
          </cell>
          <cell r="H7">
            <v>5903</v>
          </cell>
        </row>
        <row r="8">
          <cell r="C8" t="str">
            <v>中國大陸</v>
          </cell>
          <cell r="D8" t="str">
            <v>China</v>
          </cell>
          <cell r="E8">
            <v>1787811</v>
          </cell>
          <cell r="F8">
            <v>6956764</v>
          </cell>
          <cell r="G8">
            <v>1350</v>
          </cell>
          <cell r="H8">
            <v>8772</v>
          </cell>
        </row>
        <row r="9">
          <cell r="C9" t="str">
            <v>德國</v>
          </cell>
          <cell r="D9" t="str">
            <v>Germany</v>
          </cell>
          <cell r="E9">
            <v>1312370</v>
          </cell>
          <cell r="F9">
            <v>5630719</v>
          </cell>
          <cell r="G9">
            <v>5061</v>
          </cell>
          <cell r="H9">
            <v>12264</v>
          </cell>
        </row>
        <row r="10">
          <cell r="C10" t="str">
            <v>日本</v>
          </cell>
          <cell r="D10" t="str">
            <v>Japan</v>
          </cell>
          <cell r="E10">
            <v>3803361</v>
          </cell>
          <cell r="F10">
            <v>5216766</v>
          </cell>
          <cell r="G10">
            <v>4494</v>
          </cell>
          <cell r="H10">
            <v>5610</v>
          </cell>
        </row>
        <row r="11">
          <cell r="C11" t="str">
            <v>法國</v>
          </cell>
          <cell r="D11" t="str">
            <v>France</v>
          </cell>
          <cell r="E11">
            <v>822168</v>
          </cell>
          <cell r="F11">
            <v>4657126</v>
          </cell>
          <cell r="G11">
            <v>942</v>
          </cell>
          <cell r="H11">
            <v>6102</v>
          </cell>
        </row>
        <row r="12">
          <cell r="C12" t="str">
            <v>比利時</v>
          </cell>
          <cell r="D12" t="str">
            <v>Belgium</v>
          </cell>
          <cell r="E12">
            <v>4924735</v>
          </cell>
          <cell r="F12">
            <v>4005163</v>
          </cell>
          <cell r="G12">
            <v>9228</v>
          </cell>
          <cell r="H12">
            <v>1884</v>
          </cell>
        </row>
        <row r="13">
          <cell r="C13" t="str">
            <v>韓國</v>
          </cell>
          <cell r="D13" t="str">
            <v>Republic of Korea</v>
          </cell>
          <cell r="E13">
            <v>5397723</v>
          </cell>
          <cell r="F13">
            <v>3744934</v>
          </cell>
          <cell r="G13">
            <v>4901</v>
          </cell>
          <cell r="H13">
            <v>3797</v>
          </cell>
        </row>
        <row r="14">
          <cell r="C14" t="str">
            <v>義大利</v>
          </cell>
          <cell r="D14" t="str">
            <v>Italy</v>
          </cell>
          <cell r="E14">
            <v>1878010</v>
          </cell>
          <cell r="F14">
            <v>3185035</v>
          </cell>
          <cell r="G14">
            <v>1258</v>
          </cell>
          <cell r="H14">
            <v>1500</v>
          </cell>
        </row>
        <row r="15">
          <cell r="C15" t="str">
            <v>西班牙</v>
          </cell>
          <cell r="D15" t="str">
            <v>Spain</v>
          </cell>
          <cell r="E15">
            <v>48715</v>
          </cell>
          <cell r="F15">
            <v>3017123</v>
          </cell>
          <cell r="G15">
            <v>164</v>
          </cell>
          <cell r="H15">
            <v>3784</v>
          </cell>
        </row>
        <row r="16">
          <cell r="C16" t="str">
            <v>紐西蘭</v>
          </cell>
          <cell r="D16" t="str">
            <v>New Zealand</v>
          </cell>
          <cell r="E16">
            <v>2259492</v>
          </cell>
          <cell r="F16">
            <v>2489574</v>
          </cell>
          <cell r="G16">
            <v>1889</v>
          </cell>
          <cell r="H16">
            <v>1622</v>
          </cell>
        </row>
        <row r="17">
          <cell r="C17" t="str">
            <v>挪威</v>
          </cell>
          <cell r="D17" t="str">
            <v>Norway</v>
          </cell>
          <cell r="E17">
            <v>571538</v>
          </cell>
          <cell r="F17">
            <v>2083857</v>
          </cell>
          <cell r="G17">
            <v>598</v>
          </cell>
          <cell r="H17">
            <v>7229</v>
          </cell>
        </row>
        <row r="18">
          <cell r="C18" t="str">
            <v>墨西哥</v>
          </cell>
          <cell r="D18" t="str">
            <v>Mexico</v>
          </cell>
          <cell r="E18">
            <v>840037</v>
          </cell>
          <cell r="F18">
            <v>1993103</v>
          </cell>
          <cell r="G18">
            <v>861</v>
          </cell>
          <cell r="H18">
            <v>1354</v>
          </cell>
        </row>
        <row r="19">
          <cell r="C19" t="str">
            <v>巴拿馬</v>
          </cell>
          <cell r="D19" t="str">
            <v>Panama</v>
          </cell>
          <cell r="E19">
            <v>430670</v>
          </cell>
          <cell r="F19">
            <v>1449510</v>
          </cell>
          <cell r="G19">
            <v>302</v>
          </cell>
          <cell r="H19">
            <v>692</v>
          </cell>
        </row>
        <row r="20">
          <cell r="C20" t="str">
            <v>瑞士</v>
          </cell>
          <cell r="D20" t="str">
            <v>Switzerland</v>
          </cell>
          <cell r="E20">
            <v>1740505</v>
          </cell>
          <cell r="F20">
            <v>1391535</v>
          </cell>
          <cell r="G20">
            <v>999</v>
          </cell>
          <cell r="H20">
            <v>1324</v>
          </cell>
        </row>
        <row r="21">
          <cell r="C21" t="str">
            <v>智利</v>
          </cell>
          <cell r="D21" t="str">
            <v>Chile</v>
          </cell>
          <cell r="E21">
            <v>759565</v>
          </cell>
          <cell r="F21">
            <v>1253497</v>
          </cell>
          <cell r="G21">
            <v>628</v>
          </cell>
          <cell r="H21">
            <v>884</v>
          </cell>
        </row>
        <row r="22">
          <cell r="C22" t="str">
            <v>南非</v>
          </cell>
          <cell r="D22" t="str">
            <v>South Africa</v>
          </cell>
          <cell r="E22">
            <v>1410597</v>
          </cell>
          <cell r="F22">
            <v>1215230</v>
          </cell>
          <cell r="G22">
            <v>996</v>
          </cell>
          <cell r="H22">
            <v>510</v>
          </cell>
        </row>
        <row r="23">
          <cell r="C23" t="str">
            <v>巴西</v>
          </cell>
          <cell r="D23" t="str">
            <v>Brazil</v>
          </cell>
          <cell r="E23">
            <v>123798</v>
          </cell>
          <cell r="F23">
            <v>1186145</v>
          </cell>
          <cell r="G23">
            <v>136</v>
          </cell>
          <cell r="H23">
            <v>783</v>
          </cell>
        </row>
        <row r="24">
          <cell r="C24" t="str">
            <v>波蘭</v>
          </cell>
          <cell r="D24" t="str">
            <v>Poland</v>
          </cell>
          <cell r="E24">
            <v>216168</v>
          </cell>
          <cell r="F24">
            <v>1098009</v>
          </cell>
          <cell r="G24">
            <v>822</v>
          </cell>
          <cell r="H24">
            <v>2149</v>
          </cell>
        </row>
        <row r="25">
          <cell r="C25" t="str">
            <v>以色列</v>
          </cell>
          <cell r="D25" t="str">
            <v>Israel</v>
          </cell>
          <cell r="E25">
            <v>950016</v>
          </cell>
          <cell r="F25">
            <v>780978</v>
          </cell>
          <cell r="G25">
            <v>647</v>
          </cell>
          <cell r="H25">
            <v>615</v>
          </cell>
        </row>
        <row r="26">
          <cell r="C26" t="str">
            <v>秘魯</v>
          </cell>
          <cell r="D26" t="str">
            <v>Peru</v>
          </cell>
          <cell r="E26">
            <v>5570</v>
          </cell>
          <cell r="F26">
            <v>767156</v>
          </cell>
          <cell r="G26">
            <v>11</v>
          </cell>
          <cell r="H26">
            <v>314</v>
          </cell>
        </row>
        <row r="27">
          <cell r="C27" t="str">
            <v>新加坡</v>
          </cell>
          <cell r="D27" t="str">
            <v>Singapore</v>
          </cell>
          <cell r="E27">
            <v>1464050</v>
          </cell>
          <cell r="F27">
            <v>688073</v>
          </cell>
          <cell r="G27">
            <v>1146</v>
          </cell>
          <cell r="H27">
            <v>340</v>
          </cell>
        </row>
        <row r="28">
          <cell r="C28" t="str">
            <v>哥倫比亞</v>
          </cell>
          <cell r="D28" t="str">
            <v>Colombia</v>
          </cell>
          <cell r="E28">
            <v>646148</v>
          </cell>
          <cell r="F28">
            <v>620327</v>
          </cell>
          <cell r="G28">
            <v>530</v>
          </cell>
          <cell r="H28">
            <v>222</v>
          </cell>
        </row>
        <row r="29">
          <cell r="C29" t="str">
            <v>捷克</v>
          </cell>
          <cell r="D29" t="str">
            <v>Czech Republic</v>
          </cell>
          <cell r="E29">
            <v>53780</v>
          </cell>
          <cell r="F29">
            <v>590720</v>
          </cell>
          <cell r="G29">
            <v>248</v>
          </cell>
          <cell r="H29">
            <v>942</v>
          </cell>
        </row>
        <row r="30">
          <cell r="C30" t="str">
            <v>瑞典</v>
          </cell>
          <cell r="D30" t="str">
            <v>Sweden</v>
          </cell>
          <cell r="E30">
            <v>631357</v>
          </cell>
          <cell r="F30">
            <v>544477</v>
          </cell>
          <cell r="G30">
            <v>2618</v>
          </cell>
          <cell r="H30">
            <v>3426</v>
          </cell>
        </row>
        <row r="31">
          <cell r="C31" t="str">
            <v>芬蘭</v>
          </cell>
          <cell r="D31" t="str">
            <v>Finland</v>
          </cell>
          <cell r="E31">
            <v>223834</v>
          </cell>
          <cell r="F31">
            <v>424085</v>
          </cell>
          <cell r="G31">
            <v>460</v>
          </cell>
          <cell r="H31">
            <v>893</v>
          </cell>
        </row>
        <row r="32">
          <cell r="C32" t="str">
            <v>馬來西亞</v>
          </cell>
          <cell r="D32" t="str">
            <v>Malaysia</v>
          </cell>
          <cell r="E32">
            <v>513887</v>
          </cell>
          <cell r="F32">
            <v>391894</v>
          </cell>
          <cell r="G32">
            <v>347</v>
          </cell>
          <cell r="H32">
            <v>218</v>
          </cell>
        </row>
        <row r="33">
          <cell r="C33" t="str">
            <v>丹麥</v>
          </cell>
          <cell r="D33" t="str">
            <v>Denmark</v>
          </cell>
          <cell r="E33">
            <v>702207</v>
          </cell>
          <cell r="F33">
            <v>374510</v>
          </cell>
          <cell r="G33">
            <v>2301</v>
          </cell>
          <cell r="H33">
            <v>810</v>
          </cell>
        </row>
        <row r="34">
          <cell r="C34" t="str">
            <v>泰國</v>
          </cell>
          <cell r="D34" t="str">
            <v>Thailand</v>
          </cell>
          <cell r="E34">
            <v>445786</v>
          </cell>
          <cell r="F34">
            <v>361241</v>
          </cell>
          <cell r="G34">
            <v>271</v>
          </cell>
          <cell r="H34">
            <v>219</v>
          </cell>
        </row>
        <row r="35">
          <cell r="C35" t="str">
            <v>香港</v>
          </cell>
          <cell r="D35" t="str">
            <v>Hong Kong</v>
          </cell>
          <cell r="E35">
            <v>628064</v>
          </cell>
          <cell r="F35">
            <v>319706</v>
          </cell>
          <cell r="G35">
            <v>483</v>
          </cell>
          <cell r="H35">
            <v>248</v>
          </cell>
        </row>
        <row r="36">
          <cell r="C36" t="str">
            <v>匈牙利</v>
          </cell>
          <cell r="D36" t="str">
            <v>Hungary</v>
          </cell>
          <cell r="E36">
            <v>6510</v>
          </cell>
          <cell r="F36">
            <v>236602</v>
          </cell>
          <cell r="G36">
            <v>41</v>
          </cell>
          <cell r="H36">
            <v>467</v>
          </cell>
        </row>
        <row r="37">
          <cell r="C37" t="str">
            <v>厄瓜多</v>
          </cell>
          <cell r="D37" t="str">
            <v>Ecuador</v>
          </cell>
          <cell r="E37">
            <v>75407</v>
          </cell>
          <cell r="F37">
            <v>168006</v>
          </cell>
          <cell r="G37">
            <v>98</v>
          </cell>
          <cell r="H37">
            <v>158</v>
          </cell>
        </row>
        <row r="38">
          <cell r="C38" t="str">
            <v>烏拉圭</v>
          </cell>
          <cell r="D38" t="str">
            <v>Uruguay</v>
          </cell>
          <cell r="E38">
            <v>91139</v>
          </cell>
          <cell r="F38">
            <v>144869</v>
          </cell>
          <cell r="G38">
            <v>70</v>
          </cell>
          <cell r="H38">
            <v>130</v>
          </cell>
        </row>
        <row r="39">
          <cell r="C39" t="str">
            <v>菲律賓</v>
          </cell>
          <cell r="D39" t="str">
            <v>Philippines</v>
          </cell>
          <cell r="E39">
            <v>86653</v>
          </cell>
          <cell r="F39">
            <v>141636</v>
          </cell>
          <cell r="G39">
            <v>153</v>
          </cell>
          <cell r="H39">
            <v>151</v>
          </cell>
        </row>
        <row r="40">
          <cell r="C40" t="str">
            <v>阿拉伯聯合大公國</v>
          </cell>
          <cell r="D40" t="str">
            <v>United Arab Emirates</v>
          </cell>
          <cell r="E40">
            <v>16528</v>
          </cell>
          <cell r="F40">
            <v>129020</v>
          </cell>
          <cell r="G40">
            <v>7</v>
          </cell>
          <cell r="H40">
            <v>90</v>
          </cell>
        </row>
        <row r="41">
          <cell r="C41" t="str">
            <v>哥斯大黎加</v>
          </cell>
          <cell r="D41" t="str">
            <v>Costa Rica</v>
          </cell>
          <cell r="E41">
            <v>452224</v>
          </cell>
          <cell r="F41">
            <v>126078</v>
          </cell>
          <cell r="G41">
            <v>322</v>
          </cell>
          <cell r="H41">
            <v>73</v>
          </cell>
        </row>
        <row r="42">
          <cell r="C42" t="str">
            <v>愛沙尼亞</v>
          </cell>
          <cell r="D42" t="str">
            <v>Estonia</v>
          </cell>
          <cell r="E42">
            <v>5533</v>
          </cell>
          <cell r="F42">
            <v>80752</v>
          </cell>
          <cell r="G42">
            <v>58</v>
          </cell>
          <cell r="H42">
            <v>236</v>
          </cell>
        </row>
        <row r="43">
          <cell r="C43" t="str">
            <v>奧地利</v>
          </cell>
          <cell r="D43" t="str">
            <v>Austria</v>
          </cell>
          <cell r="E43">
            <v>312405</v>
          </cell>
          <cell r="F43">
            <v>73725</v>
          </cell>
          <cell r="G43">
            <v>367</v>
          </cell>
          <cell r="H43">
            <v>29</v>
          </cell>
        </row>
        <row r="44">
          <cell r="C44" t="str">
            <v>蒙古</v>
          </cell>
          <cell r="D44" t="str">
            <v>Mongolia</v>
          </cell>
          <cell r="E44">
            <v>0</v>
          </cell>
          <cell r="F44">
            <v>67418</v>
          </cell>
          <cell r="G44">
            <v>0</v>
          </cell>
          <cell r="H44">
            <v>61</v>
          </cell>
        </row>
        <row r="45">
          <cell r="C45" t="str">
            <v>克羅埃西亞</v>
          </cell>
          <cell r="D45" t="str">
            <v>Croatia</v>
          </cell>
          <cell r="E45">
            <v>56854</v>
          </cell>
          <cell r="F45">
            <v>65785</v>
          </cell>
          <cell r="G45">
            <v>345</v>
          </cell>
          <cell r="H45">
            <v>323</v>
          </cell>
        </row>
        <row r="46">
          <cell r="C46" t="str">
            <v>薩爾瓦多</v>
          </cell>
          <cell r="D46" t="str">
            <v>El Salvador</v>
          </cell>
          <cell r="E46">
            <v>0</v>
          </cell>
          <cell r="F46">
            <v>56046</v>
          </cell>
          <cell r="G46">
            <v>0</v>
          </cell>
          <cell r="H46">
            <v>47</v>
          </cell>
        </row>
        <row r="47">
          <cell r="C47" t="str">
            <v>越南</v>
          </cell>
          <cell r="D47" t="str">
            <v>Viet Nam</v>
          </cell>
          <cell r="E47">
            <v>16745</v>
          </cell>
          <cell r="F47">
            <v>50849</v>
          </cell>
          <cell r="G47">
            <v>9</v>
          </cell>
          <cell r="H47">
            <v>24</v>
          </cell>
        </row>
        <row r="48">
          <cell r="C48" t="str">
            <v>印度</v>
          </cell>
          <cell r="D48" t="str">
            <v>India</v>
          </cell>
          <cell r="E48">
            <v>137396</v>
          </cell>
          <cell r="F48">
            <v>39412</v>
          </cell>
          <cell r="G48">
            <v>103</v>
          </cell>
          <cell r="H48">
            <v>22</v>
          </cell>
        </row>
        <row r="49">
          <cell r="C49" t="str">
            <v>希臘</v>
          </cell>
          <cell r="D49" t="str">
            <v>Greece</v>
          </cell>
          <cell r="E49">
            <v>29078</v>
          </cell>
          <cell r="F49">
            <v>35523</v>
          </cell>
          <cell r="G49">
            <v>374</v>
          </cell>
          <cell r="H49">
            <v>98</v>
          </cell>
        </row>
        <row r="50">
          <cell r="C50" t="str">
            <v>瓜地馬拉</v>
          </cell>
          <cell r="D50" t="str">
            <v>Guatemala</v>
          </cell>
          <cell r="E50">
            <v>61483</v>
          </cell>
          <cell r="F50">
            <v>27451</v>
          </cell>
          <cell r="G50">
            <v>51</v>
          </cell>
          <cell r="H50">
            <v>16</v>
          </cell>
        </row>
        <row r="51">
          <cell r="C51" t="str">
            <v>印尼</v>
          </cell>
          <cell r="D51" t="str">
            <v>Indonesia</v>
          </cell>
          <cell r="E51">
            <v>869655</v>
          </cell>
          <cell r="F51">
            <v>25850</v>
          </cell>
          <cell r="G51">
            <v>704</v>
          </cell>
          <cell r="H51">
            <v>9</v>
          </cell>
        </row>
        <row r="52">
          <cell r="C52" t="str">
            <v>俄羅斯</v>
          </cell>
          <cell r="D52" t="str">
            <v>Russian Federation</v>
          </cell>
          <cell r="E52">
            <v>20976</v>
          </cell>
          <cell r="F52">
            <v>24967</v>
          </cell>
          <cell r="G52">
            <v>130</v>
          </cell>
          <cell r="H52">
            <v>20</v>
          </cell>
        </row>
        <row r="53">
          <cell r="C53" t="str">
            <v>模里西斯</v>
          </cell>
          <cell r="D53" t="str">
            <v>Mauritius</v>
          </cell>
          <cell r="E53">
            <v>0</v>
          </cell>
          <cell r="F53">
            <v>9150</v>
          </cell>
          <cell r="G53">
            <v>0</v>
          </cell>
          <cell r="H53">
            <v>3</v>
          </cell>
        </row>
        <row r="54">
          <cell r="C54" t="str">
            <v>盧森堡</v>
          </cell>
          <cell r="D54" t="str">
            <v>Luxembourg</v>
          </cell>
          <cell r="E54">
            <v>0</v>
          </cell>
          <cell r="F54">
            <v>7582</v>
          </cell>
          <cell r="G54">
            <v>0</v>
          </cell>
          <cell r="H54">
            <v>2</v>
          </cell>
        </row>
        <row r="55">
          <cell r="C55" t="str">
            <v>東加</v>
          </cell>
          <cell r="D55" t="str">
            <v>Tonga</v>
          </cell>
          <cell r="E55">
            <v>0</v>
          </cell>
          <cell r="F55">
            <v>6536</v>
          </cell>
          <cell r="G55">
            <v>0</v>
          </cell>
          <cell r="H55">
            <v>60</v>
          </cell>
        </row>
        <row r="56">
          <cell r="C56" t="str">
            <v>新克里多亞</v>
          </cell>
          <cell r="D56" t="str">
            <v>New Caledonia</v>
          </cell>
          <cell r="E56">
            <v>0</v>
          </cell>
          <cell r="F56">
            <v>6438</v>
          </cell>
          <cell r="G56">
            <v>0</v>
          </cell>
          <cell r="H56">
            <v>2</v>
          </cell>
        </row>
        <row r="57">
          <cell r="C57" t="str">
            <v>阿根廷</v>
          </cell>
          <cell r="D57" t="str">
            <v>Argentina</v>
          </cell>
          <cell r="E57">
            <v>103327</v>
          </cell>
          <cell r="F57">
            <v>3562</v>
          </cell>
          <cell r="G57">
            <v>80</v>
          </cell>
          <cell r="H57">
            <v>1</v>
          </cell>
        </row>
        <row r="58">
          <cell r="C58" t="str">
            <v>保加利亞</v>
          </cell>
          <cell r="D58" t="str">
            <v>Bulgaria</v>
          </cell>
          <cell r="E58">
            <v>6076</v>
          </cell>
          <cell r="F58">
            <v>0</v>
          </cell>
          <cell r="G58">
            <v>30</v>
          </cell>
          <cell r="H58">
            <v>0</v>
          </cell>
        </row>
        <row r="59">
          <cell r="C59" t="str">
            <v>多明尼加</v>
          </cell>
          <cell r="D59" t="str">
            <v>Dominican Republic</v>
          </cell>
          <cell r="E59">
            <v>47993</v>
          </cell>
          <cell r="F59">
            <v>0</v>
          </cell>
          <cell r="G59">
            <v>41</v>
          </cell>
          <cell r="H59">
            <v>0</v>
          </cell>
        </row>
        <row r="60">
          <cell r="C60" t="str">
            <v>拉脫維亞</v>
          </cell>
          <cell r="D60" t="str">
            <v>Latvia</v>
          </cell>
          <cell r="E60">
            <v>37505</v>
          </cell>
          <cell r="F60">
            <v>0</v>
          </cell>
          <cell r="G60">
            <v>179</v>
          </cell>
          <cell r="H60">
            <v>0</v>
          </cell>
        </row>
        <row r="61">
          <cell r="C61" t="str">
            <v>立陶宛</v>
          </cell>
          <cell r="D61" t="str">
            <v>Lithuania</v>
          </cell>
          <cell r="E61">
            <v>60289</v>
          </cell>
          <cell r="F61">
            <v>0</v>
          </cell>
          <cell r="G61">
            <v>253</v>
          </cell>
          <cell r="H61">
            <v>0</v>
          </cell>
        </row>
        <row r="62">
          <cell r="C62" t="str">
            <v>關島</v>
          </cell>
          <cell r="D62" t="str">
            <v>Guam</v>
          </cell>
          <cell r="E62">
            <v>146619</v>
          </cell>
          <cell r="F62">
            <v>0</v>
          </cell>
          <cell r="G62">
            <v>82</v>
          </cell>
          <cell r="H62">
            <v>0</v>
          </cell>
        </row>
        <row r="63">
          <cell r="C63" t="str">
            <v>尼泊爾</v>
          </cell>
          <cell r="D63" t="str">
            <v>Nepal</v>
          </cell>
          <cell r="E63">
            <v>15262</v>
          </cell>
          <cell r="F63">
            <v>0</v>
          </cell>
          <cell r="G63">
            <v>8</v>
          </cell>
          <cell r="H63">
            <v>0</v>
          </cell>
        </row>
        <row r="64">
          <cell r="C64" t="str">
            <v>馬爾他</v>
          </cell>
          <cell r="D64" t="str">
            <v>Malta</v>
          </cell>
          <cell r="E64">
            <v>9005</v>
          </cell>
          <cell r="F64">
            <v>0</v>
          </cell>
          <cell r="G64">
            <v>52</v>
          </cell>
          <cell r="H64">
            <v>0</v>
          </cell>
        </row>
        <row r="65">
          <cell r="C65" t="str">
            <v>沙烏地阿拉伯</v>
          </cell>
          <cell r="D65" t="str">
            <v>Saudi Arabia</v>
          </cell>
          <cell r="E65">
            <v>66438</v>
          </cell>
          <cell r="F65">
            <v>0</v>
          </cell>
          <cell r="G65">
            <v>380</v>
          </cell>
          <cell r="H65">
            <v>0</v>
          </cell>
        </row>
        <row r="66">
          <cell r="C66" t="str">
            <v>羅馬尼亞</v>
          </cell>
          <cell r="D66" t="str">
            <v>Romania</v>
          </cell>
          <cell r="E66">
            <v>6148</v>
          </cell>
          <cell r="F66">
            <v>0</v>
          </cell>
          <cell r="G66">
            <v>51</v>
          </cell>
          <cell r="H66">
            <v>0</v>
          </cell>
        </row>
        <row r="67">
          <cell r="C67" t="str">
            <v>烏克蘭</v>
          </cell>
          <cell r="D67" t="str">
            <v>Ukraine</v>
          </cell>
          <cell r="E67">
            <v>36817</v>
          </cell>
          <cell r="F67">
            <v>0</v>
          </cell>
          <cell r="G67">
            <v>212</v>
          </cell>
          <cell r="H67">
            <v>0</v>
          </cell>
        </row>
        <row r="68">
          <cell r="C68" t="str">
            <v>斯洛維尼亞</v>
          </cell>
          <cell r="D68" t="str">
            <v>Slovenia</v>
          </cell>
          <cell r="E68">
            <v>10561</v>
          </cell>
          <cell r="F68">
            <v>0</v>
          </cell>
          <cell r="G68">
            <v>55</v>
          </cell>
          <cell r="H68">
            <v>0</v>
          </cell>
        </row>
        <row r="69">
          <cell r="C69" t="str">
            <v>斯洛伐克</v>
          </cell>
          <cell r="D69" t="str">
            <v>Slovakia</v>
          </cell>
          <cell r="E69">
            <v>6221</v>
          </cell>
          <cell r="F69">
            <v>0</v>
          </cell>
          <cell r="G69">
            <v>50</v>
          </cell>
          <cell r="H69">
            <v>0</v>
          </cell>
        </row>
      </sheetData>
      <sheetData sheetId="4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14792</v>
          </cell>
          <cell r="F3">
            <v>226275</v>
          </cell>
          <cell r="G3">
            <v>36</v>
          </cell>
          <cell r="H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213671</v>
          </cell>
          <cell r="F4">
            <v>112941</v>
          </cell>
          <cell r="G4">
            <v>221</v>
          </cell>
          <cell r="H4">
            <v>300</v>
          </cell>
        </row>
        <row r="5">
          <cell r="C5" t="str">
            <v>中國大陸</v>
          </cell>
          <cell r="D5" t="str">
            <v>China</v>
          </cell>
          <cell r="E5">
            <v>0</v>
          </cell>
          <cell r="F5">
            <v>52320</v>
          </cell>
          <cell r="G5">
            <v>0</v>
          </cell>
          <cell r="H5">
            <v>28</v>
          </cell>
        </row>
        <row r="6">
          <cell r="C6" t="str">
            <v>西班牙</v>
          </cell>
          <cell r="D6" t="str">
            <v>Spain</v>
          </cell>
          <cell r="E6">
            <v>0</v>
          </cell>
          <cell r="F6">
            <v>40131</v>
          </cell>
          <cell r="G6">
            <v>0</v>
          </cell>
          <cell r="H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0</v>
          </cell>
          <cell r="F7">
            <v>24967</v>
          </cell>
          <cell r="G7">
            <v>0</v>
          </cell>
          <cell r="H7">
            <v>20</v>
          </cell>
        </row>
        <row r="8">
          <cell r="C8" t="str">
            <v>菲律賓</v>
          </cell>
          <cell r="D8" t="str">
            <v>Philippines</v>
          </cell>
          <cell r="E8">
            <v>2061</v>
          </cell>
          <cell r="F8">
            <v>327</v>
          </cell>
          <cell r="G8">
            <v>6</v>
          </cell>
          <cell r="H8">
            <v>1</v>
          </cell>
        </row>
        <row r="9">
          <cell r="C9" t="str">
            <v>泰國</v>
          </cell>
          <cell r="D9" t="str">
            <v>Thailand</v>
          </cell>
          <cell r="E9">
            <v>0</v>
          </cell>
          <cell r="F9">
            <v>261</v>
          </cell>
          <cell r="G9">
            <v>0</v>
          </cell>
          <cell r="H9">
            <v>5</v>
          </cell>
        </row>
        <row r="10">
          <cell r="C10" t="str">
            <v>美國</v>
          </cell>
          <cell r="D10" t="str">
            <v>United States</v>
          </cell>
          <cell r="E10">
            <v>26112</v>
          </cell>
          <cell r="F10">
            <v>0</v>
          </cell>
          <cell r="G10">
            <v>16</v>
          </cell>
          <cell r="H10">
            <v>0</v>
          </cell>
        </row>
        <row r="11">
          <cell r="C11" t="str">
            <v>奧地利</v>
          </cell>
          <cell r="D11" t="str">
            <v>Austria</v>
          </cell>
          <cell r="E11">
            <v>234105</v>
          </cell>
          <cell r="F11">
            <v>0</v>
          </cell>
          <cell r="G11">
            <v>305</v>
          </cell>
          <cell r="H11">
            <v>0</v>
          </cell>
        </row>
        <row r="12">
          <cell r="C12" t="str">
            <v>新加坡</v>
          </cell>
          <cell r="D12" t="str">
            <v>Singapore</v>
          </cell>
          <cell r="E12">
            <v>61446</v>
          </cell>
          <cell r="F12">
            <v>0</v>
          </cell>
          <cell r="G12">
            <v>151</v>
          </cell>
          <cell r="H12">
            <v>0</v>
          </cell>
        </row>
        <row r="13">
          <cell r="C13" t="str">
            <v>英國</v>
          </cell>
          <cell r="D13" t="str">
            <v>United Kingdom</v>
          </cell>
          <cell r="E13">
            <v>90922</v>
          </cell>
          <cell r="F13">
            <v>0</v>
          </cell>
          <cell r="G13">
            <v>380</v>
          </cell>
          <cell r="H13">
            <v>0</v>
          </cell>
        </row>
        <row r="14">
          <cell r="C14" t="str">
            <v>香港</v>
          </cell>
          <cell r="D14" t="str">
            <v>Hong Kong</v>
          </cell>
          <cell r="E14">
            <v>122604</v>
          </cell>
          <cell r="F14">
            <v>0</v>
          </cell>
          <cell r="G14">
            <v>109</v>
          </cell>
          <cell r="H14">
            <v>0</v>
          </cell>
        </row>
        <row r="15">
          <cell r="C15" t="str">
            <v>馬來西亞</v>
          </cell>
          <cell r="D15" t="str">
            <v>Malaysia</v>
          </cell>
          <cell r="E15">
            <v>99783</v>
          </cell>
          <cell r="F15">
            <v>0</v>
          </cell>
          <cell r="G15">
            <v>78</v>
          </cell>
          <cell r="H15">
            <v>0</v>
          </cell>
        </row>
        <row r="16">
          <cell r="C16" t="str">
            <v>荷蘭</v>
          </cell>
          <cell r="D16" t="str">
            <v>Netherlands</v>
          </cell>
          <cell r="E16">
            <v>23653</v>
          </cell>
          <cell r="F16">
            <v>0</v>
          </cell>
          <cell r="G16">
            <v>59</v>
          </cell>
          <cell r="H16">
            <v>0</v>
          </cell>
        </row>
      </sheetData>
      <sheetData sheetId="5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226275</v>
          </cell>
          <cell r="F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112941</v>
          </cell>
          <cell r="F4">
            <v>300</v>
          </cell>
        </row>
        <row r="5">
          <cell r="C5" t="str">
            <v>中國大陸</v>
          </cell>
          <cell r="D5" t="str">
            <v>China</v>
          </cell>
          <cell r="E5">
            <v>52320</v>
          </cell>
          <cell r="F5">
            <v>28</v>
          </cell>
        </row>
        <row r="6">
          <cell r="C6" t="str">
            <v>西班牙</v>
          </cell>
          <cell r="D6" t="str">
            <v>Spain</v>
          </cell>
          <cell r="E6">
            <v>40131</v>
          </cell>
          <cell r="F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24967</v>
          </cell>
          <cell r="F7">
            <v>20</v>
          </cell>
        </row>
        <row r="8">
          <cell r="C8" t="str">
            <v>菲律賓</v>
          </cell>
          <cell r="D8" t="str">
            <v>Philippines</v>
          </cell>
          <cell r="E8">
            <v>327</v>
          </cell>
          <cell r="F8">
            <v>1</v>
          </cell>
        </row>
        <row r="9">
          <cell r="C9" t="str">
            <v>泰國</v>
          </cell>
          <cell r="D9" t="str">
            <v>Thailand</v>
          </cell>
          <cell r="E9">
            <v>261</v>
          </cell>
          <cell r="F9">
            <v>5</v>
          </cell>
        </row>
      </sheetData>
      <sheetData sheetId="6">
        <row r="2">
          <cell r="B2" t="str">
            <v>總計</v>
          </cell>
        </row>
        <row r="3">
          <cell r="C3" t="str">
            <v>荷蘭</v>
          </cell>
          <cell r="D3" t="str">
            <v>Netherlands</v>
          </cell>
          <cell r="E3">
            <v>27507813</v>
          </cell>
          <cell r="F3">
            <v>59692189</v>
          </cell>
          <cell r="G3">
            <v>21126</v>
          </cell>
        </row>
        <row r="4">
          <cell r="C4" t="str">
            <v>美國</v>
          </cell>
          <cell r="D4" t="str">
            <v>United States</v>
          </cell>
          <cell r="E4">
            <v>47136779</v>
          </cell>
          <cell r="F4">
            <v>36713037</v>
          </cell>
          <cell r="G4">
            <v>30608</v>
          </cell>
        </row>
        <row r="5">
          <cell r="C5" t="str">
            <v>英國</v>
          </cell>
          <cell r="D5" t="str">
            <v>United Kingdom</v>
          </cell>
          <cell r="E5">
            <v>6494141</v>
          </cell>
          <cell r="F5">
            <v>9848953</v>
          </cell>
          <cell r="G5">
            <v>4220</v>
          </cell>
        </row>
        <row r="6">
          <cell r="C6" t="str">
            <v>德國</v>
          </cell>
          <cell r="D6" t="str">
            <v>Germany</v>
          </cell>
          <cell r="E6">
            <v>7604844</v>
          </cell>
          <cell r="F6">
            <v>8690326</v>
          </cell>
          <cell r="G6">
            <v>9631</v>
          </cell>
        </row>
        <row r="7">
          <cell r="C7" t="str">
            <v>加拿大</v>
          </cell>
          <cell r="D7" t="str">
            <v>Canada</v>
          </cell>
          <cell r="E7">
            <v>3307162</v>
          </cell>
          <cell r="F7">
            <v>5956831</v>
          </cell>
          <cell r="G7">
            <v>1594</v>
          </cell>
        </row>
        <row r="8">
          <cell r="C8" t="str">
            <v>法國</v>
          </cell>
          <cell r="D8" t="str">
            <v>France</v>
          </cell>
          <cell r="E8">
            <v>1277360</v>
          </cell>
          <cell r="F8">
            <v>5152909</v>
          </cell>
          <cell r="G8">
            <v>1104</v>
          </cell>
        </row>
        <row r="9">
          <cell r="C9" t="str">
            <v>澳大利亞</v>
          </cell>
          <cell r="D9" t="str">
            <v>Australia</v>
          </cell>
          <cell r="E9">
            <v>2625967</v>
          </cell>
          <cell r="F9">
            <v>4671078</v>
          </cell>
          <cell r="G9">
            <v>1303</v>
          </cell>
        </row>
        <row r="10">
          <cell r="C10" t="str">
            <v>義大利</v>
          </cell>
          <cell r="D10" t="str">
            <v>Italy</v>
          </cell>
          <cell r="E10">
            <v>2313671</v>
          </cell>
          <cell r="F10">
            <v>4128888</v>
          </cell>
          <cell r="G10">
            <v>1087</v>
          </cell>
        </row>
        <row r="11">
          <cell r="C11" t="str">
            <v>瑞士</v>
          </cell>
          <cell r="D11" t="str">
            <v>Switzerland</v>
          </cell>
          <cell r="E11">
            <v>1782459</v>
          </cell>
          <cell r="F11">
            <v>3645098</v>
          </cell>
          <cell r="G11">
            <v>1222</v>
          </cell>
        </row>
        <row r="12">
          <cell r="C12" t="str">
            <v>挪威</v>
          </cell>
          <cell r="D12" t="str">
            <v>Norway</v>
          </cell>
          <cell r="E12">
            <v>53128</v>
          </cell>
          <cell r="F12">
            <v>3406405</v>
          </cell>
          <cell r="G12">
            <v>28</v>
          </cell>
        </row>
        <row r="13">
          <cell r="C13" t="str">
            <v>比利時</v>
          </cell>
          <cell r="D13" t="str">
            <v>Belgium</v>
          </cell>
          <cell r="E13">
            <v>0</v>
          </cell>
          <cell r="F13">
            <v>2645523</v>
          </cell>
          <cell r="G13">
            <v>0</v>
          </cell>
        </row>
        <row r="14">
          <cell r="C14" t="str">
            <v>紐西蘭</v>
          </cell>
          <cell r="D14" t="str">
            <v>New Zealand</v>
          </cell>
          <cell r="E14">
            <v>2256600</v>
          </cell>
          <cell r="F14">
            <v>2334641</v>
          </cell>
          <cell r="G14">
            <v>1010</v>
          </cell>
        </row>
        <row r="15">
          <cell r="C15" t="str">
            <v>奧地利</v>
          </cell>
          <cell r="D15" t="str">
            <v>Austria</v>
          </cell>
          <cell r="E15">
            <v>0</v>
          </cell>
          <cell r="F15">
            <v>2214280</v>
          </cell>
          <cell r="G15">
            <v>0</v>
          </cell>
        </row>
        <row r="16">
          <cell r="C16" t="str">
            <v>西班牙</v>
          </cell>
          <cell r="D16" t="str">
            <v>Spain</v>
          </cell>
          <cell r="E16">
            <v>308318</v>
          </cell>
          <cell r="F16">
            <v>1659510</v>
          </cell>
          <cell r="G16">
            <v>140</v>
          </cell>
        </row>
        <row r="17">
          <cell r="C17" t="str">
            <v>丹麥</v>
          </cell>
          <cell r="D17" t="str">
            <v>Denmark</v>
          </cell>
          <cell r="E17">
            <v>988355</v>
          </cell>
          <cell r="F17">
            <v>1136438</v>
          </cell>
          <cell r="G17">
            <v>730</v>
          </cell>
        </row>
        <row r="18">
          <cell r="C18" t="str">
            <v>韓國</v>
          </cell>
          <cell r="D18" t="str">
            <v>Republic of Korea</v>
          </cell>
          <cell r="E18">
            <v>544449</v>
          </cell>
          <cell r="F18">
            <v>1114968</v>
          </cell>
          <cell r="G18">
            <v>207</v>
          </cell>
        </row>
        <row r="19">
          <cell r="C19" t="str">
            <v>日本</v>
          </cell>
          <cell r="D19" t="str">
            <v>Japan</v>
          </cell>
          <cell r="E19">
            <v>889148</v>
          </cell>
          <cell r="F19">
            <v>847876</v>
          </cell>
          <cell r="G19">
            <v>847</v>
          </cell>
        </row>
        <row r="20">
          <cell r="C20" t="str">
            <v>捷克</v>
          </cell>
          <cell r="D20" t="str">
            <v>Czech Republic</v>
          </cell>
          <cell r="E20">
            <v>53743</v>
          </cell>
          <cell r="F20">
            <v>757450</v>
          </cell>
          <cell r="G20">
            <v>183</v>
          </cell>
        </row>
        <row r="21">
          <cell r="C21" t="str">
            <v>波蘭</v>
          </cell>
          <cell r="D21" t="str">
            <v>Poland</v>
          </cell>
          <cell r="E21">
            <v>266003</v>
          </cell>
          <cell r="F21">
            <v>625327</v>
          </cell>
          <cell r="G21">
            <v>297</v>
          </cell>
        </row>
        <row r="22">
          <cell r="C22" t="str">
            <v>瑞典</v>
          </cell>
          <cell r="D22" t="str">
            <v>Sweden</v>
          </cell>
          <cell r="E22">
            <v>0</v>
          </cell>
          <cell r="F22">
            <v>511894</v>
          </cell>
          <cell r="G22">
            <v>0</v>
          </cell>
        </row>
        <row r="23">
          <cell r="C23" t="str">
            <v>智利</v>
          </cell>
          <cell r="D23" t="str">
            <v>Chile</v>
          </cell>
          <cell r="E23">
            <v>391429</v>
          </cell>
          <cell r="F23">
            <v>392875</v>
          </cell>
          <cell r="G23">
            <v>166</v>
          </cell>
        </row>
        <row r="24">
          <cell r="C24" t="str">
            <v>南非</v>
          </cell>
          <cell r="D24" t="str">
            <v>South Africa</v>
          </cell>
          <cell r="E24">
            <v>262930</v>
          </cell>
          <cell r="F24">
            <v>328039</v>
          </cell>
          <cell r="G24">
            <v>107</v>
          </cell>
        </row>
        <row r="25">
          <cell r="C25" t="str">
            <v>哥倫比亞</v>
          </cell>
          <cell r="D25" t="str">
            <v>Colombia</v>
          </cell>
          <cell r="E25">
            <v>0</v>
          </cell>
          <cell r="F25">
            <v>215654</v>
          </cell>
          <cell r="G25">
            <v>0</v>
          </cell>
        </row>
        <row r="26">
          <cell r="C26" t="str">
            <v>以色列</v>
          </cell>
          <cell r="D26" t="str">
            <v>Israel</v>
          </cell>
          <cell r="E26">
            <v>420977</v>
          </cell>
          <cell r="F26">
            <v>136209</v>
          </cell>
          <cell r="G26">
            <v>148</v>
          </cell>
        </row>
        <row r="27">
          <cell r="C27" t="str">
            <v>芬蘭</v>
          </cell>
          <cell r="D27" t="str">
            <v>Finland</v>
          </cell>
          <cell r="E27">
            <v>164123</v>
          </cell>
          <cell r="F27">
            <v>131961</v>
          </cell>
          <cell r="G27">
            <v>280</v>
          </cell>
        </row>
        <row r="28">
          <cell r="C28" t="str">
            <v>中國大陸</v>
          </cell>
          <cell r="D28" t="str">
            <v>China</v>
          </cell>
          <cell r="E28">
            <v>0</v>
          </cell>
          <cell r="F28">
            <v>108823</v>
          </cell>
          <cell r="G28">
            <v>0</v>
          </cell>
        </row>
        <row r="29">
          <cell r="C29" t="str">
            <v>哥斯大黎加</v>
          </cell>
          <cell r="D29" t="str">
            <v>Costa Rica</v>
          </cell>
          <cell r="E29">
            <v>0</v>
          </cell>
          <cell r="F29">
            <v>36797</v>
          </cell>
          <cell r="G29">
            <v>0</v>
          </cell>
        </row>
        <row r="30">
          <cell r="C30" t="str">
            <v>阿拉伯聯合大公國</v>
          </cell>
          <cell r="D30" t="str">
            <v>United Arab Emirates</v>
          </cell>
          <cell r="E30">
            <v>14069</v>
          </cell>
          <cell r="F30">
            <v>36209</v>
          </cell>
          <cell r="G30">
            <v>16</v>
          </cell>
        </row>
        <row r="31">
          <cell r="C31" t="str">
            <v>巴西</v>
          </cell>
          <cell r="D31" t="str">
            <v>Brazil</v>
          </cell>
          <cell r="E31">
            <v>720072</v>
          </cell>
          <cell r="F31">
            <v>24673</v>
          </cell>
          <cell r="G31">
            <v>263</v>
          </cell>
        </row>
        <row r="32">
          <cell r="C32" t="str">
            <v>菲律賓</v>
          </cell>
          <cell r="D32" t="str">
            <v>Philippines</v>
          </cell>
          <cell r="E32">
            <v>45244</v>
          </cell>
          <cell r="F32">
            <v>2092</v>
          </cell>
          <cell r="G32">
            <v>11</v>
          </cell>
        </row>
        <row r="33">
          <cell r="C33" t="str">
            <v>烏拉圭</v>
          </cell>
          <cell r="D33" t="str">
            <v>Uruguay</v>
          </cell>
          <cell r="E33">
            <v>0</v>
          </cell>
          <cell r="F33">
            <v>1078</v>
          </cell>
          <cell r="G33">
            <v>0</v>
          </cell>
        </row>
        <row r="34">
          <cell r="C34" t="str">
            <v>新加坡</v>
          </cell>
          <cell r="D34" t="str">
            <v>Singapore</v>
          </cell>
          <cell r="E34">
            <v>103146</v>
          </cell>
          <cell r="F34">
            <v>0</v>
          </cell>
          <cell r="G34">
            <v>41</v>
          </cell>
        </row>
        <row r="35">
          <cell r="C35" t="str">
            <v>墨西哥</v>
          </cell>
          <cell r="D35" t="str">
            <v>Mexico</v>
          </cell>
          <cell r="E35">
            <v>927739</v>
          </cell>
          <cell r="F35">
            <v>0</v>
          </cell>
          <cell r="G35">
            <v>375</v>
          </cell>
        </row>
        <row r="36">
          <cell r="C36" t="str">
            <v>馬來西亞</v>
          </cell>
          <cell r="D36" t="str">
            <v>Malaysia</v>
          </cell>
          <cell r="E36">
            <v>109656</v>
          </cell>
          <cell r="F36">
            <v>0</v>
          </cell>
          <cell r="G36">
            <v>37</v>
          </cell>
        </row>
        <row r="37">
          <cell r="C37" t="str">
            <v>巴拿馬</v>
          </cell>
          <cell r="D37" t="str">
            <v>Panama</v>
          </cell>
          <cell r="E37">
            <v>671646</v>
          </cell>
          <cell r="F37">
            <v>0</v>
          </cell>
          <cell r="G37">
            <v>264</v>
          </cell>
        </row>
        <row r="38">
          <cell r="C38" t="str">
            <v>多明尼加</v>
          </cell>
          <cell r="D38" t="str">
            <v>Dominican Republic</v>
          </cell>
          <cell r="E38">
            <v>26763</v>
          </cell>
          <cell r="F38">
            <v>0</v>
          </cell>
          <cell r="G38">
            <v>12</v>
          </cell>
        </row>
      </sheetData>
      <sheetData sheetId="7">
        <row r="2">
          <cell r="B2" t="str">
            <v>總計</v>
          </cell>
        </row>
        <row r="3">
          <cell r="C3" t="str">
            <v>荷蘭</v>
          </cell>
          <cell r="D3" t="str">
            <v>Netherlands</v>
          </cell>
          <cell r="E3">
            <v>59692189</v>
          </cell>
          <cell r="F3">
            <v>41100</v>
          </cell>
        </row>
        <row r="4">
          <cell r="C4" t="str">
            <v>美國</v>
          </cell>
          <cell r="D4" t="str">
            <v>United States</v>
          </cell>
          <cell r="E4">
            <v>36713037</v>
          </cell>
          <cell r="F4">
            <v>18703</v>
          </cell>
        </row>
        <row r="5">
          <cell r="C5" t="str">
            <v>英國</v>
          </cell>
          <cell r="D5" t="str">
            <v>United Kingdom</v>
          </cell>
          <cell r="E5">
            <v>9848953</v>
          </cell>
          <cell r="F5">
            <v>7058</v>
          </cell>
        </row>
        <row r="6">
          <cell r="C6" t="str">
            <v>德國</v>
          </cell>
          <cell r="D6" t="str">
            <v>Germany</v>
          </cell>
          <cell r="E6">
            <v>8690326</v>
          </cell>
          <cell r="F6">
            <v>9435</v>
          </cell>
        </row>
        <row r="7">
          <cell r="C7" t="str">
            <v>加拿大</v>
          </cell>
          <cell r="D7" t="str">
            <v>Canada</v>
          </cell>
          <cell r="E7">
            <v>5956831</v>
          </cell>
          <cell r="F7">
            <v>3053</v>
          </cell>
        </row>
        <row r="8">
          <cell r="C8" t="str">
            <v>法國</v>
          </cell>
          <cell r="D8" t="str">
            <v>France</v>
          </cell>
          <cell r="E8">
            <v>5152909</v>
          </cell>
          <cell r="F8">
            <v>4552</v>
          </cell>
        </row>
        <row r="9">
          <cell r="C9" t="str">
            <v>澳大利亞</v>
          </cell>
          <cell r="D9" t="str">
            <v>Australia</v>
          </cell>
          <cell r="E9">
            <v>4671078</v>
          </cell>
          <cell r="F9">
            <v>2401</v>
          </cell>
        </row>
        <row r="10">
          <cell r="C10" t="str">
            <v>義大利</v>
          </cell>
          <cell r="D10" t="str">
            <v>Italy</v>
          </cell>
          <cell r="E10">
            <v>4128888</v>
          </cell>
          <cell r="F10">
            <v>2133</v>
          </cell>
        </row>
        <row r="11">
          <cell r="C11" t="str">
            <v>瑞士</v>
          </cell>
          <cell r="D11" t="str">
            <v>Switzerland</v>
          </cell>
          <cell r="E11">
            <v>3645098</v>
          </cell>
          <cell r="F11">
            <v>2171</v>
          </cell>
        </row>
        <row r="12">
          <cell r="C12" t="str">
            <v>挪威</v>
          </cell>
          <cell r="D12" t="str">
            <v>Norway</v>
          </cell>
          <cell r="E12">
            <v>3406405</v>
          </cell>
          <cell r="F12">
            <v>2017</v>
          </cell>
        </row>
        <row r="13">
          <cell r="C13" t="str">
            <v>比利時</v>
          </cell>
          <cell r="D13" t="str">
            <v>Belgium</v>
          </cell>
          <cell r="E13">
            <v>2645523</v>
          </cell>
          <cell r="F13">
            <v>935</v>
          </cell>
        </row>
        <row r="14">
          <cell r="C14" t="str">
            <v>紐西蘭</v>
          </cell>
          <cell r="D14" t="str">
            <v>New Zealand</v>
          </cell>
          <cell r="E14">
            <v>2334641</v>
          </cell>
          <cell r="F14">
            <v>1127</v>
          </cell>
        </row>
        <row r="15">
          <cell r="C15" t="str">
            <v>奧地利</v>
          </cell>
          <cell r="D15" t="str">
            <v>Austria</v>
          </cell>
          <cell r="E15">
            <v>2214280</v>
          </cell>
          <cell r="F15">
            <v>1087</v>
          </cell>
        </row>
        <row r="16">
          <cell r="C16" t="str">
            <v>西班牙</v>
          </cell>
          <cell r="D16" t="str">
            <v>Spain</v>
          </cell>
          <cell r="E16">
            <v>1659510</v>
          </cell>
          <cell r="F16">
            <v>1316</v>
          </cell>
        </row>
        <row r="17">
          <cell r="C17" t="str">
            <v>丹麥</v>
          </cell>
          <cell r="D17" t="str">
            <v>Denmark</v>
          </cell>
          <cell r="E17">
            <v>1136438</v>
          </cell>
          <cell r="F17">
            <v>897</v>
          </cell>
        </row>
        <row r="18">
          <cell r="C18" t="str">
            <v>韓國</v>
          </cell>
          <cell r="D18" t="str">
            <v>Republic of Korea</v>
          </cell>
          <cell r="E18">
            <v>1114968</v>
          </cell>
          <cell r="F18">
            <v>515</v>
          </cell>
        </row>
        <row r="19">
          <cell r="C19" t="str">
            <v>日本</v>
          </cell>
          <cell r="D19" t="str">
            <v>Japan</v>
          </cell>
          <cell r="E19">
            <v>847876</v>
          </cell>
          <cell r="F19">
            <v>801</v>
          </cell>
        </row>
        <row r="20">
          <cell r="C20" t="str">
            <v>捷克</v>
          </cell>
          <cell r="D20" t="str">
            <v>Czech Republic</v>
          </cell>
          <cell r="E20">
            <v>757450</v>
          </cell>
          <cell r="F20">
            <v>1061</v>
          </cell>
        </row>
        <row r="21">
          <cell r="C21" t="str">
            <v>波蘭</v>
          </cell>
          <cell r="D21" t="str">
            <v>Poland</v>
          </cell>
          <cell r="E21">
            <v>625327</v>
          </cell>
          <cell r="F21">
            <v>346</v>
          </cell>
        </row>
        <row r="22">
          <cell r="C22" t="str">
            <v>瑞典</v>
          </cell>
          <cell r="D22" t="str">
            <v>Sweden</v>
          </cell>
          <cell r="E22">
            <v>511894</v>
          </cell>
          <cell r="F22">
            <v>1235</v>
          </cell>
        </row>
        <row r="23">
          <cell r="C23" t="str">
            <v>智利</v>
          </cell>
          <cell r="D23" t="str">
            <v>Chile</v>
          </cell>
          <cell r="E23">
            <v>392875</v>
          </cell>
          <cell r="F23">
            <v>157</v>
          </cell>
        </row>
        <row r="24">
          <cell r="C24" t="str">
            <v>南非</v>
          </cell>
          <cell r="D24" t="str">
            <v>South Africa</v>
          </cell>
          <cell r="E24">
            <v>328039</v>
          </cell>
          <cell r="F24">
            <v>147</v>
          </cell>
        </row>
        <row r="25">
          <cell r="C25" t="str">
            <v>哥倫比亞</v>
          </cell>
          <cell r="D25" t="str">
            <v>Colombia</v>
          </cell>
          <cell r="E25">
            <v>215654</v>
          </cell>
          <cell r="F25">
            <v>85</v>
          </cell>
        </row>
        <row r="26">
          <cell r="C26" t="str">
            <v>以色列</v>
          </cell>
          <cell r="D26" t="str">
            <v>Israel</v>
          </cell>
          <cell r="E26">
            <v>136209</v>
          </cell>
          <cell r="F26">
            <v>59</v>
          </cell>
        </row>
        <row r="27">
          <cell r="C27" t="str">
            <v>芬蘭</v>
          </cell>
          <cell r="D27" t="str">
            <v>Finland</v>
          </cell>
          <cell r="E27">
            <v>131961</v>
          </cell>
          <cell r="F27">
            <v>60</v>
          </cell>
        </row>
        <row r="28">
          <cell r="C28" t="str">
            <v>中國大陸</v>
          </cell>
          <cell r="D28" t="str">
            <v>China</v>
          </cell>
          <cell r="E28">
            <v>108823</v>
          </cell>
          <cell r="F28">
            <v>79</v>
          </cell>
        </row>
        <row r="29">
          <cell r="C29" t="str">
            <v>哥斯大黎加</v>
          </cell>
          <cell r="D29" t="str">
            <v>Costa Rica</v>
          </cell>
          <cell r="E29">
            <v>36797</v>
          </cell>
          <cell r="F29">
            <v>18</v>
          </cell>
        </row>
        <row r="30">
          <cell r="C30" t="str">
            <v>阿拉伯聯合大公國</v>
          </cell>
          <cell r="D30" t="str">
            <v>United Arab Emirates</v>
          </cell>
          <cell r="E30">
            <v>36209</v>
          </cell>
          <cell r="F30">
            <v>12</v>
          </cell>
        </row>
        <row r="31">
          <cell r="C31" t="str">
            <v>巴西</v>
          </cell>
          <cell r="D31" t="str">
            <v>Brazil</v>
          </cell>
          <cell r="E31">
            <v>24673</v>
          </cell>
          <cell r="F31">
            <v>13</v>
          </cell>
        </row>
        <row r="32">
          <cell r="C32" t="str">
            <v>菲律賓</v>
          </cell>
          <cell r="D32" t="str">
            <v>Philippines</v>
          </cell>
          <cell r="E32">
            <v>2092</v>
          </cell>
          <cell r="F32">
            <v>1</v>
          </cell>
        </row>
        <row r="33">
          <cell r="C33" t="str">
            <v>烏拉圭</v>
          </cell>
          <cell r="D33" t="str">
            <v>Uruguay</v>
          </cell>
          <cell r="E33">
            <v>1078</v>
          </cell>
          <cell r="F33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261502446</v>
          </cell>
          <cell r="C10">
            <v>277506</v>
          </cell>
        </row>
        <row r="11">
          <cell r="A11" t="str">
            <v>美國</v>
          </cell>
          <cell r="B11">
            <v>82148852</v>
          </cell>
          <cell r="C11">
            <v>82925</v>
          </cell>
        </row>
        <row r="12">
          <cell r="A12" t="str">
            <v>荷蘭</v>
          </cell>
          <cell r="B12">
            <v>37617060</v>
          </cell>
          <cell r="C12">
            <v>32518</v>
          </cell>
        </row>
        <row r="13">
          <cell r="A13" t="str">
            <v>澳大利亞</v>
          </cell>
          <cell r="B13">
            <v>15305572</v>
          </cell>
          <cell r="C13">
            <v>10520</v>
          </cell>
        </row>
        <row r="14">
          <cell r="A14" t="str">
            <v>中國大陸</v>
          </cell>
          <cell r="B14">
            <v>15183200</v>
          </cell>
          <cell r="C14">
            <v>21171</v>
          </cell>
        </row>
        <row r="15">
          <cell r="A15" t="str">
            <v>英國</v>
          </cell>
          <cell r="B15">
            <v>13648463</v>
          </cell>
          <cell r="C15">
            <v>17818</v>
          </cell>
        </row>
        <row r="16">
          <cell r="A16" t="str">
            <v>加拿大</v>
          </cell>
          <cell r="B16">
            <v>10959609</v>
          </cell>
          <cell r="C16">
            <v>8651</v>
          </cell>
        </row>
        <row r="17">
          <cell r="A17" t="str">
            <v>德國</v>
          </cell>
          <cell r="B17">
            <v>10806376</v>
          </cell>
          <cell r="C17">
            <v>21364</v>
          </cell>
        </row>
        <row r="18">
          <cell r="A18" t="str">
            <v>日本</v>
          </cell>
          <cell r="B18">
            <v>8527599</v>
          </cell>
          <cell r="C18">
            <v>9935</v>
          </cell>
        </row>
        <row r="19">
          <cell r="A19" t="str">
            <v>韓國</v>
          </cell>
          <cell r="B19">
            <v>8024396</v>
          </cell>
          <cell r="C19">
            <v>8224</v>
          </cell>
        </row>
        <row r="20">
          <cell r="A20" t="str">
            <v>法國</v>
          </cell>
          <cell r="B20">
            <v>7036457</v>
          </cell>
          <cell r="C20">
            <v>9122</v>
          </cell>
        </row>
        <row r="21">
          <cell r="A21" t="str">
            <v>比利時</v>
          </cell>
          <cell r="B21">
            <v>6439513</v>
          </cell>
          <cell r="C21">
            <v>3204</v>
          </cell>
        </row>
        <row r="22">
          <cell r="A22" t="str">
            <v>義大利</v>
          </cell>
          <cell r="B22">
            <v>5018191</v>
          </cell>
          <cell r="C22">
            <v>2759</v>
          </cell>
        </row>
        <row r="23">
          <cell r="A23" t="str">
            <v>西班牙</v>
          </cell>
          <cell r="B23">
            <v>4422853</v>
          </cell>
          <cell r="C23">
            <v>5106</v>
          </cell>
        </row>
        <row r="24">
          <cell r="A24" t="str">
            <v>瑞士</v>
          </cell>
          <cell r="B24">
            <v>3880548</v>
          </cell>
          <cell r="C24">
            <v>2832</v>
          </cell>
        </row>
        <row r="25">
          <cell r="A25" t="str">
            <v>紐西蘭</v>
          </cell>
          <cell r="B25">
            <v>3278045</v>
          </cell>
          <cell r="C25">
            <v>2200</v>
          </cell>
        </row>
        <row r="26">
          <cell r="A26" t="str">
            <v>巴拿馬</v>
          </cell>
          <cell r="B26">
            <v>3013141</v>
          </cell>
          <cell r="C26">
            <v>1395</v>
          </cell>
        </row>
        <row r="27">
          <cell r="A27" t="str">
            <v>挪威</v>
          </cell>
          <cell r="B27">
            <v>2984885</v>
          </cell>
          <cell r="C27">
            <v>9273</v>
          </cell>
        </row>
        <row r="28">
          <cell r="A28" t="str">
            <v>墨西哥</v>
          </cell>
          <cell r="B28">
            <v>2873660</v>
          </cell>
          <cell r="C28">
            <v>1996</v>
          </cell>
        </row>
        <row r="29">
          <cell r="A29" t="str">
            <v>波蘭</v>
          </cell>
          <cell r="B29">
            <v>2038918</v>
          </cell>
          <cell r="C29">
            <v>3691</v>
          </cell>
        </row>
        <row r="30">
          <cell r="A30" t="str">
            <v>南非</v>
          </cell>
          <cell r="B30">
            <v>1964451</v>
          </cell>
          <cell r="C30">
            <v>949</v>
          </cell>
        </row>
        <row r="31">
          <cell r="A31" t="str">
            <v>巴西</v>
          </cell>
          <cell r="B31">
            <v>1906715</v>
          </cell>
          <cell r="C31">
            <v>1219</v>
          </cell>
        </row>
        <row r="32">
          <cell r="A32" t="str">
            <v>智利</v>
          </cell>
          <cell r="B32">
            <v>1731272</v>
          </cell>
          <cell r="C32">
            <v>1161</v>
          </cell>
        </row>
        <row r="33">
          <cell r="A33" t="str">
            <v>新加坡</v>
          </cell>
          <cell r="B33">
            <v>1513212</v>
          </cell>
          <cell r="C33">
            <v>979</v>
          </cell>
        </row>
        <row r="34">
          <cell r="A34" t="str">
            <v>哥倫比亞</v>
          </cell>
          <cell r="B34">
            <v>1274020</v>
          </cell>
          <cell r="C34">
            <v>674</v>
          </cell>
        </row>
        <row r="35">
          <cell r="A35" t="str">
            <v>以色列</v>
          </cell>
          <cell r="B35">
            <v>1152690</v>
          </cell>
          <cell r="C35">
            <v>987</v>
          </cell>
        </row>
        <row r="36">
          <cell r="A36" t="str">
            <v>捷克</v>
          </cell>
          <cell r="B36">
            <v>1059948</v>
          </cell>
          <cell r="C36">
            <v>1697</v>
          </cell>
        </row>
        <row r="37">
          <cell r="A37" t="str">
            <v>秘魯</v>
          </cell>
          <cell r="B37">
            <v>801902</v>
          </cell>
          <cell r="C37">
            <v>337</v>
          </cell>
        </row>
        <row r="38">
          <cell r="A38" t="str">
            <v>瑞典</v>
          </cell>
          <cell r="B38">
            <v>764582</v>
          </cell>
          <cell r="C38">
            <v>5116</v>
          </cell>
        </row>
        <row r="39">
          <cell r="A39" t="str">
            <v>香港</v>
          </cell>
          <cell r="B39">
            <v>747431</v>
          </cell>
          <cell r="C39">
            <v>919</v>
          </cell>
        </row>
        <row r="40">
          <cell r="A40" t="str">
            <v>丹麥</v>
          </cell>
          <cell r="B40">
            <v>681400</v>
          </cell>
          <cell r="C40">
            <v>1721</v>
          </cell>
        </row>
        <row r="41">
          <cell r="A41" t="str">
            <v>馬來西亞</v>
          </cell>
          <cell r="B41">
            <v>586858</v>
          </cell>
          <cell r="C41">
            <v>304</v>
          </cell>
        </row>
        <row r="42">
          <cell r="A42" t="str">
            <v>泰國</v>
          </cell>
          <cell r="B42">
            <v>569687</v>
          </cell>
          <cell r="C42">
            <v>867</v>
          </cell>
        </row>
        <row r="43">
          <cell r="A43" t="str">
            <v>厄瓜多</v>
          </cell>
          <cell r="B43">
            <v>450550</v>
          </cell>
          <cell r="C43">
            <v>481</v>
          </cell>
        </row>
        <row r="44">
          <cell r="A44" t="str">
            <v>芬蘭</v>
          </cell>
          <cell r="B44">
            <v>424085</v>
          </cell>
          <cell r="C44">
            <v>893</v>
          </cell>
        </row>
        <row r="45">
          <cell r="A45" t="str">
            <v>菲律賓</v>
          </cell>
          <cell r="B45">
            <v>360814</v>
          </cell>
          <cell r="C45">
            <v>442</v>
          </cell>
        </row>
        <row r="46">
          <cell r="A46" t="str">
            <v>匈牙利</v>
          </cell>
          <cell r="B46">
            <v>236602</v>
          </cell>
          <cell r="C46">
            <v>467</v>
          </cell>
        </row>
        <row r="47">
          <cell r="A47" t="str">
            <v>俄羅斯</v>
          </cell>
          <cell r="B47">
            <v>220197</v>
          </cell>
          <cell r="C47">
            <v>482</v>
          </cell>
        </row>
        <row r="48">
          <cell r="A48" t="str">
            <v>斯洛維尼亞</v>
          </cell>
          <cell r="B48">
            <v>213117</v>
          </cell>
          <cell r="C48">
            <v>182</v>
          </cell>
        </row>
        <row r="49">
          <cell r="A49" t="str">
            <v>哥斯大黎加</v>
          </cell>
          <cell r="B49">
            <v>195836</v>
          </cell>
          <cell r="C49">
            <v>338</v>
          </cell>
        </row>
        <row r="50">
          <cell r="A50" t="str">
            <v>印度</v>
          </cell>
          <cell r="B50">
            <v>189263</v>
          </cell>
          <cell r="C50">
            <v>284</v>
          </cell>
        </row>
        <row r="51">
          <cell r="A51" t="str">
            <v>愛沙尼亞</v>
          </cell>
          <cell r="B51">
            <v>180553</v>
          </cell>
          <cell r="C51">
            <v>464</v>
          </cell>
        </row>
        <row r="52">
          <cell r="A52" t="str">
            <v>阿拉伯聯合大公國</v>
          </cell>
          <cell r="B52">
            <v>160984</v>
          </cell>
          <cell r="C52">
            <v>202</v>
          </cell>
        </row>
        <row r="53">
          <cell r="A53" t="str">
            <v>烏拉圭</v>
          </cell>
          <cell r="B53">
            <v>144869</v>
          </cell>
          <cell r="C53">
            <v>130</v>
          </cell>
        </row>
        <row r="54">
          <cell r="A54" t="str">
            <v>希臘</v>
          </cell>
          <cell r="B54">
            <v>100346</v>
          </cell>
          <cell r="C54">
            <v>359</v>
          </cell>
        </row>
        <row r="55">
          <cell r="A55" t="str">
            <v>越南</v>
          </cell>
          <cell r="B55">
            <v>81952</v>
          </cell>
          <cell r="C55">
            <v>62</v>
          </cell>
        </row>
        <row r="56">
          <cell r="A56" t="str">
            <v>薩爾瓦多</v>
          </cell>
          <cell r="B56">
            <v>77643</v>
          </cell>
          <cell r="C56">
            <v>65</v>
          </cell>
        </row>
        <row r="57">
          <cell r="A57" t="str">
            <v>奧地利</v>
          </cell>
          <cell r="B57">
            <v>73725</v>
          </cell>
          <cell r="C57">
            <v>29</v>
          </cell>
        </row>
        <row r="58">
          <cell r="A58" t="str">
            <v>印尼</v>
          </cell>
          <cell r="B58">
            <v>71196</v>
          </cell>
          <cell r="C58">
            <v>21</v>
          </cell>
        </row>
        <row r="59">
          <cell r="A59" t="str">
            <v>蒙古</v>
          </cell>
          <cell r="B59">
            <v>67418</v>
          </cell>
          <cell r="C59">
            <v>61</v>
          </cell>
        </row>
        <row r="60">
          <cell r="A60" t="str">
            <v>克羅埃西亞</v>
          </cell>
          <cell r="B60">
            <v>65785</v>
          </cell>
          <cell r="C60">
            <v>323</v>
          </cell>
        </row>
        <row r="61">
          <cell r="A61" t="str">
            <v>波多黎各</v>
          </cell>
          <cell r="B61">
            <v>51938</v>
          </cell>
          <cell r="C61">
            <v>220</v>
          </cell>
        </row>
        <row r="62">
          <cell r="A62" t="str">
            <v>立陶宛</v>
          </cell>
          <cell r="B62">
            <v>45446</v>
          </cell>
          <cell r="C62">
            <v>126</v>
          </cell>
        </row>
        <row r="63">
          <cell r="A63" t="str">
            <v>烏克蘭</v>
          </cell>
          <cell r="B63">
            <v>44021</v>
          </cell>
          <cell r="C63">
            <v>119</v>
          </cell>
        </row>
        <row r="64">
          <cell r="A64" t="str">
            <v>瓜地馬拉</v>
          </cell>
          <cell r="B64">
            <v>27451</v>
          </cell>
          <cell r="C64">
            <v>16</v>
          </cell>
        </row>
        <row r="65">
          <cell r="A65" t="str">
            <v>模里西斯</v>
          </cell>
          <cell r="B65">
            <v>11137</v>
          </cell>
          <cell r="C65">
            <v>4</v>
          </cell>
        </row>
        <row r="66">
          <cell r="A66" t="str">
            <v>汶萊</v>
          </cell>
          <cell r="B66">
            <v>11063</v>
          </cell>
          <cell r="C66">
            <v>7</v>
          </cell>
        </row>
        <row r="67">
          <cell r="A67" t="str">
            <v>卡達</v>
          </cell>
          <cell r="B67">
            <v>10831</v>
          </cell>
          <cell r="C67">
            <v>30</v>
          </cell>
        </row>
        <row r="68">
          <cell r="A68" t="str">
            <v>盧森堡</v>
          </cell>
          <cell r="B68">
            <v>7582</v>
          </cell>
          <cell r="C68">
            <v>2</v>
          </cell>
        </row>
        <row r="69">
          <cell r="A69" t="str">
            <v>東加</v>
          </cell>
          <cell r="B69">
            <v>6536</v>
          </cell>
          <cell r="C69">
            <v>60</v>
          </cell>
        </row>
        <row r="70">
          <cell r="A70" t="str">
            <v>新克里多亞</v>
          </cell>
          <cell r="B70">
            <v>6438</v>
          </cell>
          <cell r="C70">
            <v>2</v>
          </cell>
        </row>
        <row r="71">
          <cell r="A71" t="str">
            <v>阿根廷</v>
          </cell>
          <cell r="B71">
            <v>3562</v>
          </cell>
          <cell r="C71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1434428</v>
          </cell>
          <cell r="C10">
            <v>9953</v>
          </cell>
        </row>
        <row r="11">
          <cell r="A11" t="str">
            <v>中國大陸</v>
          </cell>
          <cell r="B11">
            <v>1025853</v>
          </cell>
          <cell r="C11">
            <v>9741</v>
          </cell>
        </row>
        <row r="12">
          <cell r="A12" t="str">
            <v>柬埔寨</v>
          </cell>
          <cell r="B12">
            <v>105930</v>
          </cell>
          <cell r="C12">
            <v>71</v>
          </cell>
        </row>
        <row r="13">
          <cell r="A13" t="str">
            <v>義大利</v>
          </cell>
          <cell r="B13">
            <v>88333</v>
          </cell>
          <cell r="C13">
            <v>15</v>
          </cell>
        </row>
        <row r="14">
          <cell r="A14" t="str">
            <v>中華民國</v>
          </cell>
          <cell r="B14">
            <v>82116</v>
          </cell>
          <cell r="C14">
            <v>43</v>
          </cell>
        </row>
        <row r="15">
          <cell r="A15" t="str">
            <v>英國</v>
          </cell>
          <cell r="B15">
            <v>55435</v>
          </cell>
          <cell r="C15">
            <v>49</v>
          </cell>
        </row>
        <row r="16">
          <cell r="A16" t="str">
            <v>美國</v>
          </cell>
          <cell r="B16">
            <v>50079</v>
          </cell>
          <cell r="C16">
            <v>18</v>
          </cell>
        </row>
        <row r="17">
          <cell r="A17" t="str">
            <v>德國</v>
          </cell>
          <cell r="B17">
            <v>20179</v>
          </cell>
          <cell r="C17">
            <v>4</v>
          </cell>
        </row>
        <row r="18">
          <cell r="A18" t="str">
            <v>越南</v>
          </cell>
          <cell r="B18">
            <v>2933</v>
          </cell>
          <cell r="C18">
            <v>2</v>
          </cell>
        </row>
        <row r="19">
          <cell r="A19" t="str">
            <v>西班牙</v>
          </cell>
          <cell r="B19">
            <v>2550</v>
          </cell>
          <cell r="C19">
            <v>1</v>
          </cell>
        </row>
        <row r="20">
          <cell r="A20" t="str">
            <v>日本</v>
          </cell>
          <cell r="B20">
            <v>1020</v>
          </cell>
          <cell r="C20">
            <v>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2">
          <cell r="A2" t="str">
            <v>中文名稱</v>
          </cell>
          <cell r="B2" t="str">
            <v>2024年01至02月
進口金額($US)</v>
          </cell>
          <cell r="C2" t="str">
            <v>2024年01至02月
進口數量</v>
          </cell>
        </row>
        <row r="3">
          <cell r="A3" t="str">
            <v>總計</v>
          </cell>
          <cell r="B3">
            <v>5414350</v>
          </cell>
          <cell r="C3">
            <v>40906</v>
          </cell>
        </row>
        <row r="4">
          <cell r="A4" t="str">
            <v>中國大陸</v>
          </cell>
          <cell r="B4">
            <v>4431970</v>
          </cell>
          <cell r="C4">
            <v>40272</v>
          </cell>
        </row>
        <row r="5">
          <cell r="A5" t="str">
            <v>越南</v>
          </cell>
          <cell r="B5">
            <v>300620</v>
          </cell>
          <cell r="C5">
            <v>262</v>
          </cell>
        </row>
        <row r="6">
          <cell r="A6" t="str">
            <v>柬埔寨</v>
          </cell>
          <cell r="B6">
            <v>152524</v>
          </cell>
          <cell r="C6">
            <v>110</v>
          </cell>
        </row>
        <row r="7">
          <cell r="A7" t="str">
            <v>義大利</v>
          </cell>
          <cell r="B7">
            <v>140068</v>
          </cell>
          <cell r="C7">
            <v>31</v>
          </cell>
        </row>
        <row r="8">
          <cell r="A8" t="str">
            <v>中華民國</v>
          </cell>
          <cell r="B8">
            <v>126686</v>
          </cell>
          <cell r="C8">
            <v>67</v>
          </cell>
        </row>
        <row r="9">
          <cell r="A9" t="str">
            <v>英國</v>
          </cell>
          <cell r="B9">
            <v>108777</v>
          </cell>
          <cell r="C9">
            <v>98</v>
          </cell>
        </row>
        <row r="10">
          <cell r="A10" t="str">
            <v>德國</v>
          </cell>
          <cell r="B10">
            <v>86696</v>
          </cell>
          <cell r="C10">
            <v>14</v>
          </cell>
        </row>
        <row r="11">
          <cell r="A11" t="str">
            <v>美國</v>
          </cell>
          <cell r="B11">
            <v>51782</v>
          </cell>
          <cell r="C11">
            <v>19</v>
          </cell>
        </row>
        <row r="12">
          <cell r="A12" t="str">
            <v>日本</v>
          </cell>
          <cell r="B12">
            <v>10428</v>
          </cell>
          <cell r="C12">
            <v>30</v>
          </cell>
        </row>
        <row r="13">
          <cell r="A13" t="str">
            <v>西班牙</v>
          </cell>
          <cell r="B13">
            <v>2550</v>
          </cell>
          <cell r="C13">
            <v>1</v>
          </cell>
        </row>
        <row r="14">
          <cell r="A14" t="str">
            <v>奧地利</v>
          </cell>
          <cell r="B14">
            <v>2024</v>
          </cell>
          <cell r="C14">
            <v>1</v>
          </cell>
        </row>
        <row r="15">
          <cell r="A15" t="str">
            <v>荷蘭</v>
          </cell>
          <cell r="B15">
            <v>225</v>
          </cell>
          <cell r="C1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topLeftCell="A52" zoomScaleNormal="100" workbookViewId="0">
      <selection activeCell="G72" sqref="G72"/>
    </sheetView>
  </sheetViews>
  <sheetFormatPr defaultColWidth="15" defaultRowHeight="16.5"/>
  <cols>
    <col min="1" max="1" width="16.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19.5">
      <c r="A1" s="1" t="s">
        <v>489</v>
      </c>
      <c r="B1" s="2"/>
      <c r="C1" s="2"/>
      <c r="D1" s="3"/>
      <c r="E1" s="2"/>
      <c r="F1" s="2"/>
      <c r="G1" s="2"/>
      <c r="H1" s="2"/>
      <c r="I1" s="3"/>
    </row>
    <row r="2" spans="1:9" ht="17.25" customHeight="1"/>
    <row r="3" spans="1:9" s="7" customFormat="1">
      <c r="A3" s="563" t="s">
        <v>107</v>
      </c>
      <c r="B3" s="564"/>
      <c r="C3" s="564"/>
      <c r="D3" s="564"/>
      <c r="E3" s="564"/>
      <c r="F3" s="564"/>
      <c r="G3" s="564"/>
      <c r="H3" s="564"/>
      <c r="I3" s="565"/>
    </row>
    <row r="4" spans="1:9" s="13" customFormat="1">
      <c r="A4" s="8" t="s">
        <v>490</v>
      </c>
      <c r="B4" s="8" t="s">
        <v>491</v>
      </c>
      <c r="C4" s="8" t="s">
        <v>492</v>
      </c>
      <c r="D4" s="9" t="s">
        <v>0</v>
      </c>
      <c r="E4" s="10" t="s">
        <v>493</v>
      </c>
      <c r="F4" s="11" t="s">
        <v>1</v>
      </c>
      <c r="G4" s="8" t="s">
        <v>494</v>
      </c>
      <c r="H4" s="11" t="s">
        <v>1</v>
      </c>
      <c r="I4" s="12" t="s">
        <v>0</v>
      </c>
    </row>
    <row r="5" spans="1:9" s="13" customFormat="1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3</v>
      </c>
      <c r="H5" s="8"/>
      <c r="I5" s="12" t="s">
        <v>3</v>
      </c>
    </row>
    <row r="6" spans="1:9">
      <c r="A6" s="1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24935</v>
      </c>
      <c r="C7" s="22">
        <f>SUM(C8:C10)</f>
        <v>23275171</v>
      </c>
      <c r="D7" s="23">
        <f>IF(B7,C7/B7,0)</f>
        <v>933.43376779627033</v>
      </c>
      <c r="E7" s="214">
        <f>SUM(E8:E10)</f>
        <v>52830</v>
      </c>
      <c r="F7" s="24">
        <f>E7/$E$67</f>
        <v>0.36137655532830337</v>
      </c>
      <c r="G7" s="21">
        <f>SUM(G8:G10)</f>
        <v>51632659</v>
      </c>
      <c r="H7" s="29">
        <f>G7/$E$67</f>
        <v>353.18630421845393</v>
      </c>
      <c r="I7" s="25">
        <f>IF(E7,G7/E7,0)</f>
        <v>977.33596441415864</v>
      </c>
    </row>
    <row r="8" spans="1:9">
      <c r="A8" s="455" t="s">
        <v>201</v>
      </c>
      <c r="B8" s="27">
        <f>VLOOKUP(A8,[1]進出口值表查詢結果!$A$10:$C$62,3,0)</f>
        <v>21048</v>
      </c>
      <c r="C8" s="28">
        <f>VLOOKUP(A8,[1]進出口值表查詢結果!$A$10:$C$62,2,0)</f>
        <v>17842687</v>
      </c>
      <c r="D8" s="23">
        <f t="shared" ref="D8:D66" si="0">IF(B8,C8/B8,0)</f>
        <v>847.71412960851387</v>
      </c>
      <c r="E8" s="28">
        <f>VLOOKUP(A8,[2]進出口值表查詢結果!$A$9:$C$74,3,0)</f>
        <v>47233</v>
      </c>
      <c r="F8" s="29">
        <f>E8/$E$67</f>
        <v>0.32309102475528589</v>
      </c>
      <c r="G8" s="27">
        <f>VLOOKUP(A8,[2]進出口值表查詢結果!$A$9:$C$74,2,0)</f>
        <v>43912705</v>
      </c>
      <c r="H8" s="29">
        <f>G8/$E$67</f>
        <v>300.37899049873113</v>
      </c>
      <c r="I8" s="25">
        <f t="shared" ref="I8:I66" si="1">IF(E8,G8/E8,0)</f>
        <v>929.70391463595365</v>
      </c>
    </row>
    <row r="9" spans="1:9">
      <c r="A9" s="456" t="s">
        <v>6</v>
      </c>
      <c r="B9" s="27">
        <f>VLOOKUP(A9,[1]進出口值表查詢結果!$A$10:$C$62,3,0)</f>
        <v>3442</v>
      </c>
      <c r="C9" s="28">
        <f>VLOOKUP(A9,[1]進出口值表查詢結果!$A$10:$C$62,2,0)</f>
        <v>5082086</v>
      </c>
      <c r="D9" s="23">
        <f t="shared" si="0"/>
        <v>1476.4921557234165</v>
      </c>
      <c r="E9" s="28">
        <f>VLOOKUP(A9,[2]進出口值表查詢結果!$A$9:$C$74,3,0)</f>
        <v>4868</v>
      </c>
      <c r="F9" s="29">
        <f>E9/$E$67</f>
        <v>3.3298903489270885E-2</v>
      </c>
      <c r="G9" s="27">
        <f>VLOOKUP(A9,[2]進出口值表查詢結果!$A$9:$C$74,2,0)</f>
        <v>7035526</v>
      </c>
      <c r="H9" s="29">
        <f t="shared" ref="H9" si="2">G9/$E$67</f>
        <v>48.125575445820878</v>
      </c>
      <c r="I9" s="25">
        <f t="shared" si="1"/>
        <v>1445.2600657354149</v>
      </c>
    </row>
    <row r="10" spans="1:9">
      <c r="A10" s="456" t="s">
        <v>7</v>
      </c>
      <c r="B10" s="27">
        <f>VLOOKUP(A10,[1]進出口值表查詢結果!$A$10:$C$62,3,0)</f>
        <v>445</v>
      </c>
      <c r="C10" s="28">
        <f>VLOOKUP(A10,[1]進出口值表查詢結果!$A$10:$C$62,2,0)</f>
        <v>350398</v>
      </c>
      <c r="D10" s="23">
        <f t="shared" si="0"/>
        <v>787.41123595505621</v>
      </c>
      <c r="E10" s="28">
        <f>VLOOKUP(A10,[2]進出口值表查詢結果!$A$9:$C$74,3,0)</f>
        <v>729</v>
      </c>
      <c r="F10" s="29">
        <f>E10/$E$67</f>
        <v>4.9866270837466056E-3</v>
      </c>
      <c r="G10" s="27">
        <f>VLOOKUP(A10,[2]進出口值表查詢結果!$A$9:$C$74,2,0)</f>
        <v>684428</v>
      </c>
      <c r="H10" s="29">
        <f>G10/$E$67</f>
        <v>4.6817382739019502</v>
      </c>
      <c r="I10" s="25">
        <f t="shared" si="1"/>
        <v>938.85871056241422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20679</v>
      </c>
      <c r="C12" s="33">
        <f>SUM(C13:C39)</f>
        <v>22318836</v>
      </c>
      <c r="D12" s="23">
        <f t="shared" si="0"/>
        <v>1079.299579283331</v>
      </c>
      <c r="E12" s="33">
        <f>SUM(E13:E39)</f>
        <v>43276</v>
      </c>
      <c r="F12" s="24">
        <f t="shared" ref="F12:F27" si="3">E12/$E$67</f>
        <v>0.29602369502910575</v>
      </c>
      <c r="G12" s="33">
        <f>SUM(G13:G39)</f>
        <v>49234931</v>
      </c>
      <c r="H12" s="24">
        <f t="shared" ref="H12:H39" si="4">G12/$G$67</f>
        <v>0.30804580224236383</v>
      </c>
      <c r="I12" s="25">
        <f t="shared" si="1"/>
        <v>1137.6959746741843</v>
      </c>
    </row>
    <row r="13" spans="1:9">
      <c r="A13" s="455" t="s">
        <v>202</v>
      </c>
      <c r="B13" s="27">
        <f>VLOOKUP(A13,[1]進出口值表查詢結果!$A$10:$C$62,3,0)</f>
        <v>7492</v>
      </c>
      <c r="C13" s="28">
        <f>VLOOKUP(A13,[1]進出口值表查詢結果!$A$10:$C$62,2,0)</f>
        <v>11813070</v>
      </c>
      <c r="D13" s="23">
        <f t="shared" si="0"/>
        <v>1576.7578750667378</v>
      </c>
      <c r="E13" s="28">
        <f>VLOOKUP(A13,[2]進出口值表查詢結果!$A$9:$C$74,3,0)</f>
        <v>16022</v>
      </c>
      <c r="F13" s="29">
        <f t="shared" si="3"/>
        <v>0.10959634998050495</v>
      </c>
      <c r="G13" s="27">
        <f>VLOOKUP(A13,[2]進出口值表查詢結果!$A$9:$C$74,2,0)</f>
        <v>26672998</v>
      </c>
      <c r="H13" s="24">
        <f t="shared" si="4"/>
        <v>0.16688365150992018</v>
      </c>
      <c r="I13" s="25">
        <f t="shared" si="1"/>
        <v>1664.7733116964175</v>
      </c>
    </row>
    <row r="14" spans="1:9">
      <c r="A14" s="455" t="s">
        <v>203</v>
      </c>
      <c r="B14" s="27">
        <f>VLOOKUP(A14,[1]進出口值表查詢結果!$A$10:$C$62,3,0)</f>
        <v>4464</v>
      </c>
      <c r="C14" s="28">
        <f>VLOOKUP(A14,[1]進出口值表查詢結果!$A$10:$C$62,2,0)</f>
        <v>3984763</v>
      </c>
      <c r="D14" s="23">
        <f t="shared" si="0"/>
        <v>892.64404121863799</v>
      </c>
      <c r="E14" s="28">
        <f>VLOOKUP(A14,[2]進出口值表查詢結果!$A$9:$C$74,3,0)</f>
        <v>10776</v>
      </c>
      <c r="F14" s="29">
        <f t="shared" si="3"/>
        <v>7.3711788003365461E-2</v>
      </c>
      <c r="G14" s="27">
        <f>VLOOKUP(A14,[2]進出口值表查詢結果!$A$9:$C$74,2,0)</f>
        <v>8244241</v>
      </c>
      <c r="H14" s="24">
        <f t="shared" si="4"/>
        <v>5.1581342375078949E-2</v>
      </c>
      <c r="I14" s="25">
        <f t="shared" si="1"/>
        <v>765.05577208611726</v>
      </c>
    </row>
    <row r="15" spans="1:9">
      <c r="A15" s="456" t="s">
        <v>9</v>
      </c>
      <c r="B15" s="27">
        <f>VLOOKUP(A15,[1]進出口值表查詢結果!$A$10:$C$62,3,0)</f>
        <v>977</v>
      </c>
      <c r="C15" s="28">
        <f>VLOOKUP(A15,[1]進出口值表查詢結果!$A$10:$C$62,2,0)</f>
        <v>1671501</v>
      </c>
      <c r="D15" s="23">
        <f t="shared" si="0"/>
        <v>1710.8505629477993</v>
      </c>
      <c r="E15" s="28">
        <f>VLOOKUP(A15,[2]進出口值表查詢結果!$A$9:$C$74,3,0)</f>
        <v>1731</v>
      </c>
      <c r="F15" s="29">
        <f t="shared" si="3"/>
        <v>1.184067418650943E-2</v>
      </c>
      <c r="G15" s="27">
        <f>VLOOKUP(A15,[2]進出口值表查詢結果!$A$9:$C$74,2,0)</f>
        <v>2852767</v>
      </c>
      <c r="H15" s="24">
        <f t="shared" si="4"/>
        <v>1.7848768776085856E-2</v>
      </c>
      <c r="I15" s="25">
        <f t="shared" si="1"/>
        <v>1648.0456383593298</v>
      </c>
    </row>
    <row r="16" spans="1:9">
      <c r="A16" s="455" t="s">
        <v>204</v>
      </c>
      <c r="B16" s="27">
        <f>VLOOKUP(A16,[1]進出口值表查詢結果!$A$10:$C$62,3,0)</f>
        <v>174</v>
      </c>
      <c r="C16" s="28">
        <f>VLOOKUP(A16,[1]進出口值表查詢結果!$A$10:$C$62,2,0)</f>
        <v>365826</v>
      </c>
      <c r="D16" s="23">
        <f t="shared" si="0"/>
        <v>2102.4482758620688</v>
      </c>
      <c r="E16" s="28">
        <f>VLOOKUP(A16,[2]進出口值表查詢結果!$A$9:$C$74,3,0)</f>
        <v>1332</v>
      </c>
      <c r="F16" s="29">
        <f t="shared" si="3"/>
        <v>9.1113680048703401E-3</v>
      </c>
      <c r="G16" s="27">
        <f>VLOOKUP(A16,[2]進出口值表查詢結果!$A$9:$C$74,2,0)</f>
        <v>2523924</v>
      </c>
      <c r="H16" s="24">
        <f t="shared" si="4"/>
        <v>1.5791312744578762E-2</v>
      </c>
      <c r="I16" s="25">
        <f t="shared" si="1"/>
        <v>1894.8378378378379</v>
      </c>
    </row>
    <row r="17" spans="1:9">
      <c r="A17" s="456" t="s">
        <v>10</v>
      </c>
      <c r="B17" s="27">
        <f>VLOOKUP(A17,[1]進出口值表查詢結果!$A$10:$C$62,3,0)</f>
        <v>970</v>
      </c>
      <c r="C17" s="28">
        <f>VLOOKUP(A17,[1]進出口值表查詢結果!$A$10:$C$62,2,0)</f>
        <v>1726265</v>
      </c>
      <c r="D17" s="23">
        <f t="shared" si="0"/>
        <v>1779.6546391752577</v>
      </c>
      <c r="E17" s="28">
        <f>VLOOKUP(A17,[2]進出口值表查詢結果!$A$9:$C$74,3,0)</f>
        <v>1682</v>
      </c>
      <c r="F17" s="29">
        <f t="shared" si="3"/>
        <v>1.1505496234378314E-2</v>
      </c>
      <c r="G17" s="27">
        <f>VLOOKUP(A17,[2]進出口值表查詢結果!$A$9:$C$74,2,0)</f>
        <v>2884073</v>
      </c>
      <c r="H17" s="24">
        <f t="shared" si="4"/>
        <v>1.8044639506259105E-2</v>
      </c>
      <c r="I17" s="25">
        <f t="shared" si="1"/>
        <v>1714.6688466111771</v>
      </c>
    </row>
    <row r="18" spans="1:9">
      <c r="A18" s="456" t="s">
        <v>11</v>
      </c>
      <c r="B18" s="27">
        <f>VLOOKUP(A18,[1]進出口值表查詢結果!$A$10:$C$62,3,0)</f>
        <v>638</v>
      </c>
      <c r="C18" s="28">
        <f>VLOOKUP(A18,[1]進出口值表查詢結果!$A$10:$C$62,2,0)</f>
        <v>538986</v>
      </c>
      <c r="D18" s="23">
        <f t="shared" si="0"/>
        <v>844.80564263322879</v>
      </c>
      <c r="E18" s="28">
        <f>VLOOKUP(A18,[2]進出口值表查詢結果!$A$9:$C$74,3,0)</f>
        <v>1949</v>
      </c>
      <c r="F18" s="29">
        <f t="shared" si="3"/>
        <v>1.3331874055174395E-2</v>
      </c>
      <c r="G18" s="27">
        <f>VLOOKUP(A18,[2]進出口值表查詢結果!$A$9:$C$74,2,0)</f>
        <v>1623560</v>
      </c>
      <c r="H18" s="24">
        <f t="shared" si="4"/>
        <v>1.0158049021915198E-2</v>
      </c>
      <c r="I18" s="25">
        <f t="shared" si="1"/>
        <v>833.02206259620323</v>
      </c>
    </row>
    <row r="19" spans="1:9">
      <c r="A19" s="455" t="s">
        <v>205</v>
      </c>
      <c r="B19" s="27">
        <f>VLOOKUP(A19,[1]進出口值表查詢結果!$A$10:$C$62,3,0)</f>
        <v>2427</v>
      </c>
      <c r="C19" s="28">
        <f>VLOOKUP(A19,[1]進出口值表查詢結果!$A$10:$C$62,2,0)</f>
        <v>188013</v>
      </c>
      <c r="D19" s="23">
        <f t="shared" si="0"/>
        <v>77.467243510506805</v>
      </c>
      <c r="E19" s="28">
        <f>VLOOKUP(A19,[2]進出口值表查詢結果!$A$9:$C$74,3,0)</f>
        <v>2427</v>
      </c>
      <c r="F19" s="29">
        <f t="shared" si="3"/>
        <v>1.6601569180045284E-2</v>
      </c>
      <c r="G19" s="27">
        <f>VLOOKUP(A19,[2]進出口值表查詢結果!$A$9:$C$74,2,0)</f>
        <v>188013</v>
      </c>
      <c r="H19" s="24">
        <f t="shared" si="4"/>
        <v>1.1763318083454521E-3</v>
      </c>
      <c r="I19" s="25">
        <f t="shared" si="1"/>
        <v>77.467243510506805</v>
      </c>
    </row>
    <row r="20" spans="1:9">
      <c r="A20" s="456" t="s">
        <v>206</v>
      </c>
      <c r="B20" s="27">
        <v>0</v>
      </c>
      <c r="C20" s="28">
        <v>0</v>
      </c>
      <c r="D20" s="23">
        <f t="shared" si="0"/>
        <v>0</v>
      </c>
      <c r="E20" s="28">
        <f>VLOOKUP(A20,[2]進出口值表查詢結果!$A$9:$C$74,3,0)</f>
        <v>3</v>
      </c>
      <c r="F20" s="29">
        <f t="shared" si="3"/>
        <v>2.0521099110068336E-5</v>
      </c>
      <c r="G20" s="27">
        <f>VLOOKUP(A20,[2]進出口值表查詢結果!$A$9:$C$74,2,0)</f>
        <v>7294</v>
      </c>
      <c r="H20" s="24">
        <f t="shared" si="4"/>
        <v>4.5636015648235638E-5</v>
      </c>
      <c r="I20" s="25">
        <f t="shared" si="1"/>
        <v>2431.3333333333335</v>
      </c>
    </row>
    <row r="21" spans="1:9">
      <c r="A21" s="455" t="s">
        <v>207</v>
      </c>
      <c r="B21" s="27">
        <v>0</v>
      </c>
      <c r="C21" s="28">
        <v>0</v>
      </c>
      <c r="D21" s="23">
        <f t="shared" si="0"/>
        <v>0</v>
      </c>
      <c r="E21" s="28">
        <v>0</v>
      </c>
      <c r="F21" s="29">
        <f t="shared" si="3"/>
        <v>0</v>
      </c>
      <c r="G21" s="27">
        <v>0</v>
      </c>
      <c r="H21" s="24">
        <f t="shared" si="4"/>
        <v>0</v>
      </c>
      <c r="I21" s="25">
        <f t="shared" si="1"/>
        <v>0</v>
      </c>
    </row>
    <row r="22" spans="1:9">
      <c r="A22" s="456" t="s">
        <v>13</v>
      </c>
      <c r="B22" s="27">
        <v>0</v>
      </c>
      <c r="C22" s="28">
        <v>0</v>
      </c>
      <c r="D22" s="23">
        <f t="shared" si="0"/>
        <v>0</v>
      </c>
      <c r="E22" s="28">
        <v>0</v>
      </c>
      <c r="F22" s="29">
        <f t="shared" si="3"/>
        <v>0</v>
      </c>
      <c r="G22" s="27">
        <v>0</v>
      </c>
      <c r="H22" s="24">
        <f t="shared" si="4"/>
        <v>0</v>
      </c>
      <c r="I22" s="25">
        <f t="shared" si="1"/>
        <v>0</v>
      </c>
    </row>
    <row r="23" spans="1:9">
      <c r="A23" s="456" t="s">
        <v>14</v>
      </c>
      <c r="B23" s="27">
        <v>0</v>
      </c>
      <c r="C23" s="28">
        <v>0</v>
      </c>
      <c r="D23" s="23">
        <f t="shared" si="0"/>
        <v>0</v>
      </c>
      <c r="E23" s="28">
        <v>0</v>
      </c>
      <c r="F23" s="29">
        <f t="shared" si="3"/>
        <v>0</v>
      </c>
      <c r="G23" s="27">
        <v>0</v>
      </c>
      <c r="H23" s="24">
        <f t="shared" si="4"/>
        <v>0</v>
      </c>
      <c r="I23" s="25">
        <f t="shared" si="1"/>
        <v>0</v>
      </c>
    </row>
    <row r="24" spans="1:9">
      <c r="A24" s="456" t="s">
        <v>15</v>
      </c>
      <c r="B24" s="27">
        <v>0</v>
      </c>
      <c r="C24" s="28">
        <v>0</v>
      </c>
      <c r="D24" s="23">
        <f t="shared" si="0"/>
        <v>0</v>
      </c>
      <c r="E24" s="28">
        <f>VLOOKUP(A24,[2]進出口值表查詢結果!$A$9:$C$74,3,0)</f>
        <v>1</v>
      </c>
      <c r="F24" s="29">
        <f t="shared" si="3"/>
        <v>6.8403663700227788E-6</v>
      </c>
      <c r="G24" s="27">
        <f>VLOOKUP(A24,[2]進出口值表查詢結果!$A$9:$C$74,2,0)</f>
        <v>611</v>
      </c>
      <c r="H24" s="24">
        <f t="shared" si="4"/>
        <v>3.8228140335991196E-6</v>
      </c>
      <c r="I24" s="25">
        <f t="shared" si="1"/>
        <v>611</v>
      </c>
    </row>
    <row r="25" spans="1:9">
      <c r="A25" s="455" t="s">
        <v>208</v>
      </c>
      <c r="B25" s="27">
        <f>VLOOKUP(A25,[1]進出口值表查詢結果!$A$10:$C$62,3,0)</f>
        <v>2206</v>
      </c>
      <c r="C25" s="28">
        <f>VLOOKUP(A25,[1]進出口值表查詢結果!$A$10:$C$62,2,0)</f>
        <v>876123</v>
      </c>
      <c r="D25" s="23">
        <f t="shared" si="0"/>
        <v>397.15457842248412</v>
      </c>
      <c r="E25" s="28">
        <f>VLOOKUP(A25,[2]進出口值表查詢結果!$A$9:$C$74,3,0)</f>
        <v>4026</v>
      </c>
      <c r="F25" s="29">
        <f t="shared" si="3"/>
        <v>2.7539315005711707E-2</v>
      </c>
      <c r="G25" s="27">
        <f>VLOOKUP(A25,[2]進出口值表查詢結果!$A$9:$C$74,2,0)</f>
        <v>1666161</v>
      </c>
      <c r="H25" s="24">
        <f t="shared" si="4"/>
        <v>1.0424588630172737E-2</v>
      </c>
      <c r="I25" s="25">
        <f t="shared" si="1"/>
        <v>413.85022354694485</v>
      </c>
    </row>
    <row r="26" spans="1:9">
      <c r="A26" s="455" t="s">
        <v>209</v>
      </c>
      <c r="B26" s="27">
        <f>VLOOKUP(A26,[1]進出口值表查詢結果!$A$10:$C$62,3,0)</f>
        <v>9</v>
      </c>
      <c r="C26" s="28">
        <f>VLOOKUP(A26,[1]進出口值表查詢結果!$A$10:$C$62,2,0)</f>
        <v>3570</v>
      </c>
      <c r="D26" s="23">
        <f t="shared" si="0"/>
        <v>396.66666666666669</v>
      </c>
      <c r="E26" s="28">
        <f>VLOOKUP(A26,[2]進出口值表查詢結果!$A$9:$C$74,3,0)</f>
        <v>9</v>
      </c>
      <c r="F26" s="29">
        <f t="shared" si="3"/>
        <v>6.1563297330205006E-5</v>
      </c>
      <c r="G26" s="27">
        <f>VLOOKUP(A26,[2]進出口值表查詢結果!$A$9:$C$74,2,0)</f>
        <v>3570</v>
      </c>
      <c r="H26" s="24">
        <f t="shared" si="4"/>
        <v>2.2336245662764085E-5</v>
      </c>
      <c r="I26" s="25">
        <f t="shared" si="1"/>
        <v>396.66666666666669</v>
      </c>
    </row>
    <row r="27" spans="1:9">
      <c r="A27" s="457" t="s">
        <v>210</v>
      </c>
      <c r="B27" s="27">
        <f>VLOOKUP(A27,[1]進出口值表查詢結果!$A$10:$C$62,3,0)</f>
        <v>163</v>
      </c>
      <c r="C27" s="28">
        <f>VLOOKUP(A27,[1]進出口值表查詢結果!$A$10:$C$62,2,0)</f>
        <v>108416</v>
      </c>
      <c r="D27" s="23">
        <f t="shared" si="0"/>
        <v>665.12883435582819</v>
      </c>
      <c r="E27" s="28">
        <f>VLOOKUP(A27,[2]進出口值表查詢結果!$A$9:$C$74,3,0)</f>
        <v>933</v>
      </c>
      <c r="F27" s="29">
        <f t="shared" si="3"/>
        <v>6.3820618232312519E-3</v>
      </c>
      <c r="G27" s="27">
        <f>VLOOKUP(A27,[2]進出口值表查詢結果!$A$9:$C$74,2,0)</f>
        <v>785023</v>
      </c>
      <c r="H27" s="24">
        <f t="shared" si="4"/>
        <v>4.9116152882128991E-3</v>
      </c>
      <c r="I27" s="25">
        <f t="shared" si="1"/>
        <v>841.39657020364416</v>
      </c>
    </row>
    <row r="28" spans="1:9">
      <c r="A28" s="457" t="s">
        <v>211</v>
      </c>
      <c r="B28" s="27">
        <f>VLOOKUP(A28,[1]進出口值表查詢結果!$A$10:$C$62,3,0)</f>
        <v>253</v>
      </c>
      <c r="C28" s="28">
        <f>VLOOKUP(A28,[1]進出口值表查詢結果!$A$10:$C$62,2,0)</f>
        <v>336500</v>
      </c>
      <c r="D28" s="23">
        <f t="shared" si="0"/>
        <v>1330.0395256916995</v>
      </c>
      <c r="E28" s="28">
        <f>VLOOKUP(A28,[2]進出口值表查詢結果!$A$9:$C$74,3,0)</f>
        <v>1351</v>
      </c>
      <c r="F28" s="29">
        <f t="shared" ref="F28:F39" si="5">E28/$E$67</f>
        <v>9.2413349659007729E-3</v>
      </c>
      <c r="G28" s="27">
        <f>VLOOKUP(A28,[2]進出口值表查詢結果!$A$9:$C$74,2,0)</f>
        <v>1059734</v>
      </c>
      <c r="H28" s="24">
        <f t="shared" si="4"/>
        <v>6.6303862636368721E-3</v>
      </c>
      <c r="I28" s="25">
        <f t="shared" si="1"/>
        <v>784.40710584752037</v>
      </c>
    </row>
    <row r="29" spans="1:9">
      <c r="A29" s="456" t="s">
        <v>212</v>
      </c>
      <c r="B29" s="27">
        <f>VLOOKUP(A29,[1]進出口值表查詢結果!$A$10:$C$62,3,0)</f>
        <v>250</v>
      </c>
      <c r="C29" s="28">
        <f>VLOOKUP(A29,[1]進出口值表查詢結果!$A$10:$C$62,2,0)</f>
        <v>190660</v>
      </c>
      <c r="D29" s="23">
        <f t="shared" si="0"/>
        <v>762.64</v>
      </c>
      <c r="E29" s="28">
        <f>VLOOKUP(A29,[2]進出口值表查詢結果!$A$9:$C$74,3,0)</f>
        <v>250</v>
      </c>
      <c r="F29" s="29">
        <f t="shared" si="5"/>
        <v>1.7100915925056946E-3</v>
      </c>
      <c r="G29" s="27">
        <f>VLOOKUP(A29,[2]進出口值表查詢結果!$A$9:$C$74,2,0)</f>
        <v>190660</v>
      </c>
      <c r="H29" s="24">
        <f t="shared" si="4"/>
        <v>1.1928931647234174E-3</v>
      </c>
      <c r="I29" s="25">
        <f t="shared" si="1"/>
        <v>762.64</v>
      </c>
    </row>
    <row r="30" spans="1:9">
      <c r="A30" s="456" t="s">
        <v>213</v>
      </c>
      <c r="B30" s="27">
        <v>0</v>
      </c>
      <c r="C30" s="28">
        <v>0</v>
      </c>
      <c r="D30" s="23">
        <f t="shared" si="0"/>
        <v>0</v>
      </c>
      <c r="E30" s="28">
        <v>0</v>
      </c>
      <c r="F30" s="29">
        <f t="shared" si="5"/>
        <v>0</v>
      </c>
      <c r="G30" s="27">
        <v>0</v>
      </c>
      <c r="H30" s="24">
        <f t="shared" si="4"/>
        <v>0</v>
      </c>
      <c r="I30" s="25">
        <f t="shared" si="1"/>
        <v>0</v>
      </c>
    </row>
    <row r="31" spans="1:9">
      <c r="A31" s="456" t="s">
        <v>16</v>
      </c>
      <c r="B31" s="27">
        <f>VLOOKUP(A31,[1]進出口值表查詢結果!$A$10:$C$62,3,0)</f>
        <v>364</v>
      </c>
      <c r="C31" s="28">
        <f>VLOOKUP(A31,[1]進出口值表查詢結果!$A$10:$C$62,2,0)</f>
        <v>454288</v>
      </c>
      <c r="D31" s="23">
        <f t="shared" si="0"/>
        <v>1248.0439560439561</v>
      </c>
      <c r="E31" s="28">
        <f>VLOOKUP(A31,[2]進出口值表查詢結果!$A$9:$C$74,3,0)</f>
        <v>364</v>
      </c>
      <c r="F31" s="29">
        <f t="shared" si="5"/>
        <v>2.4898933586882913E-3</v>
      </c>
      <c r="G31" s="27">
        <f>VLOOKUP(A31,[2]進出口值表查詢結果!$A$9:$C$74,2,0)</f>
        <v>454288</v>
      </c>
      <c r="H31" s="24">
        <f t="shared" si="4"/>
        <v>2.8423216721696837E-3</v>
      </c>
      <c r="I31" s="25">
        <f t="shared" si="1"/>
        <v>1248.0439560439561</v>
      </c>
    </row>
    <row r="32" spans="1:9">
      <c r="A32" s="456" t="s">
        <v>17</v>
      </c>
      <c r="B32" s="27">
        <v>0</v>
      </c>
      <c r="C32" s="28">
        <v>0</v>
      </c>
      <c r="D32" s="23">
        <f t="shared" si="0"/>
        <v>0</v>
      </c>
      <c r="E32" s="28">
        <v>0</v>
      </c>
      <c r="F32" s="29">
        <f t="shared" si="5"/>
        <v>0</v>
      </c>
      <c r="G32" s="27">
        <v>0</v>
      </c>
      <c r="H32" s="24">
        <f t="shared" si="4"/>
        <v>0</v>
      </c>
      <c r="I32" s="25">
        <f t="shared" si="1"/>
        <v>0</v>
      </c>
    </row>
    <row r="33" spans="1:9">
      <c r="A33" s="456" t="s">
        <v>214</v>
      </c>
      <c r="B33" s="27">
        <f>VLOOKUP(A33,[1]進出口值表查詢結果!$A$10:$C$62,3,0)</f>
        <v>292</v>
      </c>
      <c r="C33" s="28">
        <f>VLOOKUP(A33,[1]進出口值表查詢結果!$A$10:$C$62,2,0)</f>
        <v>60855</v>
      </c>
      <c r="D33" s="23">
        <f t="shared" si="0"/>
        <v>208.40753424657535</v>
      </c>
      <c r="E33" s="28">
        <f>VLOOKUP(A33,[2]進出口值表查詢結果!$A$9:$C$74,3,0)</f>
        <v>292</v>
      </c>
      <c r="F33" s="29">
        <f t="shared" si="5"/>
        <v>1.9973869800466513E-3</v>
      </c>
      <c r="G33" s="27">
        <f>VLOOKUP(A33,[2]進出口值表查詢結果!$A$9:$C$74,2,0)</f>
        <v>60855</v>
      </c>
      <c r="H33" s="24">
        <f t="shared" si="4"/>
        <v>3.8074852375560457E-4</v>
      </c>
      <c r="I33" s="25">
        <f t="shared" si="1"/>
        <v>208.40753424657535</v>
      </c>
    </row>
    <row r="34" spans="1:9">
      <c r="A34" s="456" t="s">
        <v>215</v>
      </c>
      <c r="B34" s="27">
        <v>0</v>
      </c>
      <c r="C34" s="28">
        <v>0</v>
      </c>
      <c r="D34" s="23">
        <f t="shared" si="0"/>
        <v>0</v>
      </c>
      <c r="E34" s="28">
        <v>0</v>
      </c>
      <c r="F34" s="29">
        <f t="shared" si="5"/>
        <v>0</v>
      </c>
      <c r="G34" s="27">
        <v>0</v>
      </c>
      <c r="H34" s="24">
        <f t="shared" si="4"/>
        <v>0</v>
      </c>
      <c r="I34" s="25">
        <f t="shared" si="1"/>
        <v>0</v>
      </c>
    </row>
    <row r="35" spans="1:9">
      <c r="A35" s="456" t="s">
        <v>216</v>
      </c>
      <c r="B35" s="27">
        <v>0</v>
      </c>
      <c r="C35" s="28">
        <v>0</v>
      </c>
      <c r="D35" s="23">
        <f t="shared" si="0"/>
        <v>0</v>
      </c>
      <c r="E35" s="28">
        <v>0</v>
      </c>
      <c r="F35" s="29">
        <f t="shared" si="5"/>
        <v>0</v>
      </c>
      <c r="G35" s="27">
        <v>0</v>
      </c>
      <c r="H35" s="24">
        <f t="shared" si="4"/>
        <v>0</v>
      </c>
      <c r="I35" s="25">
        <f t="shared" si="1"/>
        <v>0</v>
      </c>
    </row>
    <row r="36" spans="1:9">
      <c r="A36" s="456" t="s">
        <v>217</v>
      </c>
      <c r="B36" s="27">
        <v>0</v>
      </c>
      <c r="C36" s="28">
        <v>0</v>
      </c>
      <c r="D36" s="23">
        <f t="shared" si="0"/>
        <v>0</v>
      </c>
      <c r="E36" s="28">
        <f>VLOOKUP(A36,[2]進出口值表查詢結果!$A$9:$C$74,3,0)</f>
        <v>128</v>
      </c>
      <c r="F36" s="29">
        <f t="shared" si="5"/>
        <v>8.7556689536291568E-4</v>
      </c>
      <c r="G36" s="27">
        <f>VLOOKUP(A36,[2]進出口值表查詢結果!$A$9:$C$74,2,0)</f>
        <v>17159</v>
      </c>
      <c r="H36" s="24">
        <f t="shared" si="4"/>
        <v>1.0735788216452911E-4</v>
      </c>
      <c r="I36" s="25">
        <f t="shared" si="1"/>
        <v>134.0546875</v>
      </c>
    </row>
    <row r="37" spans="1:9">
      <c r="A37" s="456" t="s">
        <v>218</v>
      </c>
      <c r="B37" s="27">
        <v>0</v>
      </c>
      <c r="C37" s="28">
        <v>0</v>
      </c>
      <c r="D37" s="23">
        <f t="shared" si="0"/>
        <v>0</v>
      </c>
      <c r="E37" s="28">
        <v>0</v>
      </c>
      <c r="F37" s="29">
        <f t="shared" si="5"/>
        <v>0</v>
      </c>
      <c r="G37" s="27">
        <v>0</v>
      </c>
      <c r="H37" s="24">
        <f t="shared" si="4"/>
        <v>0</v>
      </c>
      <c r="I37" s="25">
        <f t="shared" si="1"/>
        <v>0</v>
      </c>
    </row>
    <row r="38" spans="1:9">
      <c r="A38" s="456" t="s">
        <v>219</v>
      </c>
      <c r="B38" s="27">
        <v>0</v>
      </c>
      <c r="C38" s="28">
        <v>0</v>
      </c>
      <c r="D38" s="23">
        <f t="shared" si="0"/>
        <v>0</v>
      </c>
      <c r="E38" s="28">
        <v>0</v>
      </c>
      <c r="F38" s="29">
        <f t="shared" si="5"/>
        <v>0</v>
      </c>
      <c r="G38" s="27">
        <v>0</v>
      </c>
      <c r="H38" s="24">
        <f t="shared" si="4"/>
        <v>0</v>
      </c>
      <c r="I38" s="25">
        <f t="shared" si="1"/>
        <v>0</v>
      </c>
    </row>
    <row r="39" spans="1:9">
      <c r="A39" s="456" t="s">
        <v>18</v>
      </c>
      <c r="B39" s="27">
        <v>0</v>
      </c>
      <c r="C39" s="28">
        <v>0</v>
      </c>
      <c r="D39" s="23">
        <f t="shared" si="0"/>
        <v>0</v>
      </c>
      <c r="E39" s="28">
        <v>0</v>
      </c>
      <c r="F39" s="29">
        <f t="shared" si="5"/>
        <v>0</v>
      </c>
      <c r="G39" s="27">
        <v>0</v>
      </c>
      <c r="H39" s="24">
        <f t="shared" si="4"/>
        <v>0</v>
      </c>
      <c r="I39" s="25">
        <f t="shared" si="1"/>
        <v>0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19</v>
      </c>
      <c r="B41" s="33">
        <f>SUM(B42:B45)</f>
        <v>4581</v>
      </c>
      <c r="C41" s="33">
        <f>SUM(C42:C45)</f>
        <v>4003637</v>
      </c>
      <c r="D41" s="23">
        <f t="shared" si="0"/>
        <v>873.96572800698539</v>
      </c>
      <c r="E41" s="33">
        <f>SUM(E42:E68)</f>
        <v>384233</v>
      </c>
      <c r="F41" s="24">
        <f>E41/$E$67</f>
        <v>2.6282944914529622</v>
      </c>
      <c r="G41" s="33">
        <f>SUM(G42:G45)</f>
        <v>6750809</v>
      </c>
      <c r="H41" s="24">
        <f>G41/$G$67</f>
        <v>4.2237458892548665E-2</v>
      </c>
      <c r="I41" s="25">
        <f t="shared" si="1"/>
        <v>17.569571067555362</v>
      </c>
    </row>
    <row r="42" spans="1:9">
      <c r="A42" s="455" t="s">
        <v>220</v>
      </c>
      <c r="B42" s="27">
        <f>VLOOKUP(A42,[1]進出口值表查詢結果!$A$10:$C$62,3,0)</f>
        <v>1077</v>
      </c>
      <c r="C42" s="28">
        <f>VLOOKUP(A42,[1]進出口值表查詢結果!$A$10:$C$62,2,0)</f>
        <v>1615047</v>
      </c>
      <c r="D42" s="23">
        <f t="shared" si="0"/>
        <v>1499.5793871866294</v>
      </c>
      <c r="E42" s="28">
        <f>VLOOKUP(A42,[2]進出口值表查詢結果!$A$9:$C$74,3,0)</f>
        <v>2308</v>
      </c>
      <c r="F42" s="29">
        <f>E42/$E$67</f>
        <v>1.5787565582012573E-2</v>
      </c>
      <c r="G42" s="27">
        <f>VLOOKUP(A42,[2]進出口值表查詢結果!$A$9:$C$74,2,0)</f>
        <v>3671924</v>
      </c>
      <c r="H42" s="29">
        <f>G42/$G$67</f>
        <v>2.2973948604761721E-2</v>
      </c>
      <c r="I42" s="25">
        <f t="shared" si="1"/>
        <v>1590.9549393414211</v>
      </c>
    </row>
    <row r="43" spans="1:9">
      <c r="A43" s="455" t="s">
        <v>221</v>
      </c>
      <c r="B43" s="27">
        <f>VLOOKUP(A43,[1]進出口值表查詢結果!$A$10:$C$62,3,0)</f>
        <v>3500</v>
      </c>
      <c r="C43" s="28">
        <f>VLOOKUP(A43,[1]進出口值表查詢結果!$A$10:$C$62,2,0)</f>
        <v>2382055</v>
      </c>
      <c r="D43" s="23">
        <f t="shared" si="0"/>
        <v>680.58714285714291</v>
      </c>
      <c r="E43" s="28">
        <f>VLOOKUP(A43,[2]進出口值表查詢結果!$A$9:$C$74,3,0)</f>
        <v>4580</v>
      </c>
      <c r="F43" s="29">
        <f>E43/$E$67</f>
        <v>3.1328877974704322E-2</v>
      </c>
      <c r="G43" s="27">
        <f>VLOOKUP(A43,[2]進出口值表查詢結果!$A$9:$C$74,2,0)</f>
        <v>3072350</v>
      </c>
      <c r="H43" s="29">
        <f>G43/$G$67</f>
        <v>1.922262307058634E-2</v>
      </c>
      <c r="I43" s="25">
        <f t="shared" si="1"/>
        <v>670.81877729257644</v>
      </c>
    </row>
    <row r="44" spans="1:9">
      <c r="A44" s="455" t="s">
        <v>222</v>
      </c>
      <c r="B44" s="27">
        <f>VLOOKUP(A44,[1]進出口值表查詢結果!$A$10:$C$62,3,0)</f>
        <v>4</v>
      </c>
      <c r="C44" s="28">
        <f>VLOOKUP(A44,[1]進出口值表查詢結果!$A$10:$C$62,2,0)</f>
        <v>6535</v>
      </c>
      <c r="D44" s="23">
        <f t="shared" si="0"/>
        <v>1633.75</v>
      </c>
      <c r="E44" s="28">
        <f>VLOOKUP(A44,[2]進出口值表查詢結果!$A$9:$C$74,3,0)</f>
        <v>4</v>
      </c>
      <c r="F44" s="29">
        <f>E44/$E$67</f>
        <v>2.7361465480091115E-5</v>
      </c>
      <c r="G44" s="27">
        <f>VLOOKUP(A44,[2]進出口值表查詢結果!$A$9:$C$74,2,0)</f>
        <v>6535</v>
      </c>
      <c r="H44" s="29">
        <f>G44/$G$67</f>
        <v>4.0887217200605968E-5</v>
      </c>
      <c r="I44" s="25">
        <f t="shared" si="1"/>
        <v>1633.75</v>
      </c>
    </row>
    <row r="45" spans="1:9">
      <c r="A45" s="456" t="s">
        <v>20</v>
      </c>
      <c r="B45" s="27">
        <v>0</v>
      </c>
      <c r="C45" s="27">
        <f>_xlfn.IFNA(VLOOKUP(A45,[3]出!$C$11:$E$73,2,0),-[4]整車!$B$22)</f>
        <v>0</v>
      </c>
      <c r="D45" s="23">
        <f t="shared" si="0"/>
        <v>0</v>
      </c>
      <c r="E45" s="28">
        <v>0</v>
      </c>
      <c r="F45" s="29">
        <f>E45/$E$67</f>
        <v>0</v>
      </c>
      <c r="G45" s="27">
        <v>0</v>
      </c>
      <c r="H45" s="29">
        <f>G45/$G$67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21</v>
      </c>
      <c r="B47" s="33">
        <f>SUM(B48:B65)</f>
        <v>19911</v>
      </c>
      <c r="C47" s="33">
        <f>SUM(C48:C65)</f>
        <v>24590854</v>
      </c>
      <c r="D47" s="23">
        <f t="shared" si="0"/>
        <v>1235.0386218673095</v>
      </c>
      <c r="E47" s="33">
        <f>SUM(E48:E74)</f>
        <v>190077</v>
      </c>
      <c r="F47" s="24">
        <f t="shared" ref="F47:F65" si="6">E47/$E$67</f>
        <v>1.3001963185148198</v>
      </c>
      <c r="G47" s="33">
        <f>SUM(G48:G51)</f>
        <v>14924666</v>
      </c>
      <c r="H47" s="24">
        <f t="shared" ref="H47:H66" si="7">G47/$G$67</f>
        <v>9.3378433112241629E-2</v>
      </c>
      <c r="I47" s="25">
        <f t="shared" si="1"/>
        <v>78.519052804915901</v>
      </c>
    </row>
    <row r="48" spans="1:9">
      <c r="A48" s="487" t="s">
        <v>163</v>
      </c>
      <c r="B48" s="27">
        <f>VLOOKUP(A48,[1]進出口值表查詢結果!$A$10:$C$62,3,0)</f>
        <v>4519</v>
      </c>
      <c r="C48" s="28">
        <f>VLOOKUP(A48,[1]進出口值表查詢結果!$A$10:$C$62,2,0)</f>
        <v>4837998</v>
      </c>
      <c r="D48" s="23">
        <f t="shared" si="0"/>
        <v>1070.590396105333</v>
      </c>
      <c r="E48" s="28">
        <f>VLOOKUP(A48,[2]進出口值表查詢結果!$A$9:$C$74,3,0)</f>
        <v>7748</v>
      </c>
      <c r="F48" s="29">
        <f t="shared" ref="F48" si="8">E48/$E$67</f>
        <v>5.299915863493649E-2</v>
      </c>
      <c r="G48" s="27">
        <f>VLOOKUP(A48,[2]進出口值表查詢結果!$A$9:$C$74,2,0)</f>
        <v>8973117</v>
      </c>
      <c r="H48" s="29">
        <f t="shared" ref="H48" si="9">G48/$G$67</f>
        <v>5.6141665454544729E-2</v>
      </c>
      <c r="I48" s="25">
        <f t="shared" si="1"/>
        <v>1158.1204181724315</v>
      </c>
    </row>
    <row r="49" spans="1:9">
      <c r="A49" s="455" t="s">
        <v>223</v>
      </c>
      <c r="B49" s="27">
        <f>VLOOKUP(A49,[1]進出口值表查詢結果!$A$10:$C$62,3,0)</f>
        <v>1976</v>
      </c>
      <c r="C49" s="28">
        <f>VLOOKUP(A49,[1]進出口值表查詢結果!$A$10:$C$62,2,0)</f>
        <v>1543418</v>
      </c>
      <c r="D49" s="23">
        <f t="shared" si="0"/>
        <v>781.08198380566796</v>
      </c>
      <c r="E49" s="28">
        <f>VLOOKUP(A49,[2]進出口值表查詢結果!$A$9:$C$74,3,0)</f>
        <v>5659</v>
      </c>
      <c r="F49" s="29">
        <f t="shared" si="6"/>
        <v>3.87096332879589E-2</v>
      </c>
      <c r="G49" s="27">
        <f>VLOOKUP(A49,[2]進出口值表查詢結果!$A$9:$C$74,2,0)</f>
        <v>4968611</v>
      </c>
      <c r="H49" s="29">
        <f t="shared" si="7"/>
        <v>3.1086867198518744E-2</v>
      </c>
      <c r="I49" s="25">
        <f t="shared" si="1"/>
        <v>878.00159038699417</v>
      </c>
    </row>
    <row r="50" spans="1:9">
      <c r="A50" s="292" t="s">
        <v>224</v>
      </c>
      <c r="B50" s="27">
        <f>VLOOKUP(A50,[1]進出口值表查詢結果!$A$10:$C$62,3,0)</f>
        <v>261</v>
      </c>
      <c r="C50" s="28">
        <f>VLOOKUP(A50,[1]進出口值表查詢結果!$A$10:$C$62,2,0)</f>
        <v>112719</v>
      </c>
      <c r="D50" s="23">
        <f t="shared" si="0"/>
        <v>431.87356321839081</v>
      </c>
      <c r="E50" s="28">
        <f>VLOOKUP(A50,[2]進出口值表查詢結果!$A$9:$C$74,3,0)</f>
        <v>460</v>
      </c>
      <c r="F50" s="29">
        <f t="shared" si="6"/>
        <v>3.1465685302104781E-3</v>
      </c>
      <c r="G50" s="27">
        <f>VLOOKUP(A50,[2]進出口值表查詢結果!$A$9:$C$74,2,0)</f>
        <v>267796</v>
      </c>
      <c r="H50" s="29">
        <f t="shared" si="7"/>
        <v>1.6755062306738294E-3</v>
      </c>
      <c r="I50" s="25">
        <f t="shared" si="1"/>
        <v>582.1652173913044</v>
      </c>
    </row>
    <row r="51" spans="1:9">
      <c r="A51" s="455" t="s">
        <v>225</v>
      </c>
      <c r="B51" s="27">
        <f>VLOOKUP(A51,[1]進出口值表查詢結果!$A$10:$C$62,3,0)</f>
        <v>500</v>
      </c>
      <c r="C51" s="28">
        <f>VLOOKUP(A51,[1]進出口值表查詢結果!$A$10:$C$62,2,0)</f>
        <v>715142</v>
      </c>
      <c r="D51" s="23">
        <f t="shared" si="0"/>
        <v>1430.2840000000001</v>
      </c>
      <c r="E51" s="28">
        <f>VLOOKUP(A51,[2]進出口值表查詢結果!$A$9:$C$74,3,0)</f>
        <v>500</v>
      </c>
      <c r="F51" s="29">
        <f t="shared" si="6"/>
        <v>3.4201831850113893E-3</v>
      </c>
      <c r="G51" s="27">
        <f>VLOOKUP(A51,[2]進出口值表查詢結果!$A$9:$C$74,2,0)</f>
        <v>715142</v>
      </c>
      <c r="H51" s="29">
        <f t="shared" si="7"/>
        <v>4.4743942285043227E-3</v>
      </c>
      <c r="I51" s="25">
        <f t="shared" si="1"/>
        <v>1430.2840000000001</v>
      </c>
    </row>
    <row r="52" spans="1:9">
      <c r="A52" s="456" t="s">
        <v>22</v>
      </c>
      <c r="B52" s="27">
        <v>0</v>
      </c>
      <c r="C52" s="28">
        <v>0</v>
      </c>
      <c r="D52" s="23">
        <f t="shared" si="0"/>
        <v>0</v>
      </c>
      <c r="E52" s="28">
        <f>VLOOKUP(A52,[2]進出口值表查詢結果!$A$9:$C$74,3,0)</f>
        <v>182</v>
      </c>
      <c r="F52" s="29">
        <f t="shared" si="6"/>
        <v>1.2449466793441456E-3</v>
      </c>
      <c r="G52" s="27">
        <f>VLOOKUP(A52,[2]進出口值表查詢結果!$A$9:$C$74,2,0)</f>
        <v>265585</v>
      </c>
      <c r="H52" s="29">
        <f t="shared" si="7"/>
        <v>1.6616727743263863E-3</v>
      </c>
      <c r="I52" s="25">
        <f t="shared" si="1"/>
        <v>1459.2582417582419</v>
      </c>
    </row>
    <row r="53" spans="1:9">
      <c r="A53" s="455" t="s">
        <v>226</v>
      </c>
      <c r="B53" s="27">
        <f>VLOOKUP(A53,[1]進出口值表查詢結果!$A$10:$C$62,3,0)</f>
        <v>333</v>
      </c>
      <c r="C53" s="28">
        <f>VLOOKUP(A53,[1]進出口值表查詢結果!$A$10:$C$62,2,0)</f>
        <v>462544</v>
      </c>
      <c r="D53" s="23">
        <f t="shared" si="0"/>
        <v>1389.0210210210209</v>
      </c>
      <c r="E53" s="28">
        <f>VLOOKUP(A53,[2]進出口值表查詢結果!$A$9:$C$74,3,0)</f>
        <v>402</v>
      </c>
      <c r="F53" s="29">
        <f t="shared" si="6"/>
        <v>2.7498272807491568E-3</v>
      </c>
      <c r="G53" s="27">
        <f>VLOOKUP(A53,[2]進出口值表查詢結果!$A$9:$C$74,2,0)</f>
        <v>511227</v>
      </c>
      <c r="H53" s="29">
        <f t="shared" si="7"/>
        <v>3.1985691488621553E-3</v>
      </c>
      <c r="I53" s="25">
        <f t="shared" si="1"/>
        <v>1271.7089552238806</v>
      </c>
    </row>
    <row r="54" spans="1:9">
      <c r="A54" s="456" t="s">
        <v>227</v>
      </c>
      <c r="B54" s="27">
        <f>VLOOKUP(A54,[1]進出口值表查詢結果!$A$10:$C$62,3,0)</f>
        <v>2594</v>
      </c>
      <c r="C54" s="28">
        <f>VLOOKUP(A54,[1]進出口值表查詢結果!$A$10:$C$62,2,0)</f>
        <v>2335956</v>
      </c>
      <c r="D54" s="23">
        <f t="shared" si="0"/>
        <v>900.52274479568234</v>
      </c>
      <c r="E54" s="28">
        <f>VLOOKUP(A54,[2]進出口值表查詢結果!$A$9:$C$74,3,0)</f>
        <v>4349</v>
      </c>
      <c r="F54" s="29">
        <f t="shared" si="6"/>
        <v>2.9748753343229063E-2</v>
      </c>
      <c r="G54" s="27">
        <f>VLOOKUP(A54,[2]進出口值表查詢結果!$A$9:$C$74,2,0)</f>
        <v>4914234</v>
      </c>
      <c r="H54" s="29">
        <f t="shared" si="7"/>
        <v>3.0746649262831317E-2</v>
      </c>
      <c r="I54" s="25">
        <f t="shared" si="1"/>
        <v>1129.9687284433203</v>
      </c>
    </row>
    <row r="55" spans="1:9">
      <c r="A55" s="456" t="s">
        <v>23</v>
      </c>
      <c r="B55" s="27">
        <v>0</v>
      </c>
      <c r="C55" s="28">
        <v>0</v>
      </c>
      <c r="D55" s="23">
        <f t="shared" si="0"/>
        <v>0</v>
      </c>
      <c r="E55" s="28">
        <v>0</v>
      </c>
      <c r="F55" s="29">
        <f t="shared" si="6"/>
        <v>0</v>
      </c>
      <c r="G55" s="27">
        <v>0</v>
      </c>
      <c r="H55" s="29">
        <f t="shared" si="7"/>
        <v>0</v>
      </c>
      <c r="I55" s="25">
        <f t="shared" si="1"/>
        <v>0</v>
      </c>
    </row>
    <row r="56" spans="1:9">
      <c r="A56" s="456" t="s">
        <v>228</v>
      </c>
      <c r="B56" s="27">
        <f>VLOOKUP(A56,[1]進出口值表查詢結果!$A$10:$C$62,3,0)</f>
        <v>6698</v>
      </c>
      <c r="C56" s="28">
        <f>VLOOKUP(A56,[1]進出口值表查詢結果!$A$10:$C$62,2,0)</f>
        <v>10176413</v>
      </c>
      <c r="D56" s="23">
        <f t="shared" si="0"/>
        <v>1519.3211406389967</v>
      </c>
      <c r="E56" s="28">
        <f>VLOOKUP(A56,[2]進出口值表查詢結果!$A$9:$C$74,3,0)</f>
        <v>17578</v>
      </c>
      <c r="F56" s="29">
        <f t="shared" si="6"/>
        <v>0.1202399600522604</v>
      </c>
      <c r="G56" s="27">
        <f>VLOOKUP(A56,[2]進出口值表查詢結果!$A$9:$C$74,2,0)</f>
        <v>22288368</v>
      </c>
      <c r="H56" s="29">
        <f t="shared" si="7"/>
        <v>0.13945054987957697</v>
      </c>
      <c r="I56" s="25">
        <f t="shared" si="1"/>
        <v>1267.9695073387188</v>
      </c>
    </row>
    <row r="57" spans="1:9">
      <c r="A57" s="458" t="s">
        <v>229</v>
      </c>
      <c r="B57" s="27">
        <f>VLOOKUP(A57,[1]進出口值表查詢結果!$A$10:$C$62,3,0)</f>
        <v>764</v>
      </c>
      <c r="C57" s="28">
        <f>VLOOKUP(A57,[1]進出口值表查詢結果!$A$10:$C$62,2,0)</f>
        <v>1254735</v>
      </c>
      <c r="D57" s="23">
        <f t="shared" si="0"/>
        <v>1642.3232984293193</v>
      </c>
      <c r="E57" s="28">
        <f>VLOOKUP(A57,[2]進出口值表查詢結果!$A$9:$C$74,3,0)</f>
        <v>1518</v>
      </c>
      <c r="F57" s="29">
        <f t="shared" si="6"/>
        <v>1.0383676149694578E-2</v>
      </c>
      <c r="G57" s="27">
        <f>VLOOKUP(A57,[2]進出口值表查詢結果!$A$9:$C$74,2,0)</f>
        <v>2654382</v>
      </c>
      <c r="H57" s="29">
        <f t="shared" si="7"/>
        <v>1.660754297894091E-2</v>
      </c>
      <c r="I57" s="25">
        <f t="shared" si="1"/>
        <v>1748.604743083004</v>
      </c>
    </row>
    <row r="58" spans="1:9">
      <c r="A58" s="456" t="s">
        <v>24</v>
      </c>
      <c r="B58" s="27">
        <f>VLOOKUP(A58,[1]進出口值表查詢結果!$A$10:$C$62,3,0)</f>
        <v>1126</v>
      </c>
      <c r="C58" s="28">
        <f>VLOOKUP(A58,[1]進出口值表查詢結果!$A$10:$C$62,2,0)</f>
        <v>1214600</v>
      </c>
      <c r="D58" s="23">
        <f t="shared" si="0"/>
        <v>1078.6856127886324</v>
      </c>
      <c r="E58" s="28">
        <f>VLOOKUP(A58,[2]進出口值表查詢結果!$A$9:$C$74,3,0)</f>
        <v>1126</v>
      </c>
      <c r="F58" s="29">
        <f t="shared" si="6"/>
        <v>7.7022525326456487E-3</v>
      </c>
      <c r="G58" s="27">
        <f>VLOOKUP(A58,[2]進出口值表查詢結果!$A$9:$C$74,2,0)</f>
        <v>1214600</v>
      </c>
      <c r="H58" s="29">
        <f t="shared" si="7"/>
        <v>7.5993288464967111E-3</v>
      </c>
      <c r="I58" s="25">
        <f t="shared" si="1"/>
        <v>1078.6856127886324</v>
      </c>
    </row>
    <row r="59" spans="1:9">
      <c r="A59" s="456" t="s">
        <v>25</v>
      </c>
      <c r="B59" s="27">
        <v>0</v>
      </c>
      <c r="C59" s="28">
        <v>0</v>
      </c>
      <c r="D59" s="23">
        <f t="shared" si="0"/>
        <v>0</v>
      </c>
      <c r="E59" s="28">
        <f>VLOOKUP(A59,[2]進出口值表查詢結果!$A$9:$C$74,3,0)</f>
        <v>90</v>
      </c>
      <c r="F59" s="29">
        <f t="shared" si="6"/>
        <v>6.1563297330205003E-4</v>
      </c>
      <c r="G59" s="27">
        <f>VLOOKUP(A59,[2]進出口值表查詢結果!$A$9:$C$74,2,0)</f>
        <v>16677</v>
      </c>
      <c r="H59" s="29">
        <f t="shared" si="7"/>
        <v>1.0434217616748365E-4</v>
      </c>
      <c r="I59" s="25">
        <f t="shared" si="1"/>
        <v>185.3</v>
      </c>
    </row>
    <row r="60" spans="1:9">
      <c r="A60" s="456" t="s">
        <v>26</v>
      </c>
      <c r="B60" s="27">
        <f>VLOOKUP(A60,[1]進出口值表查詢結果!$A$10:$C$62,3,0)</f>
        <v>244</v>
      </c>
      <c r="C60" s="28">
        <f>VLOOKUP(A60,[1]進出口值表查詢結果!$A$10:$C$62,2,0)</f>
        <v>335449</v>
      </c>
      <c r="D60" s="23">
        <f t="shared" si="0"/>
        <v>1374.7909836065573</v>
      </c>
      <c r="E60" s="28">
        <f>VLOOKUP(A60,[2]進出口值表查詢結果!$A$9:$C$74,3,0)</f>
        <v>446</v>
      </c>
      <c r="F60" s="29">
        <f t="shared" si="6"/>
        <v>3.0508034010301591E-3</v>
      </c>
      <c r="G60" s="27">
        <f>VLOOKUP(A60,[2]進出口值表查詢結果!$A$9:$C$74,2,0)</f>
        <v>607846</v>
      </c>
      <c r="H60" s="29">
        <f t="shared" si="7"/>
        <v>3.8030805549379544E-3</v>
      </c>
      <c r="I60" s="25">
        <f t="shared" si="1"/>
        <v>1362.8834080717488</v>
      </c>
    </row>
    <row r="61" spans="1:9">
      <c r="A61" s="457" t="s">
        <v>230</v>
      </c>
      <c r="B61" s="27">
        <f>VLOOKUP(A61,[1]進出口值表查詢結果!$A$10:$C$62,3,0)</f>
        <v>306</v>
      </c>
      <c r="C61" s="28">
        <f>VLOOKUP(A61,[1]進出口值表查詢結果!$A$10:$C$62,2,0)</f>
        <v>642620</v>
      </c>
      <c r="D61" s="23">
        <f t="shared" si="0"/>
        <v>2100.0653594771243</v>
      </c>
      <c r="E61" s="28">
        <f>VLOOKUP(A61,[2]進出口值表查詢結果!$A$9:$C$74,3,0)</f>
        <v>306</v>
      </c>
      <c r="F61" s="29">
        <f t="shared" si="6"/>
        <v>2.0931521092269704E-3</v>
      </c>
      <c r="G61" s="27">
        <f>VLOOKUP(A61,[2]進出口值表查詢結果!$A$9:$C$74,2,0)</f>
        <v>642620</v>
      </c>
      <c r="H61" s="29">
        <f t="shared" si="7"/>
        <v>4.0206493523264582E-3</v>
      </c>
      <c r="I61" s="25">
        <f t="shared" si="1"/>
        <v>2100.0653594771243</v>
      </c>
    </row>
    <row r="62" spans="1:9">
      <c r="A62" s="456" t="s">
        <v>27</v>
      </c>
      <c r="B62" s="27">
        <f>VLOOKUP(A62,[1]進出口值表查詢結果!$A$10:$C$62,3,0)</f>
        <v>327</v>
      </c>
      <c r="C62" s="28">
        <f>VLOOKUP(A62,[1]進出口值表查詢結果!$A$10:$C$62,2,0)</f>
        <v>530379</v>
      </c>
      <c r="D62" s="23">
        <f t="shared" si="0"/>
        <v>1621.954128440367</v>
      </c>
      <c r="E62" s="28">
        <f>VLOOKUP(A62,[2]進出口值表查詢結果!$A$9:$C$74,3,0)</f>
        <v>342</v>
      </c>
      <c r="F62" s="29">
        <f t="shared" si="6"/>
        <v>2.3394052985477904E-3</v>
      </c>
      <c r="G62" s="27">
        <f>VLOOKUP(A62,[2]進出口值表查詢結果!$A$9:$C$74,2,0)</f>
        <v>532628</v>
      </c>
      <c r="H62" s="29">
        <f t="shared" si="7"/>
        <v>3.332467746461263E-3</v>
      </c>
      <c r="I62" s="25">
        <f t="shared" si="1"/>
        <v>1557.3918128654971</v>
      </c>
    </row>
    <row r="63" spans="1:9">
      <c r="A63" s="295" t="s">
        <v>231</v>
      </c>
      <c r="B63" s="27">
        <f>VLOOKUP(A63,[1]進出口值表查詢結果!$A$10:$C$62,3,0)</f>
        <v>32</v>
      </c>
      <c r="C63" s="28">
        <f>VLOOKUP(A63,[1]進出口值表查詢結果!$A$10:$C$62,2,0)</f>
        <v>17756</v>
      </c>
      <c r="D63" s="23">
        <f t="shared" si="0"/>
        <v>554.875</v>
      </c>
      <c r="E63" s="28">
        <f>VLOOKUP(A63,[2]進出口值表查詢結果!$A$9:$C$74,3,0)</f>
        <v>32</v>
      </c>
      <c r="F63" s="29">
        <f t="shared" si="6"/>
        <v>2.1889172384072892E-4</v>
      </c>
      <c r="G63" s="27">
        <f>VLOOKUP(A63,[2]進出口值表查詢結果!$A$9:$C$74,2,0)</f>
        <v>17756</v>
      </c>
      <c r="H63" s="29">
        <f t="shared" si="7"/>
        <v>1.110931030778821E-4</v>
      </c>
      <c r="I63" s="25">
        <f t="shared" si="1"/>
        <v>554.875</v>
      </c>
    </row>
    <row r="64" spans="1:9">
      <c r="A64" s="456" t="s">
        <v>28</v>
      </c>
      <c r="B64" s="27">
        <f>VLOOKUP(A64,[1]進出口值表查詢結果!$A$10:$C$62,3,0)</f>
        <v>87</v>
      </c>
      <c r="C64" s="28">
        <f>VLOOKUP(A64,[1]進出口值表查詢結果!$A$10:$C$62,2,0)</f>
        <v>153235</v>
      </c>
      <c r="D64" s="23">
        <f t="shared" si="0"/>
        <v>1761.3218390804598</v>
      </c>
      <c r="E64" s="28">
        <f>VLOOKUP(A64,[2]進出口值表查詢結果!$A$9:$C$74,3,0)</f>
        <v>125</v>
      </c>
      <c r="F64" s="29">
        <f t="shared" si="6"/>
        <v>8.5504579625284732E-4</v>
      </c>
      <c r="G64" s="27">
        <f>VLOOKUP(A64,[2]進出口值表查詢結果!$A$9:$C$74,2,0)</f>
        <v>240413</v>
      </c>
      <c r="H64" s="29">
        <f t="shared" si="7"/>
        <v>1.5041803441238381E-3</v>
      </c>
      <c r="I64" s="25">
        <f t="shared" si="1"/>
        <v>1923.3040000000001</v>
      </c>
    </row>
    <row r="65" spans="1:256">
      <c r="A65" s="295" t="s">
        <v>232</v>
      </c>
      <c r="B65" s="27">
        <f>VLOOKUP(A65,[1]進出口值表查詢結果!$A$10:$C$62,3,0)</f>
        <v>144</v>
      </c>
      <c r="C65" s="28">
        <f>VLOOKUP(A65,[1]進出口值表查詢結果!$A$10:$C$62,2,0)</f>
        <v>257890</v>
      </c>
      <c r="D65" s="23">
        <f t="shared" si="0"/>
        <v>1790.9027777777778</v>
      </c>
      <c r="E65" s="28">
        <f>VLOOKUP(A65,[2]進出口值表查詢結果!$A$9:$C$74,3,0)</f>
        <v>210</v>
      </c>
      <c r="F65" s="29">
        <f t="shared" si="6"/>
        <v>1.4364769377047835E-3</v>
      </c>
      <c r="G65" s="27">
        <f>VLOOKUP(A65,[2]進出口值表查詢結果!$A$9:$C$74,2,0)</f>
        <v>373990</v>
      </c>
      <c r="H65" s="29">
        <f t="shared" si="7"/>
        <v>2.3399250743465377E-3</v>
      </c>
      <c r="I65" s="25">
        <f t="shared" si="1"/>
        <v>1780.9047619047619</v>
      </c>
    </row>
    <row r="66" spans="1:256">
      <c r="A66" s="30" t="s">
        <v>29</v>
      </c>
      <c r="B66" s="27">
        <f>B67-B7-B12-B41-B47</f>
        <v>1013</v>
      </c>
      <c r="C66" s="27">
        <f>C67-C7-C12-C41-C47</f>
        <v>1361493</v>
      </c>
      <c r="D66" s="23">
        <f t="shared" si="0"/>
        <v>1344.0207305034551</v>
      </c>
      <c r="E66" s="27">
        <v>0</v>
      </c>
      <c r="F66" s="29">
        <f>E66/$E$67</f>
        <v>0</v>
      </c>
      <c r="G66" s="27">
        <f>G67-G7-G12-G41-G47</f>
        <v>37286839</v>
      </c>
      <c r="H66" s="29">
        <f t="shared" si="7"/>
        <v>0.23329075515180189</v>
      </c>
      <c r="I66" s="25">
        <f t="shared" si="1"/>
        <v>0</v>
      </c>
    </row>
    <row r="67" spans="1:256">
      <c r="A67" s="296" t="s">
        <v>405</v>
      </c>
      <c r="B67" s="27">
        <f>VLOOKUP(A67,[1]進出口值表查詢結果!$A$10:$C$62,3,0)</f>
        <v>71119</v>
      </c>
      <c r="C67" s="28">
        <f>VLOOKUP(A67,[1]進出口值表查詢結果!$A$10:$C$62,2,0)</f>
        <v>75549991</v>
      </c>
      <c r="D67" s="23">
        <f t="shared" ref="D67" si="10">C67/B67</f>
        <v>1062.3038990986938</v>
      </c>
      <c r="E67" s="28">
        <f>VLOOKUP(A67,[2]進出口值表查詢結果!$A$9:$C$74,3,0)</f>
        <v>146191</v>
      </c>
      <c r="F67" s="24">
        <f>E67/$E$67</f>
        <v>1</v>
      </c>
      <c r="G67" s="27">
        <f>VLOOKUP(A67,[2]進出口值表查詢結果!$A$9:$C$74,2,0)</f>
        <v>159829904</v>
      </c>
      <c r="H67" s="24">
        <f>G67/$G$67</f>
        <v>1</v>
      </c>
      <c r="I67" s="25">
        <f>G67/E67</f>
        <v>1093.2951002455691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63" t="s">
        <v>153</v>
      </c>
      <c r="B69" s="564"/>
      <c r="C69" s="564"/>
      <c r="D69" s="564"/>
      <c r="E69" s="564"/>
      <c r="F69" s="564"/>
      <c r="G69" s="564"/>
      <c r="H69" s="564"/>
      <c r="I69" s="565"/>
    </row>
    <row r="70" spans="1:256">
      <c r="A70" s="8" t="s">
        <v>490</v>
      </c>
      <c r="B70" s="8" t="s">
        <v>491</v>
      </c>
      <c r="C70" s="8" t="s">
        <v>492</v>
      </c>
      <c r="D70" s="9" t="s">
        <v>0</v>
      </c>
      <c r="E70" s="10" t="s">
        <v>493</v>
      </c>
      <c r="F70" s="11" t="s">
        <v>1</v>
      </c>
      <c r="G70" s="73" t="s">
        <v>494</v>
      </c>
      <c r="H70" s="45" t="s">
        <v>1</v>
      </c>
      <c r="I70" s="43" t="s">
        <v>0</v>
      </c>
    </row>
    <row r="71" spans="1:256">
      <c r="A71" s="46"/>
      <c r="B71" s="47" t="s">
        <v>2</v>
      </c>
      <c r="C71" s="48" t="s">
        <v>3</v>
      </c>
      <c r="D71" s="43" t="s">
        <v>3</v>
      </c>
      <c r="E71" s="49" t="s">
        <v>2</v>
      </c>
      <c r="F71" s="44"/>
      <c r="G71" s="553" t="s">
        <v>3</v>
      </c>
      <c r="H71" s="51"/>
      <c r="I71" s="43" t="s">
        <v>3</v>
      </c>
    </row>
    <row r="72" spans="1:256">
      <c r="A72" s="32" t="s">
        <v>30</v>
      </c>
      <c r="B72" s="27">
        <v>1715</v>
      </c>
      <c r="C72" s="27">
        <v>415174</v>
      </c>
      <c r="D72" s="523">
        <f>C72/B72</f>
        <v>242.08396501457727</v>
      </c>
      <c r="E72" s="27">
        <v>2813</v>
      </c>
      <c r="F72" s="524">
        <v>1</v>
      </c>
      <c r="G72" s="27">
        <v>974367</v>
      </c>
      <c r="H72" s="552">
        <v>1</v>
      </c>
      <c r="I72" s="52">
        <f>G72/E72</f>
        <v>346.38002132954142</v>
      </c>
    </row>
    <row r="73" spans="1:256" ht="10.5" customHeight="1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4" t="s">
        <v>31</v>
      </c>
      <c r="B74" s="55"/>
      <c r="C74" s="55"/>
      <c r="D74" s="56"/>
      <c r="E74" s="55"/>
      <c r="F74" s="55"/>
      <c r="G74" s="55"/>
      <c r="H74" s="55"/>
      <c r="I74" s="56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  <c r="HU75" s="55"/>
      <c r="HV75" s="55"/>
      <c r="HW75" s="55"/>
      <c r="HX75" s="55"/>
      <c r="HY75" s="55"/>
      <c r="HZ75" s="55"/>
      <c r="IA75" s="55"/>
      <c r="IB75" s="55"/>
      <c r="IC75" s="55"/>
      <c r="ID75" s="55"/>
      <c r="IE75" s="55"/>
      <c r="IF75" s="55"/>
      <c r="IG75" s="55"/>
      <c r="IH75" s="55"/>
      <c r="II75" s="55"/>
      <c r="IJ75" s="55"/>
      <c r="IK75" s="55"/>
      <c r="IL75" s="55"/>
      <c r="IM75" s="55"/>
      <c r="IN75" s="55"/>
      <c r="IO75" s="55"/>
      <c r="IP75" s="55"/>
      <c r="IQ75" s="55"/>
      <c r="IR75" s="55"/>
      <c r="IS75" s="55"/>
      <c r="IT75" s="55"/>
      <c r="IU75" s="55"/>
      <c r="IV75" s="55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0"/>
  <sheetViews>
    <sheetView topLeftCell="A55" workbookViewId="0">
      <selection activeCell="C68" sqref="C68"/>
    </sheetView>
  </sheetViews>
  <sheetFormatPr defaultRowHeight="16.5"/>
  <cols>
    <col min="1" max="1" width="18.5" style="5" customWidth="1"/>
    <col min="2" max="2" width="12.125" style="5" customWidth="1"/>
    <col min="3" max="3" width="12.125" style="59" customWidth="1"/>
    <col min="4" max="4" width="13.75" style="60" customWidth="1"/>
    <col min="5" max="5" width="13.5" style="533" customWidth="1"/>
    <col min="6" max="6" width="15.125" style="59" customWidth="1"/>
    <col min="7" max="7" width="12.25" style="60" customWidth="1"/>
    <col min="8" max="9" width="14.625" style="5" bestFit="1" customWidth="1"/>
    <col min="10" max="10" width="11.25" style="5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5" style="5" bestFit="1" customWidth="1"/>
    <col min="16139" max="16384" width="8.875" style="5"/>
  </cols>
  <sheetData>
    <row r="1" spans="1:10" ht="19.5">
      <c r="A1" s="1" t="s">
        <v>527</v>
      </c>
      <c r="B1" s="1"/>
      <c r="C1" s="57"/>
      <c r="D1" s="58"/>
      <c r="E1" s="544"/>
      <c r="F1" s="57"/>
      <c r="G1" s="58"/>
    </row>
    <row r="3" spans="1:10">
      <c r="A3" s="112" t="s">
        <v>154</v>
      </c>
      <c r="B3" s="63"/>
      <c r="C3" s="66"/>
      <c r="D3" s="65"/>
      <c r="E3" s="534"/>
      <c r="F3" s="66"/>
      <c r="G3" s="206"/>
      <c r="H3" s="207"/>
      <c r="I3" s="68"/>
      <c r="J3" s="69"/>
    </row>
    <row r="4" spans="1:10">
      <c r="A4" s="70" t="s">
        <v>498</v>
      </c>
      <c r="B4" s="8" t="s">
        <v>463</v>
      </c>
      <c r="C4" s="71" t="s">
        <v>464</v>
      </c>
      <c r="D4" s="72" t="s">
        <v>159</v>
      </c>
      <c r="E4" s="535" t="s">
        <v>466</v>
      </c>
      <c r="F4" s="71" t="s">
        <v>464</v>
      </c>
      <c r="G4" s="74" t="s">
        <v>160</v>
      </c>
      <c r="H4" s="8" t="s">
        <v>463</v>
      </c>
      <c r="I4" s="71" t="s">
        <v>464</v>
      </c>
      <c r="J4" s="208" t="s">
        <v>117</v>
      </c>
    </row>
    <row r="5" spans="1:10">
      <c r="A5" s="46"/>
      <c r="B5" s="77" t="s">
        <v>32</v>
      </c>
      <c r="C5" s="76" t="s">
        <v>32</v>
      </c>
      <c r="D5" s="209" t="s">
        <v>1</v>
      </c>
      <c r="E5" s="536" t="s">
        <v>33</v>
      </c>
      <c r="F5" s="76" t="s">
        <v>33</v>
      </c>
      <c r="G5" s="209" t="s">
        <v>1</v>
      </c>
      <c r="H5" s="78" t="s">
        <v>34</v>
      </c>
      <c r="I5" s="79" t="s">
        <v>118</v>
      </c>
      <c r="J5" s="209" t="s">
        <v>1</v>
      </c>
    </row>
    <row r="6" spans="1:10">
      <c r="A6" s="20" t="s">
        <v>4</v>
      </c>
      <c r="B6" s="210"/>
      <c r="C6" s="81"/>
      <c r="D6" s="211"/>
      <c r="E6" s="537"/>
      <c r="F6" s="81"/>
      <c r="G6" s="212"/>
      <c r="H6" s="213"/>
      <c r="I6" s="84"/>
      <c r="J6" s="212"/>
    </row>
    <row r="7" spans="1:10">
      <c r="A7" s="123" t="s">
        <v>5</v>
      </c>
      <c r="B7" s="214">
        <f>SUM(B8:B10)</f>
        <v>0</v>
      </c>
      <c r="C7" s="215">
        <f>SUM(C8:C10)</f>
        <v>0</v>
      </c>
      <c r="D7" s="519">
        <f>IF(C7,(B7-C7)/C7,0)</f>
        <v>0</v>
      </c>
      <c r="E7" s="538">
        <f>SUM(E8:E10)</f>
        <v>0</v>
      </c>
      <c r="F7" s="215">
        <f>SUM(F8:F10)</f>
        <v>0</v>
      </c>
      <c r="G7" s="519">
        <f>IF(F7,(E7-F7)/F7,0)</f>
        <v>0</v>
      </c>
      <c r="H7" s="87">
        <f>IF(B7,E7/B7,0)</f>
        <v>0</v>
      </c>
      <c r="I7" s="88">
        <f>IF(C7,F7/C7,0)</f>
        <v>0</v>
      </c>
      <c r="J7" s="516">
        <f>IF(I7,(H7-I7)/I7,0)</f>
        <v>0</v>
      </c>
    </row>
    <row r="8" spans="1:10">
      <c r="A8" s="77" t="s">
        <v>383</v>
      </c>
      <c r="B8" s="216">
        <f>折疊車!E8</f>
        <v>0</v>
      </c>
      <c r="C8" s="217">
        <v>0</v>
      </c>
      <c r="D8" s="519">
        <f t="shared" ref="D8:D68" si="0">IF(C8,(B8-C8)/C8,0)</f>
        <v>0</v>
      </c>
      <c r="E8" s="539">
        <f>折疊車!G8</f>
        <v>0</v>
      </c>
      <c r="F8" s="217">
        <v>0</v>
      </c>
      <c r="G8" s="519">
        <f t="shared" ref="G8:G68" si="1">IF(F8,(E8-F8)/F8,0)</f>
        <v>0</v>
      </c>
      <c r="H8" s="87">
        <f t="shared" ref="H8:H10" si="2">IF(B8,E8/B8,0)</f>
        <v>0</v>
      </c>
      <c r="I8" s="88">
        <f t="shared" ref="I8:I10" si="3">IF(C8,F8/C8,0)</f>
        <v>0</v>
      </c>
      <c r="J8" s="516">
        <f t="shared" ref="J8:J68" si="4">IF(I8,(H8-I8)/I8,0)</f>
        <v>0</v>
      </c>
    </row>
    <row r="9" spans="1:10">
      <c r="A9" s="30" t="s">
        <v>6</v>
      </c>
      <c r="B9" s="216">
        <f>折疊車!E9</f>
        <v>0</v>
      </c>
      <c r="C9" s="217">
        <v>0</v>
      </c>
      <c r="D9" s="519">
        <f t="shared" si="0"/>
        <v>0</v>
      </c>
      <c r="E9" s="539">
        <f>折疊車!G9</f>
        <v>0</v>
      </c>
      <c r="F9" s="217">
        <f>_xlfn.IFNA(VLOOKUP(A9,[3]折同!$C$3:$H$352,3,0),-[4]整車!$B$22)</f>
        <v>0</v>
      </c>
      <c r="G9" s="519">
        <f t="shared" si="1"/>
        <v>0</v>
      </c>
      <c r="H9" s="87">
        <f t="shared" si="2"/>
        <v>0</v>
      </c>
      <c r="I9" s="88">
        <f t="shared" si="3"/>
        <v>0</v>
      </c>
      <c r="J9" s="516">
        <f t="shared" si="4"/>
        <v>0</v>
      </c>
    </row>
    <row r="10" spans="1:10">
      <c r="A10" s="30" t="s">
        <v>7</v>
      </c>
      <c r="B10" s="216">
        <f>折疊車!E10</f>
        <v>0</v>
      </c>
      <c r="C10" s="217">
        <v>0</v>
      </c>
      <c r="D10" s="519">
        <f t="shared" si="0"/>
        <v>0</v>
      </c>
      <c r="E10" s="539">
        <f>折疊車!G10</f>
        <v>0</v>
      </c>
      <c r="F10" s="217">
        <f>_xlfn.IFNA(VLOOKUP(A10,[3]折同!$C$3:$H$352,3,0),-[4]整車!$B$22)</f>
        <v>0</v>
      </c>
      <c r="G10" s="519">
        <f t="shared" si="1"/>
        <v>0</v>
      </c>
      <c r="H10" s="87">
        <f t="shared" si="2"/>
        <v>0</v>
      </c>
      <c r="I10" s="88">
        <f t="shared" si="3"/>
        <v>0</v>
      </c>
      <c r="J10" s="516">
        <f t="shared" si="4"/>
        <v>0</v>
      </c>
    </row>
    <row r="11" spans="1:10">
      <c r="A11" s="30"/>
      <c r="B11" s="27"/>
      <c r="C11" s="90"/>
      <c r="D11" s="519"/>
      <c r="E11" s="540"/>
      <c r="F11" s="90"/>
      <c r="G11" s="519"/>
      <c r="H11" s="87"/>
      <c r="I11" s="88"/>
      <c r="J11" s="516"/>
    </row>
    <row r="12" spans="1:10">
      <c r="A12" s="32" t="s">
        <v>8</v>
      </c>
      <c r="B12" s="33">
        <f>SUM(B13:B39)</f>
        <v>100</v>
      </c>
      <c r="C12" s="91">
        <f>SUM(C13:C39)</f>
        <v>48</v>
      </c>
      <c r="D12" s="519">
        <f t="shared" si="0"/>
        <v>1.0833333333333333</v>
      </c>
      <c r="E12" s="541">
        <f>SUM(E13:E39)</f>
        <v>40230</v>
      </c>
      <c r="F12" s="91">
        <f>SUM(F13:F39)</f>
        <v>40131</v>
      </c>
      <c r="G12" s="519">
        <f t="shared" si="1"/>
        <v>2.466920834267773E-3</v>
      </c>
      <c r="H12" s="87">
        <f t="shared" ref="H12:H67" si="5">IF(B12,E12/B12,0)</f>
        <v>402.3</v>
      </c>
      <c r="I12" s="88">
        <f t="shared" ref="I12:I67" si="6">IF(C12,F12/C12,0)</f>
        <v>836.0625</v>
      </c>
      <c r="J12" s="516">
        <f t="shared" si="4"/>
        <v>-0.51881587799955142</v>
      </c>
    </row>
    <row r="13" spans="1:10">
      <c r="A13" s="455" t="s">
        <v>202</v>
      </c>
      <c r="B13" s="216">
        <f>折疊車!E13</f>
        <v>100</v>
      </c>
      <c r="C13" s="217">
        <v>0</v>
      </c>
      <c r="D13" s="519">
        <f t="shared" si="0"/>
        <v>0</v>
      </c>
      <c r="E13" s="540">
        <f>折疊車!G13</f>
        <v>40230</v>
      </c>
      <c r="F13" s="217"/>
      <c r="G13" s="519">
        <f t="shared" si="1"/>
        <v>0</v>
      </c>
      <c r="H13" s="87">
        <f t="shared" si="5"/>
        <v>402.3</v>
      </c>
      <c r="I13" s="88">
        <f t="shared" si="6"/>
        <v>0</v>
      </c>
      <c r="J13" s="516">
        <f t="shared" si="4"/>
        <v>0</v>
      </c>
    </row>
    <row r="14" spans="1:10">
      <c r="A14" s="455" t="s">
        <v>203</v>
      </c>
      <c r="B14" s="216">
        <f>折疊車!E14</f>
        <v>0</v>
      </c>
      <c r="C14" s="217">
        <v>0</v>
      </c>
      <c r="D14" s="519">
        <f t="shared" si="0"/>
        <v>0</v>
      </c>
      <c r="E14" s="540">
        <f>折疊車!G14</f>
        <v>0</v>
      </c>
      <c r="F14" s="217">
        <f>_xlfn.IFNA(VLOOKUP(A14,[3]折同!$C$3:$H$355,3,0),-[4]整車!$B$22)</f>
        <v>0</v>
      </c>
      <c r="G14" s="519">
        <f t="shared" si="1"/>
        <v>0</v>
      </c>
      <c r="H14" s="87">
        <f t="shared" si="5"/>
        <v>0</v>
      </c>
      <c r="I14" s="88">
        <f t="shared" si="6"/>
        <v>0</v>
      </c>
      <c r="J14" s="516">
        <f t="shared" si="4"/>
        <v>0</v>
      </c>
    </row>
    <row r="15" spans="1:10">
      <c r="A15" s="456" t="s">
        <v>9</v>
      </c>
      <c r="B15" s="216">
        <f>折疊車!E15</f>
        <v>0</v>
      </c>
      <c r="C15" s="217">
        <f>VLOOKUP(A15,[13]進出口值表查詢結果!$A$10:$C$18,3,0)</f>
        <v>48</v>
      </c>
      <c r="D15" s="519">
        <f t="shared" si="0"/>
        <v>-1</v>
      </c>
      <c r="E15" s="540">
        <f>折疊車!G15</f>
        <v>0</v>
      </c>
      <c r="F15" s="217">
        <f>VLOOKUP(A15,[13]進出口值表查詢結果!$A$10:$C$18,2,0)</f>
        <v>40131</v>
      </c>
      <c r="G15" s="519">
        <f t="shared" si="1"/>
        <v>-1</v>
      </c>
      <c r="H15" s="87">
        <f t="shared" si="5"/>
        <v>0</v>
      </c>
      <c r="I15" s="88">
        <f t="shared" si="6"/>
        <v>836.0625</v>
      </c>
      <c r="J15" s="516">
        <f t="shared" si="4"/>
        <v>-1</v>
      </c>
    </row>
    <row r="16" spans="1:10">
      <c r="A16" s="455" t="s">
        <v>204</v>
      </c>
      <c r="B16" s="216">
        <f>折疊車!E16</f>
        <v>0</v>
      </c>
      <c r="C16" s="217">
        <v>0</v>
      </c>
      <c r="D16" s="519">
        <f t="shared" si="0"/>
        <v>0</v>
      </c>
      <c r="E16" s="540">
        <f>折疊車!G16</f>
        <v>0</v>
      </c>
      <c r="F16" s="217">
        <f>_xlfn.IFNA(VLOOKUP(A16,[3]折同!$C$3:$H$355,3,0),-[4]整車!$B$22)</f>
        <v>0</v>
      </c>
      <c r="G16" s="519">
        <f t="shared" si="1"/>
        <v>0</v>
      </c>
      <c r="H16" s="87">
        <f t="shared" si="5"/>
        <v>0</v>
      </c>
      <c r="I16" s="88">
        <f t="shared" si="6"/>
        <v>0</v>
      </c>
      <c r="J16" s="516">
        <f t="shared" si="4"/>
        <v>0</v>
      </c>
    </row>
    <row r="17" spans="1:10">
      <c r="A17" s="456" t="s">
        <v>10</v>
      </c>
      <c r="B17" s="216">
        <f>折疊車!E17</f>
        <v>0</v>
      </c>
      <c r="C17" s="217">
        <v>0</v>
      </c>
      <c r="D17" s="519">
        <f t="shared" si="0"/>
        <v>0</v>
      </c>
      <c r="E17" s="540">
        <f>折疊車!G17</f>
        <v>0</v>
      </c>
      <c r="F17" s="217">
        <f>_xlfn.IFNA(VLOOKUP(A17,[3]折同!$C$3:$H$355,3,0),-[4]整車!$B$22)</f>
        <v>0</v>
      </c>
      <c r="G17" s="519">
        <f t="shared" si="1"/>
        <v>0</v>
      </c>
      <c r="H17" s="87">
        <f t="shared" si="5"/>
        <v>0</v>
      </c>
      <c r="I17" s="88">
        <f t="shared" si="6"/>
        <v>0</v>
      </c>
      <c r="J17" s="516">
        <f t="shared" si="4"/>
        <v>0</v>
      </c>
    </row>
    <row r="18" spans="1:10">
      <c r="A18" s="456" t="s">
        <v>11</v>
      </c>
      <c r="B18" s="216">
        <f>折疊車!E18</f>
        <v>0</v>
      </c>
      <c r="C18" s="217">
        <v>0</v>
      </c>
      <c r="D18" s="519">
        <f t="shared" si="0"/>
        <v>0</v>
      </c>
      <c r="E18" s="540">
        <f>折疊車!G18</f>
        <v>0</v>
      </c>
      <c r="F18" s="217">
        <f>_xlfn.IFNA(VLOOKUP(A18,[3]折同!$C$3:$H$355,3,0),-[4]整車!$B$22)</f>
        <v>0</v>
      </c>
      <c r="G18" s="519">
        <f t="shared" si="1"/>
        <v>0</v>
      </c>
      <c r="H18" s="87">
        <f t="shared" si="5"/>
        <v>0</v>
      </c>
      <c r="I18" s="88">
        <f t="shared" si="6"/>
        <v>0</v>
      </c>
      <c r="J18" s="516">
        <f t="shared" si="4"/>
        <v>0</v>
      </c>
    </row>
    <row r="19" spans="1:10">
      <c r="A19" s="455" t="s">
        <v>205</v>
      </c>
      <c r="B19" s="216">
        <f>折疊車!E19</f>
        <v>0</v>
      </c>
      <c r="C19" s="217">
        <v>0</v>
      </c>
      <c r="D19" s="519">
        <f t="shared" si="0"/>
        <v>0</v>
      </c>
      <c r="E19" s="540">
        <f>折疊車!G19</f>
        <v>0</v>
      </c>
      <c r="F19" s="217">
        <f>_xlfn.IFNA(VLOOKUP(A19,[3]折同!$C$3:$H$355,3,0),-[4]整車!$B$22)</f>
        <v>0</v>
      </c>
      <c r="G19" s="519">
        <f t="shared" si="1"/>
        <v>0</v>
      </c>
      <c r="H19" s="87">
        <f t="shared" si="5"/>
        <v>0</v>
      </c>
      <c r="I19" s="88">
        <f t="shared" si="6"/>
        <v>0</v>
      </c>
      <c r="J19" s="516">
        <f t="shared" si="4"/>
        <v>0</v>
      </c>
    </row>
    <row r="20" spans="1:10">
      <c r="A20" s="456" t="s">
        <v>12</v>
      </c>
      <c r="B20" s="216">
        <f>折疊車!E20</f>
        <v>0</v>
      </c>
      <c r="C20" s="217">
        <v>0</v>
      </c>
      <c r="D20" s="519">
        <f t="shared" si="0"/>
        <v>0</v>
      </c>
      <c r="E20" s="540">
        <f>折疊車!G20</f>
        <v>0</v>
      </c>
      <c r="F20" s="217">
        <f>_xlfn.IFNA(VLOOKUP(A20,[3]折同!$C$3:$H$355,3,0),-[4]整車!$B$22)</f>
        <v>0</v>
      </c>
      <c r="G20" s="519">
        <f t="shared" si="1"/>
        <v>0</v>
      </c>
      <c r="H20" s="87">
        <f t="shared" si="5"/>
        <v>0</v>
      </c>
      <c r="I20" s="88">
        <f t="shared" si="6"/>
        <v>0</v>
      </c>
      <c r="J20" s="516">
        <f t="shared" si="4"/>
        <v>0</v>
      </c>
    </row>
    <row r="21" spans="1:10">
      <c r="A21" s="455" t="s">
        <v>207</v>
      </c>
      <c r="B21" s="216">
        <f>折疊車!E21</f>
        <v>0</v>
      </c>
      <c r="C21" s="217">
        <v>0</v>
      </c>
      <c r="D21" s="519">
        <f t="shared" si="0"/>
        <v>0</v>
      </c>
      <c r="E21" s="540">
        <f>折疊車!G21</f>
        <v>0</v>
      </c>
      <c r="F21" s="217">
        <f>_xlfn.IFNA(VLOOKUP(A21,[3]折同!$C$3:$H$355,3,0),-[4]整車!$B$22)</f>
        <v>0</v>
      </c>
      <c r="G21" s="519">
        <f t="shared" si="1"/>
        <v>0</v>
      </c>
      <c r="H21" s="87">
        <f t="shared" si="5"/>
        <v>0</v>
      </c>
      <c r="I21" s="88">
        <f t="shared" si="6"/>
        <v>0</v>
      </c>
      <c r="J21" s="516">
        <f t="shared" si="4"/>
        <v>0</v>
      </c>
    </row>
    <row r="22" spans="1:10">
      <c r="A22" s="456" t="s">
        <v>13</v>
      </c>
      <c r="B22" s="216">
        <f>折疊車!E22</f>
        <v>0</v>
      </c>
      <c r="C22" s="217">
        <v>0</v>
      </c>
      <c r="D22" s="519">
        <f t="shared" si="0"/>
        <v>0</v>
      </c>
      <c r="E22" s="540">
        <f>折疊車!G22</f>
        <v>0</v>
      </c>
      <c r="F22" s="217">
        <f>_xlfn.IFNA(VLOOKUP(A22,[3]折同!$C$3:$H$355,3,0),-[4]整車!$B$22)</f>
        <v>0</v>
      </c>
      <c r="G22" s="519">
        <f t="shared" si="1"/>
        <v>0</v>
      </c>
      <c r="H22" s="87">
        <f t="shared" si="5"/>
        <v>0</v>
      </c>
      <c r="I22" s="88">
        <f t="shared" si="6"/>
        <v>0</v>
      </c>
      <c r="J22" s="516">
        <f t="shared" si="4"/>
        <v>0</v>
      </c>
    </row>
    <row r="23" spans="1:10">
      <c r="A23" s="456" t="s">
        <v>14</v>
      </c>
      <c r="B23" s="216">
        <f>折疊車!E23</f>
        <v>0</v>
      </c>
      <c r="C23" s="217">
        <v>0</v>
      </c>
      <c r="D23" s="519">
        <f t="shared" si="0"/>
        <v>0</v>
      </c>
      <c r="E23" s="540">
        <f>折疊車!G23</f>
        <v>0</v>
      </c>
      <c r="F23" s="217">
        <f>_xlfn.IFNA(VLOOKUP(A23,[3]折同!$C$3:$H$355,3,0),-[4]整車!$B$22)</f>
        <v>0</v>
      </c>
      <c r="G23" s="519">
        <f t="shared" si="1"/>
        <v>0</v>
      </c>
      <c r="H23" s="87">
        <f t="shared" si="5"/>
        <v>0</v>
      </c>
      <c r="I23" s="88">
        <f t="shared" si="6"/>
        <v>0</v>
      </c>
      <c r="J23" s="516">
        <f t="shared" si="4"/>
        <v>0</v>
      </c>
    </row>
    <row r="24" spans="1:10">
      <c r="A24" s="456" t="s">
        <v>15</v>
      </c>
      <c r="B24" s="216">
        <f>折疊車!E24</f>
        <v>0</v>
      </c>
      <c r="C24" s="217">
        <v>0</v>
      </c>
      <c r="D24" s="519">
        <f t="shared" si="0"/>
        <v>0</v>
      </c>
      <c r="E24" s="540">
        <f>折疊車!G24</f>
        <v>0</v>
      </c>
      <c r="F24" s="217"/>
      <c r="G24" s="519">
        <f t="shared" si="1"/>
        <v>0</v>
      </c>
      <c r="H24" s="87">
        <f t="shared" si="5"/>
        <v>0</v>
      </c>
      <c r="I24" s="88">
        <f t="shared" si="6"/>
        <v>0</v>
      </c>
      <c r="J24" s="516">
        <f t="shared" si="4"/>
        <v>0</v>
      </c>
    </row>
    <row r="25" spans="1:10">
      <c r="A25" s="455" t="s">
        <v>208</v>
      </c>
      <c r="B25" s="216">
        <f>折疊車!E25</f>
        <v>0</v>
      </c>
      <c r="C25" s="217">
        <v>0</v>
      </c>
      <c r="D25" s="519">
        <f t="shared" si="0"/>
        <v>0</v>
      </c>
      <c r="E25" s="540">
        <f>折疊車!G25</f>
        <v>0</v>
      </c>
      <c r="F25" s="217">
        <f>_xlfn.IFNA(VLOOKUP(A25,[3]折同!$C$3:$H$355,3,0),-[4]整車!$B$22)</f>
        <v>0</v>
      </c>
      <c r="G25" s="519">
        <f t="shared" si="1"/>
        <v>0</v>
      </c>
      <c r="H25" s="87">
        <f t="shared" si="5"/>
        <v>0</v>
      </c>
      <c r="I25" s="88">
        <f t="shared" si="6"/>
        <v>0</v>
      </c>
      <c r="J25" s="516">
        <f t="shared" si="4"/>
        <v>0</v>
      </c>
    </row>
    <row r="26" spans="1:10">
      <c r="A26" s="455" t="s">
        <v>209</v>
      </c>
      <c r="B26" s="216">
        <f>折疊車!E26</f>
        <v>0</v>
      </c>
      <c r="C26" s="217">
        <v>0</v>
      </c>
      <c r="D26" s="519">
        <f t="shared" si="0"/>
        <v>0</v>
      </c>
      <c r="E26" s="540">
        <f>折疊車!G26</f>
        <v>0</v>
      </c>
      <c r="F26" s="217">
        <f>_xlfn.IFNA(VLOOKUP(A26,[3]折同!$C$3:$H$355,3,0),-[4]整車!$B$22)</f>
        <v>0</v>
      </c>
      <c r="G26" s="519">
        <f t="shared" si="1"/>
        <v>0</v>
      </c>
      <c r="H26" s="87">
        <f t="shared" si="5"/>
        <v>0</v>
      </c>
      <c r="I26" s="88">
        <f t="shared" si="6"/>
        <v>0</v>
      </c>
      <c r="J26" s="516">
        <f t="shared" si="4"/>
        <v>0</v>
      </c>
    </row>
    <row r="27" spans="1:10">
      <c r="A27" s="295" t="s">
        <v>210</v>
      </c>
      <c r="B27" s="216">
        <f>折疊車!E27</f>
        <v>0</v>
      </c>
      <c r="C27" s="217">
        <v>0</v>
      </c>
      <c r="D27" s="519">
        <f t="shared" si="0"/>
        <v>0</v>
      </c>
      <c r="E27" s="540">
        <f>折疊車!G27</f>
        <v>0</v>
      </c>
      <c r="F27" s="217">
        <f>_xlfn.IFNA(VLOOKUP(A27,[3]折同!$C$3:$H$355,3,0),-[4]整車!$B$22)</f>
        <v>0</v>
      </c>
      <c r="G27" s="519">
        <f t="shared" si="1"/>
        <v>0</v>
      </c>
      <c r="H27" s="87">
        <f t="shared" si="5"/>
        <v>0</v>
      </c>
      <c r="I27" s="88">
        <f t="shared" si="6"/>
        <v>0</v>
      </c>
      <c r="J27" s="516">
        <f t="shared" si="4"/>
        <v>0</v>
      </c>
    </row>
    <row r="28" spans="1:10">
      <c r="A28" s="295" t="s">
        <v>211</v>
      </c>
      <c r="B28" s="216">
        <f>折疊車!E28</f>
        <v>0</v>
      </c>
      <c r="C28" s="217">
        <v>0</v>
      </c>
      <c r="D28" s="519">
        <f t="shared" si="0"/>
        <v>0</v>
      </c>
      <c r="E28" s="540">
        <f>折疊車!G28</f>
        <v>0</v>
      </c>
      <c r="F28" s="217">
        <f>_xlfn.IFNA(VLOOKUP(A28,[3]折同!$C$3:$H$355,3,0),-[4]整車!$B$22)</f>
        <v>0</v>
      </c>
      <c r="G28" s="519">
        <f t="shared" si="1"/>
        <v>0</v>
      </c>
      <c r="H28" s="87">
        <f t="shared" si="5"/>
        <v>0</v>
      </c>
      <c r="I28" s="88">
        <f t="shared" si="6"/>
        <v>0</v>
      </c>
      <c r="J28" s="516">
        <f t="shared" si="4"/>
        <v>0</v>
      </c>
    </row>
    <row r="29" spans="1:10">
      <c r="A29" s="456" t="s">
        <v>212</v>
      </c>
      <c r="B29" s="216">
        <f>折疊車!E29</f>
        <v>0</v>
      </c>
      <c r="C29" s="217">
        <v>0</v>
      </c>
      <c r="D29" s="519">
        <f t="shared" si="0"/>
        <v>0</v>
      </c>
      <c r="E29" s="540">
        <f>折疊車!G29</f>
        <v>0</v>
      </c>
      <c r="F29" s="217">
        <f>_xlfn.IFNA(VLOOKUP(A29,[3]折同!$C$3:$H$355,3,0),-[4]整車!$B$22)</f>
        <v>0</v>
      </c>
      <c r="G29" s="519">
        <f t="shared" si="1"/>
        <v>0</v>
      </c>
      <c r="H29" s="87">
        <f t="shared" si="5"/>
        <v>0</v>
      </c>
      <c r="I29" s="88">
        <f t="shared" si="6"/>
        <v>0</v>
      </c>
      <c r="J29" s="516">
        <f t="shared" si="4"/>
        <v>0</v>
      </c>
    </row>
    <row r="30" spans="1:10">
      <c r="A30" s="456" t="s">
        <v>213</v>
      </c>
      <c r="B30" s="216">
        <f>折疊車!E30</f>
        <v>0</v>
      </c>
      <c r="C30" s="217">
        <v>0</v>
      </c>
      <c r="D30" s="519">
        <f t="shared" si="0"/>
        <v>0</v>
      </c>
      <c r="E30" s="540">
        <f>折疊車!G30</f>
        <v>0</v>
      </c>
      <c r="F30" s="217">
        <f>_xlfn.IFNA(VLOOKUP(A30,[3]折同!$C$3:$H$355,3,0),-[4]整車!$B$22)</f>
        <v>0</v>
      </c>
      <c r="G30" s="519">
        <f t="shared" si="1"/>
        <v>0</v>
      </c>
      <c r="H30" s="87">
        <f t="shared" si="5"/>
        <v>0</v>
      </c>
      <c r="I30" s="88">
        <f t="shared" si="6"/>
        <v>0</v>
      </c>
      <c r="J30" s="516">
        <f t="shared" si="4"/>
        <v>0</v>
      </c>
    </row>
    <row r="31" spans="1:10">
      <c r="A31" s="456" t="s">
        <v>16</v>
      </c>
      <c r="B31" s="216">
        <f>折疊車!E31</f>
        <v>0</v>
      </c>
      <c r="C31" s="217">
        <v>0</v>
      </c>
      <c r="D31" s="519">
        <f t="shared" si="0"/>
        <v>0</v>
      </c>
      <c r="E31" s="540">
        <f>折疊車!G31</f>
        <v>0</v>
      </c>
      <c r="F31" s="217">
        <f>_xlfn.IFNA(VLOOKUP(A31,[3]折同!$C$3:$H$355,3,0),-[4]整車!$B$22)</f>
        <v>0</v>
      </c>
      <c r="G31" s="519">
        <f t="shared" si="1"/>
        <v>0</v>
      </c>
      <c r="H31" s="87">
        <f t="shared" si="5"/>
        <v>0</v>
      </c>
      <c r="I31" s="88">
        <f t="shared" si="6"/>
        <v>0</v>
      </c>
      <c r="J31" s="516">
        <f t="shared" si="4"/>
        <v>0</v>
      </c>
    </row>
    <row r="32" spans="1:10">
      <c r="A32" s="456" t="s">
        <v>17</v>
      </c>
      <c r="B32" s="216">
        <f>折疊車!E32</f>
        <v>0</v>
      </c>
      <c r="C32" s="217">
        <v>0</v>
      </c>
      <c r="D32" s="519">
        <f t="shared" si="0"/>
        <v>0</v>
      </c>
      <c r="E32" s="540">
        <f>折疊車!G32</f>
        <v>0</v>
      </c>
      <c r="F32" s="217">
        <f>_xlfn.IFNA(VLOOKUP(A32,[3]折同!$C$3:$H$355,3,0),-[4]整車!$B$22)</f>
        <v>0</v>
      </c>
      <c r="G32" s="519">
        <f t="shared" si="1"/>
        <v>0</v>
      </c>
      <c r="H32" s="87">
        <f t="shared" si="5"/>
        <v>0</v>
      </c>
      <c r="I32" s="88">
        <f t="shared" si="6"/>
        <v>0</v>
      </c>
      <c r="J32" s="516">
        <f t="shared" si="4"/>
        <v>0</v>
      </c>
    </row>
    <row r="33" spans="1:10">
      <c r="A33" s="456" t="s">
        <v>214</v>
      </c>
      <c r="B33" s="216">
        <f>折疊車!E33</f>
        <v>0</v>
      </c>
      <c r="C33" s="217">
        <v>0</v>
      </c>
      <c r="D33" s="519">
        <f t="shared" si="0"/>
        <v>0</v>
      </c>
      <c r="E33" s="540">
        <f>折疊車!G33</f>
        <v>0</v>
      </c>
      <c r="F33" s="217">
        <f>_xlfn.IFNA(VLOOKUP(A33,[3]折同!$C$3:$H$355,3,0),-[4]整車!$B$22)</f>
        <v>0</v>
      </c>
      <c r="G33" s="519">
        <f t="shared" si="1"/>
        <v>0</v>
      </c>
      <c r="H33" s="87">
        <f t="shared" si="5"/>
        <v>0</v>
      </c>
      <c r="I33" s="88">
        <f t="shared" si="6"/>
        <v>0</v>
      </c>
      <c r="J33" s="516">
        <f t="shared" si="4"/>
        <v>0</v>
      </c>
    </row>
    <row r="34" spans="1:10">
      <c r="A34" s="456" t="s">
        <v>215</v>
      </c>
      <c r="B34" s="216">
        <f>折疊車!E34</f>
        <v>0</v>
      </c>
      <c r="C34" s="217">
        <v>0</v>
      </c>
      <c r="D34" s="519">
        <f t="shared" si="0"/>
        <v>0</v>
      </c>
      <c r="E34" s="540">
        <f>折疊車!G34</f>
        <v>0</v>
      </c>
      <c r="F34" s="217">
        <f>_xlfn.IFNA(VLOOKUP(A34,[3]折同!$C$3:$H$355,3,0),-[4]整車!$B$22)</f>
        <v>0</v>
      </c>
      <c r="G34" s="519">
        <f t="shared" si="1"/>
        <v>0</v>
      </c>
      <c r="H34" s="87">
        <f t="shared" si="5"/>
        <v>0</v>
      </c>
      <c r="I34" s="88">
        <f t="shared" si="6"/>
        <v>0</v>
      </c>
      <c r="J34" s="516">
        <f t="shared" si="4"/>
        <v>0</v>
      </c>
    </row>
    <row r="35" spans="1:10">
      <c r="A35" s="456" t="s">
        <v>216</v>
      </c>
      <c r="B35" s="216">
        <f>折疊車!E35</f>
        <v>0</v>
      </c>
      <c r="C35" s="217">
        <v>0</v>
      </c>
      <c r="D35" s="519">
        <f t="shared" si="0"/>
        <v>0</v>
      </c>
      <c r="E35" s="540">
        <f>折疊車!G35</f>
        <v>0</v>
      </c>
      <c r="F35" s="217">
        <f>_xlfn.IFNA(VLOOKUP(A35,[3]折同!$C$3:$H$355,3,0),-[4]整車!$B$22)</f>
        <v>0</v>
      </c>
      <c r="G35" s="519">
        <f t="shared" si="1"/>
        <v>0</v>
      </c>
      <c r="H35" s="87">
        <f t="shared" si="5"/>
        <v>0</v>
      </c>
      <c r="I35" s="88">
        <f t="shared" si="6"/>
        <v>0</v>
      </c>
      <c r="J35" s="516">
        <f t="shared" si="4"/>
        <v>0</v>
      </c>
    </row>
    <row r="36" spans="1:10">
      <c r="A36" s="456" t="s">
        <v>384</v>
      </c>
      <c r="B36" s="216">
        <f>折疊車!E36</f>
        <v>0</v>
      </c>
      <c r="C36" s="217">
        <v>0</v>
      </c>
      <c r="D36" s="519">
        <f t="shared" si="0"/>
        <v>0</v>
      </c>
      <c r="E36" s="540">
        <f>折疊車!G36</f>
        <v>0</v>
      </c>
      <c r="F36" s="217">
        <f>_xlfn.IFNA(VLOOKUP(A36,[3]折同!$C$3:$H$355,3,0),-[4]整車!$B$22)</f>
        <v>0</v>
      </c>
      <c r="G36" s="519">
        <f t="shared" si="1"/>
        <v>0</v>
      </c>
      <c r="H36" s="87">
        <f t="shared" si="5"/>
        <v>0</v>
      </c>
      <c r="I36" s="88">
        <f t="shared" si="6"/>
        <v>0</v>
      </c>
      <c r="J36" s="516">
        <f t="shared" si="4"/>
        <v>0</v>
      </c>
    </row>
    <row r="37" spans="1:10">
      <c r="A37" s="456" t="s">
        <v>218</v>
      </c>
      <c r="B37" s="216">
        <f>折疊車!E37</f>
        <v>0</v>
      </c>
      <c r="C37" s="217">
        <v>0</v>
      </c>
      <c r="D37" s="519">
        <f t="shared" si="0"/>
        <v>0</v>
      </c>
      <c r="E37" s="540">
        <f>折疊車!G37</f>
        <v>0</v>
      </c>
      <c r="F37" s="217">
        <f>_xlfn.IFNA(VLOOKUP(A37,[3]折同!$C$3:$H$355,3,0),-[4]整車!$B$22)</f>
        <v>0</v>
      </c>
      <c r="G37" s="519">
        <f t="shared" si="1"/>
        <v>0</v>
      </c>
      <c r="H37" s="87">
        <f t="shared" si="5"/>
        <v>0</v>
      </c>
      <c r="I37" s="88">
        <f t="shared" si="6"/>
        <v>0</v>
      </c>
      <c r="J37" s="516">
        <f t="shared" si="4"/>
        <v>0</v>
      </c>
    </row>
    <row r="38" spans="1:10">
      <c r="A38" s="456" t="s">
        <v>219</v>
      </c>
      <c r="B38" s="216">
        <f>折疊車!E38</f>
        <v>0</v>
      </c>
      <c r="C38" s="217">
        <v>0</v>
      </c>
      <c r="D38" s="519">
        <f t="shared" si="0"/>
        <v>0</v>
      </c>
      <c r="E38" s="540">
        <f>折疊車!G38</f>
        <v>0</v>
      </c>
      <c r="F38" s="217">
        <f>_xlfn.IFNA(VLOOKUP(A38,[3]折同!$C$3:$H$355,3,0),-[4]整車!$B$22)</f>
        <v>0</v>
      </c>
      <c r="G38" s="519">
        <f t="shared" si="1"/>
        <v>0</v>
      </c>
      <c r="H38" s="87">
        <f t="shared" si="5"/>
        <v>0</v>
      </c>
      <c r="I38" s="88">
        <f t="shared" si="6"/>
        <v>0</v>
      </c>
      <c r="J38" s="516">
        <f t="shared" si="4"/>
        <v>0</v>
      </c>
    </row>
    <row r="39" spans="1:10">
      <c r="A39" s="456" t="s">
        <v>18</v>
      </c>
      <c r="B39" s="216">
        <f>折疊車!E39</f>
        <v>0</v>
      </c>
      <c r="C39" s="217">
        <v>0</v>
      </c>
      <c r="D39" s="519">
        <f t="shared" si="0"/>
        <v>0</v>
      </c>
      <c r="E39" s="540">
        <f>折疊車!G39</f>
        <v>0</v>
      </c>
      <c r="F39" s="217">
        <f>_xlfn.IFNA(VLOOKUP(A39,[3]折同!$C$3:$H$355,3,0),-[4]整車!$B$22)</f>
        <v>0</v>
      </c>
      <c r="G39" s="519">
        <f t="shared" si="1"/>
        <v>0</v>
      </c>
      <c r="H39" s="87">
        <f t="shared" si="5"/>
        <v>0</v>
      </c>
      <c r="I39" s="88">
        <f t="shared" si="6"/>
        <v>0</v>
      </c>
      <c r="J39" s="516">
        <f t="shared" si="4"/>
        <v>0</v>
      </c>
    </row>
    <row r="40" spans="1:10">
      <c r="A40" s="30"/>
      <c r="B40" s="27"/>
      <c r="C40" s="90"/>
      <c r="D40" s="519"/>
      <c r="E40" s="540"/>
      <c r="F40" s="90"/>
      <c r="G40" s="519"/>
      <c r="H40" s="87"/>
      <c r="I40" s="88"/>
      <c r="J40" s="516"/>
    </row>
    <row r="41" spans="1:10" ht="16.149999999999999" customHeight="1">
      <c r="A41" s="36" t="s">
        <v>19</v>
      </c>
      <c r="B41" s="33">
        <f>SUM(B42:B45)</f>
        <v>0</v>
      </c>
      <c r="C41" s="91">
        <f>SUM(C42:C45)</f>
        <v>0</v>
      </c>
      <c r="D41" s="519">
        <f t="shared" si="0"/>
        <v>0</v>
      </c>
      <c r="E41" s="541">
        <f>SUM(E42:E45)</f>
        <v>0</v>
      </c>
      <c r="F41" s="91">
        <f>SUM(F42:F45)</f>
        <v>0</v>
      </c>
      <c r="G41" s="519">
        <f t="shared" si="1"/>
        <v>0</v>
      </c>
      <c r="H41" s="87">
        <f t="shared" si="5"/>
        <v>0</v>
      </c>
      <c r="I41" s="88">
        <f t="shared" si="6"/>
        <v>0</v>
      </c>
      <c r="J41" s="516">
        <f t="shared" si="4"/>
        <v>0</v>
      </c>
    </row>
    <row r="42" spans="1:10">
      <c r="A42" s="26" t="s">
        <v>220</v>
      </c>
      <c r="B42" s="27">
        <f>折疊車!E42</f>
        <v>0</v>
      </c>
      <c r="C42" s="217">
        <v>0</v>
      </c>
      <c r="D42" s="519">
        <f t="shared" si="0"/>
        <v>0</v>
      </c>
      <c r="E42" s="540">
        <f>折疊車!G42</f>
        <v>0</v>
      </c>
      <c r="F42" s="217">
        <f>_xlfn.IFNA(VLOOKUP(A42,[3]折同!$C$3:$H$325,3,0),-[4]整車!$B$22)</f>
        <v>0</v>
      </c>
      <c r="G42" s="519">
        <f t="shared" si="1"/>
        <v>0</v>
      </c>
      <c r="H42" s="87">
        <f t="shared" si="5"/>
        <v>0</v>
      </c>
      <c r="I42" s="88">
        <f t="shared" si="6"/>
        <v>0</v>
      </c>
      <c r="J42" s="516">
        <f t="shared" si="4"/>
        <v>0</v>
      </c>
    </row>
    <row r="43" spans="1:10">
      <c r="A43" s="26" t="s">
        <v>221</v>
      </c>
      <c r="B43" s="27">
        <f>折疊車!E43</f>
        <v>0</v>
      </c>
      <c r="C43" s="217">
        <v>0</v>
      </c>
      <c r="D43" s="519">
        <f t="shared" si="0"/>
        <v>0</v>
      </c>
      <c r="E43" s="540">
        <f>折疊車!G43</f>
        <v>0</v>
      </c>
      <c r="F43" s="217">
        <f>_xlfn.IFNA(VLOOKUP(A43,[3]折同!$C$3:$H$325,3,0),-[4]整車!$B$22)</f>
        <v>0</v>
      </c>
      <c r="G43" s="519">
        <f t="shared" si="1"/>
        <v>0</v>
      </c>
      <c r="H43" s="87">
        <f t="shared" si="5"/>
        <v>0</v>
      </c>
      <c r="I43" s="88">
        <f t="shared" si="6"/>
        <v>0</v>
      </c>
      <c r="J43" s="516">
        <f t="shared" si="4"/>
        <v>0</v>
      </c>
    </row>
    <row r="44" spans="1:10">
      <c r="A44" s="26" t="s">
        <v>222</v>
      </c>
      <c r="B44" s="27">
        <f>折疊車!E44</f>
        <v>0</v>
      </c>
      <c r="C44" s="217">
        <v>0</v>
      </c>
      <c r="D44" s="519">
        <f t="shared" si="0"/>
        <v>0</v>
      </c>
      <c r="E44" s="540">
        <f>折疊車!G44</f>
        <v>0</v>
      </c>
      <c r="F44" s="217">
        <f>_xlfn.IFNA(VLOOKUP(A44,[3]折同!$C$3:$H$325,3,0),-[4]整車!$B$22)</f>
        <v>0</v>
      </c>
      <c r="G44" s="519">
        <f t="shared" si="1"/>
        <v>0</v>
      </c>
      <c r="H44" s="87">
        <f t="shared" si="5"/>
        <v>0</v>
      </c>
      <c r="I44" s="88">
        <f t="shared" si="6"/>
        <v>0</v>
      </c>
      <c r="J44" s="516">
        <f t="shared" si="4"/>
        <v>0</v>
      </c>
    </row>
    <row r="45" spans="1:10">
      <c r="A45" s="30" t="s">
        <v>20</v>
      </c>
      <c r="B45" s="27">
        <f>折疊車!E45</f>
        <v>0</v>
      </c>
      <c r="C45" s="217">
        <v>0</v>
      </c>
      <c r="D45" s="519">
        <f t="shared" si="0"/>
        <v>0</v>
      </c>
      <c r="E45" s="540">
        <f>折疊車!G45</f>
        <v>0</v>
      </c>
      <c r="F45" s="217">
        <f>_xlfn.IFNA(VLOOKUP(A45,[3]折同!$C$3:$H$325,3,0),-[4]整車!$B$22)</f>
        <v>0</v>
      </c>
      <c r="G45" s="519">
        <f t="shared" si="1"/>
        <v>0</v>
      </c>
      <c r="H45" s="87">
        <f t="shared" si="5"/>
        <v>0</v>
      </c>
      <c r="I45" s="88">
        <f t="shared" si="6"/>
        <v>0</v>
      </c>
      <c r="J45" s="516">
        <f t="shared" si="4"/>
        <v>0</v>
      </c>
    </row>
    <row r="46" spans="1:10">
      <c r="A46" s="30"/>
      <c r="B46" s="27"/>
      <c r="C46" s="90"/>
      <c r="D46" s="519"/>
      <c r="E46" s="540"/>
      <c r="F46" s="90"/>
      <c r="G46" s="519"/>
      <c r="H46" s="87"/>
      <c r="I46" s="88"/>
      <c r="J46" s="516"/>
    </row>
    <row r="47" spans="1:10">
      <c r="A47" s="36" t="s">
        <v>21</v>
      </c>
      <c r="B47" s="33">
        <f>SUM(B48:B66)</f>
        <v>13</v>
      </c>
      <c r="C47" s="91">
        <f>SUM(C48:C66)</f>
        <v>916</v>
      </c>
      <c r="D47" s="519">
        <f t="shared" si="0"/>
        <v>-0.98580786026200873</v>
      </c>
      <c r="E47" s="541">
        <f>SUM(E48:E66)</f>
        <v>17464</v>
      </c>
      <c r="F47" s="91">
        <f>SUM(F48:F66)</f>
        <v>760056</v>
      </c>
      <c r="G47" s="519">
        <f t="shared" si="1"/>
        <v>-0.97702274569242265</v>
      </c>
      <c r="H47" s="87">
        <f t="shared" si="5"/>
        <v>1343.3846153846155</v>
      </c>
      <c r="I47" s="88">
        <f t="shared" si="6"/>
        <v>829.75545851528386</v>
      </c>
      <c r="J47" s="516">
        <f t="shared" si="4"/>
        <v>0.61901268813391086</v>
      </c>
    </row>
    <row r="48" spans="1:10">
      <c r="A48" s="487" t="s">
        <v>163</v>
      </c>
      <c r="B48" s="27">
        <f>折疊車!E48</f>
        <v>0</v>
      </c>
      <c r="C48" s="217">
        <v>0</v>
      </c>
      <c r="D48" s="519">
        <f t="shared" si="0"/>
        <v>0</v>
      </c>
      <c r="E48" s="540">
        <f>折疊車!G48</f>
        <v>0</v>
      </c>
      <c r="F48" s="217">
        <v>0</v>
      </c>
      <c r="G48" s="519">
        <f t="shared" si="1"/>
        <v>0</v>
      </c>
      <c r="H48" s="87">
        <f t="shared" si="5"/>
        <v>0</v>
      </c>
      <c r="I48" s="88">
        <f t="shared" si="6"/>
        <v>0</v>
      </c>
      <c r="J48" s="516">
        <f t="shared" si="4"/>
        <v>0</v>
      </c>
    </row>
    <row r="49" spans="1:10">
      <c r="A49" s="455" t="s">
        <v>223</v>
      </c>
      <c r="B49" s="27">
        <f>折疊車!E49</f>
        <v>0</v>
      </c>
      <c r="C49" s="217">
        <f>VLOOKUP(A49,[13]進出口值表查詢結果!$A$10:$C$18,3,0)</f>
        <v>259</v>
      </c>
      <c r="D49" s="519">
        <f t="shared" si="0"/>
        <v>-1</v>
      </c>
      <c r="E49" s="540">
        <f>折疊車!G49</f>
        <v>0</v>
      </c>
      <c r="F49" s="217">
        <f>VLOOKUP(A49,[13]進出口值表查詢結果!$A$10:$C$18,2,0)</f>
        <v>226275</v>
      </c>
      <c r="G49" s="519">
        <f t="shared" si="1"/>
        <v>-1</v>
      </c>
      <c r="H49" s="87">
        <f t="shared" si="5"/>
        <v>0</v>
      </c>
      <c r="I49" s="88">
        <f t="shared" si="6"/>
        <v>873.64864864864865</v>
      </c>
      <c r="J49" s="516">
        <f t="shared" si="4"/>
        <v>-1</v>
      </c>
    </row>
    <row r="50" spans="1:10">
      <c r="A50" s="292" t="s">
        <v>224</v>
      </c>
      <c r="B50" s="27">
        <f>折疊車!E50</f>
        <v>0</v>
      </c>
      <c r="C50" s="217">
        <v>0</v>
      </c>
      <c r="D50" s="519">
        <f t="shared" si="0"/>
        <v>0</v>
      </c>
      <c r="E50" s="540">
        <f>折疊車!G50</f>
        <v>0</v>
      </c>
      <c r="F50" s="217">
        <f>_xlfn.IFNA(VLOOKUP(A50,[3]折同!$C$3:$H$532,3,0),-[4]整車!$B$22)</f>
        <v>0</v>
      </c>
      <c r="G50" s="519">
        <f t="shared" si="1"/>
        <v>0</v>
      </c>
      <c r="H50" s="87">
        <f t="shared" si="5"/>
        <v>0</v>
      </c>
      <c r="I50" s="88">
        <f t="shared" si="6"/>
        <v>0</v>
      </c>
      <c r="J50" s="516">
        <f t="shared" si="4"/>
        <v>0</v>
      </c>
    </row>
    <row r="51" spans="1:10">
      <c r="A51" s="455" t="s">
        <v>225</v>
      </c>
      <c r="B51" s="27">
        <f>折疊車!E51</f>
        <v>0</v>
      </c>
      <c r="C51" s="217">
        <v>0</v>
      </c>
      <c r="D51" s="519">
        <f t="shared" si="0"/>
        <v>0</v>
      </c>
      <c r="E51" s="540">
        <f>折疊車!G51</f>
        <v>0</v>
      </c>
      <c r="F51" s="217">
        <f>_xlfn.IFNA(VLOOKUP(A51,[3]折同!$C$3:$H$532,3,0),-[4]整車!$B$22)</f>
        <v>0</v>
      </c>
      <c r="G51" s="519">
        <f t="shared" si="1"/>
        <v>0</v>
      </c>
      <c r="H51" s="87">
        <f t="shared" si="5"/>
        <v>0</v>
      </c>
      <c r="I51" s="88">
        <f t="shared" si="6"/>
        <v>0</v>
      </c>
      <c r="J51" s="516">
        <f t="shared" si="4"/>
        <v>0</v>
      </c>
    </row>
    <row r="52" spans="1:10">
      <c r="A52" s="456" t="s">
        <v>22</v>
      </c>
      <c r="B52" s="27">
        <f>折疊車!E52</f>
        <v>0</v>
      </c>
      <c r="C52" s="217">
        <v>0</v>
      </c>
      <c r="D52" s="519">
        <f t="shared" si="0"/>
        <v>0</v>
      </c>
      <c r="E52" s="540">
        <f>折疊車!G52</f>
        <v>0</v>
      </c>
      <c r="F52" s="217">
        <f>_xlfn.IFNA(VLOOKUP(A52,[3]折同!$C$3:$H$532,3,0),-[4]整車!$B$22)</f>
        <v>0</v>
      </c>
      <c r="G52" s="519">
        <f t="shared" si="1"/>
        <v>0</v>
      </c>
      <c r="H52" s="87">
        <f t="shared" si="5"/>
        <v>0</v>
      </c>
      <c r="I52" s="88">
        <f t="shared" si="6"/>
        <v>0</v>
      </c>
      <c r="J52" s="516">
        <f t="shared" si="4"/>
        <v>0</v>
      </c>
    </row>
    <row r="53" spans="1:10">
      <c r="A53" s="455" t="s">
        <v>226</v>
      </c>
      <c r="B53" s="27">
        <f>折疊車!E53</f>
        <v>0</v>
      </c>
      <c r="C53" s="217">
        <v>0</v>
      </c>
      <c r="D53" s="519">
        <f t="shared" si="0"/>
        <v>0</v>
      </c>
      <c r="E53" s="540">
        <f>折疊車!G53</f>
        <v>0</v>
      </c>
      <c r="F53" s="217">
        <f>_xlfn.IFNA(VLOOKUP(A53,[3]折同!$C$3:$H$532,3,0),-[4]整車!$B$22)</f>
        <v>0</v>
      </c>
      <c r="G53" s="519">
        <f t="shared" si="1"/>
        <v>0</v>
      </c>
      <c r="H53" s="87">
        <f t="shared" si="5"/>
        <v>0</v>
      </c>
      <c r="I53" s="88">
        <f t="shared" si="6"/>
        <v>0</v>
      </c>
      <c r="J53" s="516">
        <f t="shared" si="4"/>
        <v>0</v>
      </c>
    </row>
    <row r="54" spans="1:10">
      <c r="A54" s="456" t="s">
        <v>227</v>
      </c>
      <c r="B54" s="27">
        <f>折疊車!E54</f>
        <v>0</v>
      </c>
      <c r="C54" s="217">
        <v>0</v>
      </c>
      <c r="D54" s="519">
        <f t="shared" si="0"/>
        <v>0</v>
      </c>
      <c r="E54" s="540">
        <f>折疊車!G54</f>
        <v>0</v>
      </c>
      <c r="F54" s="217">
        <f>_xlfn.IFNA(VLOOKUP(A54,[3]折同!$C$3:$H$532,3,0),-[4]整車!$B$22)</f>
        <v>0</v>
      </c>
      <c r="G54" s="519">
        <f t="shared" si="1"/>
        <v>0</v>
      </c>
      <c r="H54" s="87">
        <f t="shared" si="5"/>
        <v>0</v>
      </c>
      <c r="I54" s="88">
        <f t="shared" si="6"/>
        <v>0</v>
      </c>
      <c r="J54" s="516">
        <f t="shared" si="4"/>
        <v>0</v>
      </c>
    </row>
    <row r="55" spans="1:10">
      <c r="A55" s="456" t="s">
        <v>23</v>
      </c>
      <c r="B55" s="27">
        <f>折疊車!E55</f>
        <v>0</v>
      </c>
      <c r="C55" s="217">
        <v>0</v>
      </c>
      <c r="D55" s="519">
        <f t="shared" si="0"/>
        <v>0</v>
      </c>
      <c r="E55" s="540">
        <f>折疊車!G55</f>
        <v>0</v>
      </c>
      <c r="F55" s="217">
        <f>_xlfn.IFNA(VLOOKUP(A55,[3]折同!$C$3:$H$532,3,0),-[4]整車!$B$22)</f>
        <v>0</v>
      </c>
      <c r="G55" s="519">
        <f t="shared" si="1"/>
        <v>0</v>
      </c>
      <c r="H55" s="87">
        <f t="shared" si="5"/>
        <v>0</v>
      </c>
      <c r="I55" s="88">
        <f t="shared" si="6"/>
        <v>0</v>
      </c>
      <c r="J55" s="516">
        <f t="shared" si="4"/>
        <v>0</v>
      </c>
    </row>
    <row r="56" spans="1:10">
      <c r="A56" s="456" t="s">
        <v>228</v>
      </c>
      <c r="B56" s="27">
        <f>折疊車!E56</f>
        <v>0</v>
      </c>
      <c r="C56" s="217">
        <f>VLOOKUP(A56,[13]進出口值表查詢結果!$A$10:$C$18,3,0)</f>
        <v>197</v>
      </c>
      <c r="D56" s="519">
        <f t="shared" si="0"/>
        <v>-1</v>
      </c>
      <c r="E56" s="540">
        <f>折疊車!G56</f>
        <v>0</v>
      </c>
      <c r="F56" s="217">
        <f>VLOOKUP(A56,[13]進出口值表查詢結果!$A$10:$C$18,2,0)</f>
        <v>238706</v>
      </c>
      <c r="G56" s="519">
        <f t="shared" si="1"/>
        <v>-1</v>
      </c>
      <c r="H56" s="87">
        <f t="shared" si="5"/>
        <v>0</v>
      </c>
      <c r="I56" s="88">
        <f t="shared" si="6"/>
        <v>1211.7055837563453</v>
      </c>
      <c r="J56" s="516">
        <f t="shared" si="4"/>
        <v>-1</v>
      </c>
    </row>
    <row r="57" spans="1:10">
      <c r="A57" s="458" t="s">
        <v>229</v>
      </c>
      <c r="B57" s="27">
        <f>折疊車!E57</f>
        <v>0</v>
      </c>
      <c r="C57" s="217">
        <f>VLOOKUP(A57,[13]進出口值表查詢結果!$A$10:$C$18,3,0)</f>
        <v>430</v>
      </c>
      <c r="D57" s="519">
        <f t="shared" si="0"/>
        <v>-1</v>
      </c>
      <c r="E57" s="540">
        <f>折疊車!G57</f>
        <v>0</v>
      </c>
      <c r="F57" s="217">
        <f>VLOOKUP(A57,[13]進出口值表查詢結果!$A$10:$C$18,2,0)</f>
        <v>262063</v>
      </c>
      <c r="G57" s="519">
        <f t="shared" si="1"/>
        <v>-1</v>
      </c>
      <c r="H57" s="87">
        <f t="shared" si="5"/>
        <v>0</v>
      </c>
      <c r="I57" s="88">
        <f t="shared" si="6"/>
        <v>609.44883720930227</v>
      </c>
      <c r="J57" s="516">
        <f t="shared" si="4"/>
        <v>-1</v>
      </c>
    </row>
    <row r="58" spans="1:10">
      <c r="A58" s="295" t="s">
        <v>385</v>
      </c>
      <c r="B58" s="27">
        <f>折疊車!E58</f>
        <v>13</v>
      </c>
      <c r="C58" s="217">
        <f>VLOOKUP(A58,[13]進出口值表查詢結果!$A$10:$C$18,3,0)</f>
        <v>5</v>
      </c>
      <c r="D58" s="519">
        <f t="shared" si="0"/>
        <v>1.6</v>
      </c>
      <c r="E58" s="540">
        <f>折疊車!G58</f>
        <v>17464</v>
      </c>
      <c r="F58" s="217">
        <f>VLOOKUP(A58,[13]進出口值表查詢結果!$A$10:$C$18,2,0)</f>
        <v>7784</v>
      </c>
      <c r="G58" s="519">
        <f t="shared" si="1"/>
        <v>1.2435765673175745</v>
      </c>
      <c r="H58" s="87">
        <f t="shared" si="5"/>
        <v>1343.3846153846155</v>
      </c>
      <c r="I58" s="88">
        <f t="shared" si="6"/>
        <v>1556.8</v>
      </c>
      <c r="J58" s="516">
        <f t="shared" si="4"/>
        <v>-0.13708593564708665</v>
      </c>
    </row>
    <row r="59" spans="1:10">
      <c r="A59" s="456" t="s">
        <v>24</v>
      </c>
      <c r="B59" s="27">
        <f>折疊車!E59</f>
        <v>0</v>
      </c>
      <c r="C59" s="217">
        <f>VLOOKUP(A59,[13]進出口值表查詢結果!$A$10:$C$18,3,0)</f>
        <v>20</v>
      </c>
      <c r="D59" s="519">
        <f t="shared" si="0"/>
        <v>-1</v>
      </c>
      <c r="E59" s="540">
        <f>折疊車!G59</f>
        <v>0</v>
      </c>
      <c r="F59" s="217">
        <f>VLOOKUP(A59,[13]進出口值表查詢結果!$A$10:$C$18,2,0)</f>
        <v>24967</v>
      </c>
      <c r="G59" s="519">
        <f t="shared" si="1"/>
        <v>-1</v>
      </c>
      <c r="H59" s="87">
        <f t="shared" si="5"/>
        <v>0</v>
      </c>
      <c r="I59" s="88">
        <f t="shared" si="6"/>
        <v>1248.3499999999999</v>
      </c>
      <c r="J59" s="516">
        <f t="shared" si="4"/>
        <v>-1</v>
      </c>
    </row>
    <row r="60" spans="1:10">
      <c r="A60" s="456" t="s">
        <v>25</v>
      </c>
      <c r="B60" s="27">
        <f>折疊車!E60</f>
        <v>0</v>
      </c>
      <c r="C60" s="217">
        <v>0</v>
      </c>
      <c r="D60" s="519">
        <f t="shared" si="0"/>
        <v>0</v>
      </c>
      <c r="E60" s="540">
        <f>折疊車!G60</f>
        <v>0</v>
      </c>
      <c r="F60" s="217">
        <f>_xlfn.IFNA(VLOOKUP(A60,[3]折同!$C$3:$H$532,3,0),-[4]整車!$B$22)</f>
        <v>0</v>
      </c>
      <c r="G60" s="519">
        <f t="shared" si="1"/>
        <v>0</v>
      </c>
      <c r="H60" s="87">
        <f t="shared" si="5"/>
        <v>0</v>
      </c>
      <c r="I60" s="88">
        <f t="shared" si="6"/>
        <v>0</v>
      </c>
      <c r="J60" s="516">
        <f t="shared" si="4"/>
        <v>0</v>
      </c>
    </row>
    <row r="61" spans="1:10">
      <c r="A61" s="456" t="s">
        <v>26</v>
      </c>
      <c r="B61" s="27">
        <f>折疊車!E61</f>
        <v>0</v>
      </c>
      <c r="C61" s="217">
        <v>0</v>
      </c>
      <c r="D61" s="519">
        <f t="shared" si="0"/>
        <v>0</v>
      </c>
      <c r="E61" s="540">
        <f>折疊車!G61</f>
        <v>0</v>
      </c>
      <c r="F61" s="217">
        <f>_xlfn.IFNA(VLOOKUP(A61,[3]折同!$C$3:$H$532,3,0),-[4]整車!$B$22)</f>
        <v>0</v>
      </c>
      <c r="G61" s="519">
        <f t="shared" si="1"/>
        <v>0</v>
      </c>
      <c r="H61" s="87">
        <f t="shared" si="5"/>
        <v>0</v>
      </c>
      <c r="I61" s="88">
        <f t="shared" si="6"/>
        <v>0</v>
      </c>
      <c r="J61" s="516">
        <f t="shared" si="4"/>
        <v>0</v>
      </c>
    </row>
    <row r="62" spans="1:10">
      <c r="A62" s="295" t="s">
        <v>230</v>
      </c>
      <c r="B62" s="27">
        <f>折疊車!E62</f>
        <v>0</v>
      </c>
      <c r="C62" s="217">
        <v>0</v>
      </c>
      <c r="D62" s="519">
        <f t="shared" si="0"/>
        <v>0</v>
      </c>
      <c r="E62" s="540">
        <f>折疊車!G62</f>
        <v>0</v>
      </c>
      <c r="F62" s="217">
        <f>_xlfn.IFNA(VLOOKUP(A62,[3]折同!$C$3:$H$532,3,0),-[4]整車!$B$22)</f>
        <v>0</v>
      </c>
      <c r="G62" s="519">
        <f t="shared" si="1"/>
        <v>0</v>
      </c>
      <c r="H62" s="87">
        <f t="shared" si="5"/>
        <v>0</v>
      </c>
      <c r="I62" s="88">
        <f t="shared" si="6"/>
        <v>0</v>
      </c>
      <c r="J62" s="516">
        <f t="shared" si="4"/>
        <v>0</v>
      </c>
    </row>
    <row r="63" spans="1:10">
      <c r="A63" s="456" t="s">
        <v>27</v>
      </c>
      <c r="B63" s="27">
        <f>折疊車!E63</f>
        <v>0</v>
      </c>
      <c r="C63" s="217">
        <v>0</v>
      </c>
      <c r="D63" s="519">
        <f t="shared" si="0"/>
        <v>0</v>
      </c>
      <c r="E63" s="540">
        <f>折疊車!G63</f>
        <v>0</v>
      </c>
      <c r="F63" s="217">
        <f>_xlfn.IFNA(VLOOKUP(A63,[3]折同!$C$3:$H$532,3,0),-[4]整車!$B$22)</f>
        <v>0</v>
      </c>
      <c r="G63" s="519">
        <f t="shared" si="1"/>
        <v>0</v>
      </c>
      <c r="H63" s="87">
        <f t="shared" si="5"/>
        <v>0</v>
      </c>
      <c r="I63" s="88">
        <f t="shared" si="6"/>
        <v>0</v>
      </c>
      <c r="J63" s="516">
        <f t="shared" si="4"/>
        <v>0</v>
      </c>
    </row>
    <row r="64" spans="1:10">
      <c r="A64" s="295" t="s">
        <v>231</v>
      </c>
      <c r="B64" s="27">
        <f>折疊車!E64</f>
        <v>0</v>
      </c>
      <c r="C64" s="217">
        <v>0</v>
      </c>
      <c r="D64" s="519">
        <f t="shared" si="0"/>
        <v>0</v>
      </c>
      <c r="E64" s="540">
        <f>折疊車!G64</f>
        <v>0</v>
      </c>
      <c r="F64" s="217">
        <f>_xlfn.IFNA(VLOOKUP(A64,[3]折同!$C$3:$H$532,3,0),-[4]整車!$B$22)</f>
        <v>0</v>
      </c>
      <c r="G64" s="519">
        <f t="shared" si="1"/>
        <v>0</v>
      </c>
      <c r="H64" s="87">
        <f t="shared" si="5"/>
        <v>0</v>
      </c>
      <c r="I64" s="88">
        <f t="shared" si="6"/>
        <v>0</v>
      </c>
      <c r="J64" s="516">
        <f t="shared" si="4"/>
        <v>0</v>
      </c>
    </row>
    <row r="65" spans="1:10">
      <c r="A65" s="456" t="s">
        <v>28</v>
      </c>
      <c r="B65" s="27">
        <f>折疊車!E65</f>
        <v>0</v>
      </c>
      <c r="C65" s="217">
        <v>0</v>
      </c>
      <c r="D65" s="519">
        <f t="shared" si="0"/>
        <v>0</v>
      </c>
      <c r="E65" s="540">
        <f>折疊車!G65</f>
        <v>0</v>
      </c>
      <c r="F65" s="217">
        <v>0</v>
      </c>
      <c r="G65" s="519">
        <f t="shared" si="1"/>
        <v>0</v>
      </c>
      <c r="H65" s="87">
        <f t="shared" si="5"/>
        <v>0</v>
      </c>
      <c r="I65" s="88">
        <f t="shared" si="6"/>
        <v>0</v>
      </c>
      <c r="J65" s="516">
        <f t="shared" si="4"/>
        <v>0</v>
      </c>
    </row>
    <row r="66" spans="1:10">
      <c r="A66" s="295" t="s">
        <v>232</v>
      </c>
      <c r="B66" s="27">
        <f>折疊車!E66</f>
        <v>0</v>
      </c>
      <c r="C66" s="217">
        <f>VLOOKUP(A66,[13]進出口值表查詢結果!$A$10:$C$18,3,0)</f>
        <v>5</v>
      </c>
      <c r="D66" s="519">
        <f t="shared" si="0"/>
        <v>-1</v>
      </c>
      <c r="E66" s="540">
        <f>折疊車!G66</f>
        <v>0</v>
      </c>
      <c r="F66" s="217">
        <f>VLOOKUP(A66,[13]進出口值表查詢結果!$A$10:$C$18,2,0)</f>
        <v>261</v>
      </c>
      <c r="G66" s="519">
        <f t="shared" si="1"/>
        <v>-1</v>
      </c>
      <c r="H66" s="87">
        <f t="shared" si="5"/>
        <v>0</v>
      </c>
      <c r="I66" s="88">
        <f t="shared" si="6"/>
        <v>52.2</v>
      </c>
      <c r="J66" s="516">
        <f t="shared" si="4"/>
        <v>-1</v>
      </c>
    </row>
    <row r="67" spans="1:10">
      <c r="A67" s="30" t="s">
        <v>29</v>
      </c>
      <c r="B67" s="27">
        <f>B68-B47-B41-B12-B7</f>
        <v>4</v>
      </c>
      <c r="C67" s="90">
        <f>C68-C47-C41-C12-C7</f>
        <v>3</v>
      </c>
      <c r="D67" s="519">
        <f t="shared" si="0"/>
        <v>0.33333333333333331</v>
      </c>
      <c r="E67" s="540">
        <f>E68-E47-E41-E12-E7</f>
        <v>512</v>
      </c>
      <c r="F67" s="90">
        <f>F68-F47-F41-F12-F7</f>
        <v>989</v>
      </c>
      <c r="G67" s="519">
        <f t="shared" si="1"/>
        <v>-0.48230535894843274</v>
      </c>
      <c r="H67" s="87">
        <f t="shared" si="5"/>
        <v>128</v>
      </c>
      <c r="I67" s="88">
        <f t="shared" si="6"/>
        <v>329.66666666666669</v>
      </c>
      <c r="J67" s="516">
        <f t="shared" si="4"/>
        <v>-0.61172901921132461</v>
      </c>
    </row>
    <row r="68" spans="1:10">
      <c r="A68" s="32" t="s">
        <v>404</v>
      </c>
      <c r="B68" s="33">
        <f>折疊車!E68</f>
        <v>117</v>
      </c>
      <c r="C68" s="217">
        <f>VLOOKUP(A68,[13]進出口值表查詢結果!$A$10:$C$18,3,0)</f>
        <v>967</v>
      </c>
      <c r="D68" s="519">
        <f t="shared" si="0"/>
        <v>-0.87900723888314369</v>
      </c>
      <c r="E68" s="540">
        <f>折疊車!G68</f>
        <v>58206</v>
      </c>
      <c r="F68" s="217">
        <f>VLOOKUP(A68,[13]進出口值表查詢結果!$A$10:$C$18,2,0)</f>
        <v>801176</v>
      </c>
      <c r="G68" s="519">
        <f t="shared" si="1"/>
        <v>-0.92734929653409492</v>
      </c>
      <c r="H68" s="87">
        <f t="shared" ref="H68" si="7">E68/B68</f>
        <v>497.4871794871795</v>
      </c>
      <c r="I68" s="88">
        <f>F68/C68</f>
        <v>828.51706308169594</v>
      </c>
      <c r="J68" s="516">
        <f t="shared" si="4"/>
        <v>-0.39954504058521151</v>
      </c>
    </row>
    <row r="69" spans="1:10">
      <c r="A69" s="38"/>
      <c r="B69" s="39"/>
      <c r="C69" s="151"/>
      <c r="D69" s="218"/>
      <c r="E69" s="542"/>
      <c r="F69" s="151"/>
      <c r="G69" s="218"/>
    </row>
    <row r="70" spans="1:10" ht="12.75" customHeight="1">
      <c r="A70" s="55" t="s">
        <v>56</v>
      </c>
      <c r="B70" s="13"/>
      <c r="E70" s="543"/>
      <c r="G70" s="60" t="s">
        <v>119</v>
      </c>
    </row>
  </sheetData>
  <phoneticPr fontId="3" type="noConversion"/>
  <conditionalFormatting sqref="D4">
    <cfRule type="cellIs" dxfId="54" priority="3" operator="greaterThanOrEqual">
      <formula>0</formula>
    </cfRule>
    <cfRule type="cellIs" dxfId="53" priority="4" operator="lessThan">
      <formula>0</formula>
    </cfRule>
  </conditionalFormatting>
  <conditionalFormatting sqref="G4">
    <cfRule type="cellIs" dxfId="52" priority="1" operator="greaterThanOrEqual">
      <formula>0</formula>
    </cfRule>
    <cfRule type="cellIs" dxfId="51" priority="2" operator="lessThan">
      <formula>0</formula>
    </cfRule>
  </conditionalFormatting>
  <conditionalFormatting sqref="J1:J3 J6:J1048576">
    <cfRule type="cellIs" dxfId="50" priority="5" operator="greaterThanOrEqual">
      <formula>0</formula>
    </cfRule>
    <cfRule type="cellIs" dxfId="49" priority="6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4"/>
  <sheetViews>
    <sheetView topLeftCell="A22" zoomScaleNormal="100" workbookViewId="0">
      <selection activeCell="A24" sqref="A24"/>
    </sheetView>
  </sheetViews>
  <sheetFormatPr defaultRowHeight="16.5"/>
  <cols>
    <col min="1" max="1" width="7.125" style="5" customWidth="1"/>
    <col min="2" max="2" width="11.25" style="5" customWidth="1"/>
    <col min="3" max="3" width="13" style="307" customWidth="1"/>
    <col min="4" max="4" width="10.75" style="308" customWidth="1"/>
    <col min="5" max="5" width="13.625" style="5" customWidth="1"/>
    <col min="6" max="6" width="14.25" style="307" customWidth="1"/>
    <col min="7" max="7" width="11" style="308" customWidth="1"/>
    <col min="8" max="8" width="8.875" style="5"/>
    <col min="9" max="9" width="10.875" style="5" customWidth="1"/>
    <col min="10" max="10" width="12.125" style="5" customWidth="1"/>
    <col min="11" max="11" width="10.5" style="5" bestFit="1" customWidth="1"/>
    <col min="12" max="12" width="8.875" style="5"/>
    <col min="13" max="13" width="10.125" style="5" customWidth="1"/>
    <col min="14" max="14" width="10.625" style="5" bestFit="1" customWidth="1"/>
    <col min="15" max="250" width="8.875" style="5"/>
    <col min="251" max="251" width="7.125" style="5" customWidth="1"/>
    <col min="252" max="252" width="11.25" style="5" customWidth="1"/>
    <col min="253" max="253" width="13" style="5" customWidth="1"/>
    <col min="254" max="254" width="10.75" style="5" customWidth="1"/>
    <col min="255" max="255" width="14.625" style="5" customWidth="1"/>
    <col min="256" max="256" width="15.125" style="5" customWidth="1"/>
    <col min="257" max="257" width="11" style="5" customWidth="1"/>
    <col min="258" max="506" width="8.875" style="5"/>
    <col min="507" max="507" width="7.125" style="5" customWidth="1"/>
    <col min="508" max="508" width="11.25" style="5" customWidth="1"/>
    <col min="509" max="509" width="13" style="5" customWidth="1"/>
    <col min="510" max="510" width="10.75" style="5" customWidth="1"/>
    <col min="511" max="511" width="14.625" style="5" customWidth="1"/>
    <col min="512" max="512" width="15.125" style="5" customWidth="1"/>
    <col min="513" max="513" width="11" style="5" customWidth="1"/>
    <col min="514" max="762" width="8.875" style="5"/>
    <col min="763" max="763" width="7.125" style="5" customWidth="1"/>
    <col min="764" max="764" width="11.25" style="5" customWidth="1"/>
    <col min="765" max="765" width="13" style="5" customWidth="1"/>
    <col min="766" max="766" width="10.75" style="5" customWidth="1"/>
    <col min="767" max="767" width="14.625" style="5" customWidth="1"/>
    <col min="768" max="768" width="15.125" style="5" customWidth="1"/>
    <col min="769" max="769" width="11" style="5" customWidth="1"/>
    <col min="770" max="1018" width="8.875" style="5"/>
    <col min="1019" max="1019" width="7.125" style="5" customWidth="1"/>
    <col min="1020" max="1020" width="11.25" style="5" customWidth="1"/>
    <col min="1021" max="1021" width="13" style="5" customWidth="1"/>
    <col min="1022" max="1022" width="10.75" style="5" customWidth="1"/>
    <col min="1023" max="1023" width="14.625" style="5" customWidth="1"/>
    <col min="1024" max="1024" width="15.125" style="5" customWidth="1"/>
    <col min="1025" max="1025" width="11" style="5" customWidth="1"/>
    <col min="1026" max="1274" width="8.875" style="5"/>
    <col min="1275" max="1275" width="7.125" style="5" customWidth="1"/>
    <col min="1276" max="1276" width="11.25" style="5" customWidth="1"/>
    <col min="1277" max="1277" width="13" style="5" customWidth="1"/>
    <col min="1278" max="1278" width="10.75" style="5" customWidth="1"/>
    <col min="1279" max="1279" width="14.625" style="5" customWidth="1"/>
    <col min="1280" max="1280" width="15.125" style="5" customWidth="1"/>
    <col min="1281" max="1281" width="11" style="5" customWidth="1"/>
    <col min="1282" max="1530" width="8.875" style="5"/>
    <col min="1531" max="1531" width="7.125" style="5" customWidth="1"/>
    <col min="1532" max="1532" width="11.25" style="5" customWidth="1"/>
    <col min="1533" max="1533" width="13" style="5" customWidth="1"/>
    <col min="1534" max="1534" width="10.75" style="5" customWidth="1"/>
    <col min="1535" max="1535" width="14.625" style="5" customWidth="1"/>
    <col min="1536" max="1536" width="15.125" style="5" customWidth="1"/>
    <col min="1537" max="1537" width="11" style="5" customWidth="1"/>
    <col min="1538" max="1786" width="8.875" style="5"/>
    <col min="1787" max="1787" width="7.125" style="5" customWidth="1"/>
    <col min="1788" max="1788" width="11.25" style="5" customWidth="1"/>
    <col min="1789" max="1789" width="13" style="5" customWidth="1"/>
    <col min="1790" max="1790" width="10.75" style="5" customWidth="1"/>
    <col min="1791" max="1791" width="14.625" style="5" customWidth="1"/>
    <col min="1792" max="1792" width="15.125" style="5" customWidth="1"/>
    <col min="1793" max="1793" width="11" style="5" customWidth="1"/>
    <col min="1794" max="2042" width="8.875" style="5"/>
    <col min="2043" max="2043" width="7.125" style="5" customWidth="1"/>
    <col min="2044" max="2044" width="11.25" style="5" customWidth="1"/>
    <col min="2045" max="2045" width="13" style="5" customWidth="1"/>
    <col min="2046" max="2046" width="10.75" style="5" customWidth="1"/>
    <col min="2047" max="2047" width="14.625" style="5" customWidth="1"/>
    <col min="2048" max="2048" width="15.125" style="5" customWidth="1"/>
    <col min="2049" max="2049" width="11" style="5" customWidth="1"/>
    <col min="2050" max="2298" width="8.875" style="5"/>
    <col min="2299" max="2299" width="7.125" style="5" customWidth="1"/>
    <col min="2300" max="2300" width="11.25" style="5" customWidth="1"/>
    <col min="2301" max="2301" width="13" style="5" customWidth="1"/>
    <col min="2302" max="2302" width="10.75" style="5" customWidth="1"/>
    <col min="2303" max="2303" width="14.625" style="5" customWidth="1"/>
    <col min="2304" max="2304" width="15.125" style="5" customWidth="1"/>
    <col min="2305" max="2305" width="11" style="5" customWidth="1"/>
    <col min="2306" max="2554" width="8.875" style="5"/>
    <col min="2555" max="2555" width="7.125" style="5" customWidth="1"/>
    <col min="2556" max="2556" width="11.25" style="5" customWidth="1"/>
    <col min="2557" max="2557" width="13" style="5" customWidth="1"/>
    <col min="2558" max="2558" width="10.75" style="5" customWidth="1"/>
    <col min="2559" max="2559" width="14.625" style="5" customWidth="1"/>
    <col min="2560" max="2560" width="15.125" style="5" customWidth="1"/>
    <col min="2561" max="2561" width="11" style="5" customWidth="1"/>
    <col min="2562" max="2810" width="8.875" style="5"/>
    <col min="2811" max="2811" width="7.125" style="5" customWidth="1"/>
    <col min="2812" max="2812" width="11.25" style="5" customWidth="1"/>
    <col min="2813" max="2813" width="13" style="5" customWidth="1"/>
    <col min="2814" max="2814" width="10.75" style="5" customWidth="1"/>
    <col min="2815" max="2815" width="14.625" style="5" customWidth="1"/>
    <col min="2816" max="2816" width="15.125" style="5" customWidth="1"/>
    <col min="2817" max="2817" width="11" style="5" customWidth="1"/>
    <col min="2818" max="3066" width="8.875" style="5"/>
    <col min="3067" max="3067" width="7.125" style="5" customWidth="1"/>
    <col min="3068" max="3068" width="11.25" style="5" customWidth="1"/>
    <col min="3069" max="3069" width="13" style="5" customWidth="1"/>
    <col min="3070" max="3070" width="10.75" style="5" customWidth="1"/>
    <col min="3071" max="3071" width="14.625" style="5" customWidth="1"/>
    <col min="3072" max="3072" width="15.125" style="5" customWidth="1"/>
    <col min="3073" max="3073" width="11" style="5" customWidth="1"/>
    <col min="3074" max="3322" width="8.875" style="5"/>
    <col min="3323" max="3323" width="7.125" style="5" customWidth="1"/>
    <col min="3324" max="3324" width="11.25" style="5" customWidth="1"/>
    <col min="3325" max="3325" width="13" style="5" customWidth="1"/>
    <col min="3326" max="3326" width="10.75" style="5" customWidth="1"/>
    <col min="3327" max="3327" width="14.625" style="5" customWidth="1"/>
    <col min="3328" max="3328" width="15.125" style="5" customWidth="1"/>
    <col min="3329" max="3329" width="11" style="5" customWidth="1"/>
    <col min="3330" max="3578" width="8.875" style="5"/>
    <col min="3579" max="3579" width="7.125" style="5" customWidth="1"/>
    <col min="3580" max="3580" width="11.25" style="5" customWidth="1"/>
    <col min="3581" max="3581" width="13" style="5" customWidth="1"/>
    <col min="3582" max="3582" width="10.75" style="5" customWidth="1"/>
    <col min="3583" max="3583" width="14.625" style="5" customWidth="1"/>
    <col min="3584" max="3584" width="15.125" style="5" customWidth="1"/>
    <col min="3585" max="3585" width="11" style="5" customWidth="1"/>
    <col min="3586" max="3834" width="8.875" style="5"/>
    <col min="3835" max="3835" width="7.125" style="5" customWidth="1"/>
    <col min="3836" max="3836" width="11.25" style="5" customWidth="1"/>
    <col min="3837" max="3837" width="13" style="5" customWidth="1"/>
    <col min="3838" max="3838" width="10.75" style="5" customWidth="1"/>
    <col min="3839" max="3839" width="14.625" style="5" customWidth="1"/>
    <col min="3840" max="3840" width="15.125" style="5" customWidth="1"/>
    <col min="3841" max="3841" width="11" style="5" customWidth="1"/>
    <col min="3842" max="4090" width="8.875" style="5"/>
    <col min="4091" max="4091" width="7.125" style="5" customWidth="1"/>
    <col min="4092" max="4092" width="11.25" style="5" customWidth="1"/>
    <col min="4093" max="4093" width="13" style="5" customWidth="1"/>
    <col min="4094" max="4094" width="10.75" style="5" customWidth="1"/>
    <col min="4095" max="4095" width="14.625" style="5" customWidth="1"/>
    <col min="4096" max="4096" width="15.125" style="5" customWidth="1"/>
    <col min="4097" max="4097" width="11" style="5" customWidth="1"/>
    <col min="4098" max="4346" width="8.875" style="5"/>
    <col min="4347" max="4347" width="7.125" style="5" customWidth="1"/>
    <col min="4348" max="4348" width="11.25" style="5" customWidth="1"/>
    <col min="4349" max="4349" width="13" style="5" customWidth="1"/>
    <col min="4350" max="4350" width="10.75" style="5" customWidth="1"/>
    <col min="4351" max="4351" width="14.625" style="5" customWidth="1"/>
    <col min="4352" max="4352" width="15.125" style="5" customWidth="1"/>
    <col min="4353" max="4353" width="11" style="5" customWidth="1"/>
    <col min="4354" max="4602" width="8.875" style="5"/>
    <col min="4603" max="4603" width="7.125" style="5" customWidth="1"/>
    <col min="4604" max="4604" width="11.25" style="5" customWidth="1"/>
    <col min="4605" max="4605" width="13" style="5" customWidth="1"/>
    <col min="4606" max="4606" width="10.75" style="5" customWidth="1"/>
    <col min="4607" max="4607" width="14.625" style="5" customWidth="1"/>
    <col min="4608" max="4608" width="15.125" style="5" customWidth="1"/>
    <col min="4609" max="4609" width="11" style="5" customWidth="1"/>
    <col min="4610" max="4858" width="8.875" style="5"/>
    <col min="4859" max="4859" width="7.125" style="5" customWidth="1"/>
    <col min="4860" max="4860" width="11.25" style="5" customWidth="1"/>
    <col min="4861" max="4861" width="13" style="5" customWidth="1"/>
    <col min="4862" max="4862" width="10.75" style="5" customWidth="1"/>
    <col min="4863" max="4863" width="14.625" style="5" customWidth="1"/>
    <col min="4864" max="4864" width="15.125" style="5" customWidth="1"/>
    <col min="4865" max="4865" width="11" style="5" customWidth="1"/>
    <col min="4866" max="5114" width="8.875" style="5"/>
    <col min="5115" max="5115" width="7.125" style="5" customWidth="1"/>
    <col min="5116" max="5116" width="11.25" style="5" customWidth="1"/>
    <col min="5117" max="5117" width="13" style="5" customWidth="1"/>
    <col min="5118" max="5118" width="10.75" style="5" customWidth="1"/>
    <col min="5119" max="5119" width="14.625" style="5" customWidth="1"/>
    <col min="5120" max="5120" width="15.125" style="5" customWidth="1"/>
    <col min="5121" max="5121" width="11" style="5" customWidth="1"/>
    <col min="5122" max="5370" width="8.875" style="5"/>
    <col min="5371" max="5371" width="7.125" style="5" customWidth="1"/>
    <col min="5372" max="5372" width="11.25" style="5" customWidth="1"/>
    <col min="5373" max="5373" width="13" style="5" customWidth="1"/>
    <col min="5374" max="5374" width="10.75" style="5" customWidth="1"/>
    <col min="5375" max="5375" width="14.625" style="5" customWidth="1"/>
    <col min="5376" max="5376" width="15.125" style="5" customWidth="1"/>
    <col min="5377" max="5377" width="11" style="5" customWidth="1"/>
    <col min="5378" max="5626" width="8.875" style="5"/>
    <col min="5627" max="5627" width="7.125" style="5" customWidth="1"/>
    <col min="5628" max="5628" width="11.25" style="5" customWidth="1"/>
    <col min="5629" max="5629" width="13" style="5" customWidth="1"/>
    <col min="5630" max="5630" width="10.75" style="5" customWidth="1"/>
    <col min="5631" max="5631" width="14.625" style="5" customWidth="1"/>
    <col min="5632" max="5632" width="15.125" style="5" customWidth="1"/>
    <col min="5633" max="5633" width="11" style="5" customWidth="1"/>
    <col min="5634" max="5882" width="8.875" style="5"/>
    <col min="5883" max="5883" width="7.125" style="5" customWidth="1"/>
    <col min="5884" max="5884" width="11.25" style="5" customWidth="1"/>
    <col min="5885" max="5885" width="13" style="5" customWidth="1"/>
    <col min="5886" max="5886" width="10.75" style="5" customWidth="1"/>
    <col min="5887" max="5887" width="14.625" style="5" customWidth="1"/>
    <col min="5888" max="5888" width="15.125" style="5" customWidth="1"/>
    <col min="5889" max="5889" width="11" style="5" customWidth="1"/>
    <col min="5890" max="6138" width="8.875" style="5"/>
    <col min="6139" max="6139" width="7.125" style="5" customWidth="1"/>
    <col min="6140" max="6140" width="11.25" style="5" customWidth="1"/>
    <col min="6141" max="6141" width="13" style="5" customWidth="1"/>
    <col min="6142" max="6142" width="10.75" style="5" customWidth="1"/>
    <col min="6143" max="6143" width="14.625" style="5" customWidth="1"/>
    <col min="6144" max="6144" width="15.125" style="5" customWidth="1"/>
    <col min="6145" max="6145" width="11" style="5" customWidth="1"/>
    <col min="6146" max="6394" width="8.875" style="5"/>
    <col min="6395" max="6395" width="7.125" style="5" customWidth="1"/>
    <col min="6396" max="6396" width="11.25" style="5" customWidth="1"/>
    <col min="6397" max="6397" width="13" style="5" customWidth="1"/>
    <col min="6398" max="6398" width="10.75" style="5" customWidth="1"/>
    <col min="6399" max="6399" width="14.625" style="5" customWidth="1"/>
    <col min="6400" max="6400" width="15.125" style="5" customWidth="1"/>
    <col min="6401" max="6401" width="11" style="5" customWidth="1"/>
    <col min="6402" max="6650" width="8.875" style="5"/>
    <col min="6651" max="6651" width="7.125" style="5" customWidth="1"/>
    <col min="6652" max="6652" width="11.25" style="5" customWidth="1"/>
    <col min="6653" max="6653" width="13" style="5" customWidth="1"/>
    <col min="6654" max="6654" width="10.75" style="5" customWidth="1"/>
    <col min="6655" max="6655" width="14.625" style="5" customWidth="1"/>
    <col min="6656" max="6656" width="15.125" style="5" customWidth="1"/>
    <col min="6657" max="6657" width="11" style="5" customWidth="1"/>
    <col min="6658" max="6906" width="8.875" style="5"/>
    <col min="6907" max="6907" width="7.125" style="5" customWidth="1"/>
    <col min="6908" max="6908" width="11.25" style="5" customWidth="1"/>
    <col min="6909" max="6909" width="13" style="5" customWidth="1"/>
    <col min="6910" max="6910" width="10.75" style="5" customWidth="1"/>
    <col min="6911" max="6911" width="14.625" style="5" customWidth="1"/>
    <col min="6912" max="6912" width="15.125" style="5" customWidth="1"/>
    <col min="6913" max="6913" width="11" style="5" customWidth="1"/>
    <col min="6914" max="7162" width="8.875" style="5"/>
    <col min="7163" max="7163" width="7.125" style="5" customWidth="1"/>
    <col min="7164" max="7164" width="11.25" style="5" customWidth="1"/>
    <col min="7165" max="7165" width="13" style="5" customWidth="1"/>
    <col min="7166" max="7166" width="10.75" style="5" customWidth="1"/>
    <col min="7167" max="7167" width="14.625" style="5" customWidth="1"/>
    <col min="7168" max="7168" width="15.125" style="5" customWidth="1"/>
    <col min="7169" max="7169" width="11" style="5" customWidth="1"/>
    <col min="7170" max="7418" width="8.875" style="5"/>
    <col min="7419" max="7419" width="7.125" style="5" customWidth="1"/>
    <col min="7420" max="7420" width="11.25" style="5" customWidth="1"/>
    <col min="7421" max="7421" width="13" style="5" customWidth="1"/>
    <col min="7422" max="7422" width="10.75" style="5" customWidth="1"/>
    <col min="7423" max="7423" width="14.625" style="5" customWidth="1"/>
    <col min="7424" max="7424" width="15.125" style="5" customWidth="1"/>
    <col min="7425" max="7425" width="11" style="5" customWidth="1"/>
    <col min="7426" max="7674" width="8.875" style="5"/>
    <col min="7675" max="7675" width="7.125" style="5" customWidth="1"/>
    <col min="7676" max="7676" width="11.25" style="5" customWidth="1"/>
    <col min="7677" max="7677" width="13" style="5" customWidth="1"/>
    <col min="7678" max="7678" width="10.75" style="5" customWidth="1"/>
    <col min="7679" max="7679" width="14.625" style="5" customWidth="1"/>
    <col min="7680" max="7680" width="15.125" style="5" customWidth="1"/>
    <col min="7681" max="7681" width="11" style="5" customWidth="1"/>
    <col min="7682" max="7930" width="8.875" style="5"/>
    <col min="7931" max="7931" width="7.125" style="5" customWidth="1"/>
    <col min="7932" max="7932" width="11.25" style="5" customWidth="1"/>
    <col min="7933" max="7933" width="13" style="5" customWidth="1"/>
    <col min="7934" max="7934" width="10.75" style="5" customWidth="1"/>
    <col min="7935" max="7935" width="14.625" style="5" customWidth="1"/>
    <col min="7936" max="7936" width="15.125" style="5" customWidth="1"/>
    <col min="7937" max="7937" width="11" style="5" customWidth="1"/>
    <col min="7938" max="8186" width="8.875" style="5"/>
    <col min="8187" max="8187" width="7.125" style="5" customWidth="1"/>
    <col min="8188" max="8188" width="11.25" style="5" customWidth="1"/>
    <col min="8189" max="8189" width="13" style="5" customWidth="1"/>
    <col min="8190" max="8190" width="10.75" style="5" customWidth="1"/>
    <col min="8191" max="8191" width="14.625" style="5" customWidth="1"/>
    <col min="8192" max="8192" width="15.125" style="5" customWidth="1"/>
    <col min="8193" max="8193" width="11" style="5" customWidth="1"/>
    <col min="8194" max="8442" width="8.875" style="5"/>
    <col min="8443" max="8443" width="7.125" style="5" customWidth="1"/>
    <col min="8444" max="8444" width="11.25" style="5" customWidth="1"/>
    <col min="8445" max="8445" width="13" style="5" customWidth="1"/>
    <col min="8446" max="8446" width="10.75" style="5" customWidth="1"/>
    <col min="8447" max="8447" width="14.625" style="5" customWidth="1"/>
    <col min="8448" max="8448" width="15.125" style="5" customWidth="1"/>
    <col min="8449" max="8449" width="11" style="5" customWidth="1"/>
    <col min="8450" max="8698" width="8.875" style="5"/>
    <col min="8699" max="8699" width="7.125" style="5" customWidth="1"/>
    <col min="8700" max="8700" width="11.25" style="5" customWidth="1"/>
    <col min="8701" max="8701" width="13" style="5" customWidth="1"/>
    <col min="8702" max="8702" width="10.75" style="5" customWidth="1"/>
    <col min="8703" max="8703" width="14.625" style="5" customWidth="1"/>
    <col min="8704" max="8704" width="15.125" style="5" customWidth="1"/>
    <col min="8705" max="8705" width="11" style="5" customWidth="1"/>
    <col min="8706" max="8954" width="8.875" style="5"/>
    <col min="8955" max="8955" width="7.125" style="5" customWidth="1"/>
    <col min="8956" max="8956" width="11.25" style="5" customWidth="1"/>
    <col min="8957" max="8957" width="13" style="5" customWidth="1"/>
    <col min="8958" max="8958" width="10.75" style="5" customWidth="1"/>
    <col min="8959" max="8959" width="14.625" style="5" customWidth="1"/>
    <col min="8960" max="8960" width="15.125" style="5" customWidth="1"/>
    <col min="8961" max="8961" width="11" style="5" customWidth="1"/>
    <col min="8962" max="9210" width="8.875" style="5"/>
    <col min="9211" max="9211" width="7.125" style="5" customWidth="1"/>
    <col min="9212" max="9212" width="11.25" style="5" customWidth="1"/>
    <col min="9213" max="9213" width="13" style="5" customWidth="1"/>
    <col min="9214" max="9214" width="10.75" style="5" customWidth="1"/>
    <col min="9215" max="9215" width="14.625" style="5" customWidth="1"/>
    <col min="9216" max="9216" width="15.125" style="5" customWidth="1"/>
    <col min="9217" max="9217" width="11" style="5" customWidth="1"/>
    <col min="9218" max="9466" width="8.875" style="5"/>
    <col min="9467" max="9467" width="7.125" style="5" customWidth="1"/>
    <col min="9468" max="9468" width="11.25" style="5" customWidth="1"/>
    <col min="9469" max="9469" width="13" style="5" customWidth="1"/>
    <col min="9470" max="9470" width="10.75" style="5" customWidth="1"/>
    <col min="9471" max="9471" width="14.625" style="5" customWidth="1"/>
    <col min="9472" max="9472" width="15.125" style="5" customWidth="1"/>
    <col min="9473" max="9473" width="11" style="5" customWidth="1"/>
    <col min="9474" max="9722" width="8.875" style="5"/>
    <col min="9723" max="9723" width="7.125" style="5" customWidth="1"/>
    <col min="9724" max="9724" width="11.25" style="5" customWidth="1"/>
    <col min="9725" max="9725" width="13" style="5" customWidth="1"/>
    <col min="9726" max="9726" width="10.75" style="5" customWidth="1"/>
    <col min="9727" max="9727" width="14.625" style="5" customWidth="1"/>
    <col min="9728" max="9728" width="15.125" style="5" customWidth="1"/>
    <col min="9729" max="9729" width="11" style="5" customWidth="1"/>
    <col min="9730" max="9978" width="8.875" style="5"/>
    <col min="9979" max="9979" width="7.125" style="5" customWidth="1"/>
    <col min="9980" max="9980" width="11.25" style="5" customWidth="1"/>
    <col min="9981" max="9981" width="13" style="5" customWidth="1"/>
    <col min="9982" max="9982" width="10.75" style="5" customWidth="1"/>
    <col min="9983" max="9983" width="14.625" style="5" customWidth="1"/>
    <col min="9984" max="9984" width="15.125" style="5" customWidth="1"/>
    <col min="9985" max="9985" width="11" style="5" customWidth="1"/>
    <col min="9986" max="10234" width="8.875" style="5"/>
    <col min="10235" max="10235" width="7.125" style="5" customWidth="1"/>
    <col min="10236" max="10236" width="11.25" style="5" customWidth="1"/>
    <col min="10237" max="10237" width="13" style="5" customWidth="1"/>
    <col min="10238" max="10238" width="10.75" style="5" customWidth="1"/>
    <col min="10239" max="10239" width="14.625" style="5" customWidth="1"/>
    <col min="10240" max="10240" width="15.125" style="5" customWidth="1"/>
    <col min="10241" max="10241" width="11" style="5" customWidth="1"/>
    <col min="10242" max="10490" width="8.875" style="5"/>
    <col min="10491" max="10491" width="7.125" style="5" customWidth="1"/>
    <col min="10492" max="10492" width="11.25" style="5" customWidth="1"/>
    <col min="10493" max="10493" width="13" style="5" customWidth="1"/>
    <col min="10494" max="10494" width="10.75" style="5" customWidth="1"/>
    <col min="10495" max="10495" width="14.625" style="5" customWidth="1"/>
    <col min="10496" max="10496" width="15.125" style="5" customWidth="1"/>
    <col min="10497" max="10497" width="11" style="5" customWidth="1"/>
    <col min="10498" max="10746" width="8.875" style="5"/>
    <col min="10747" max="10747" width="7.125" style="5" customWidth="1"/>
    <col min="10748" max="10748" width="11.25" style="5" customWidth="1"/>
    <col min="10749" max="10749" width="13" style="5" customWidth="1"/>
    <col min="10750" max="10750" width="10.75" style="5" customWidth="1"/>
    <col min="10751" max="10751" width="14.625" style="5" customWidth="1"/>
    <col min="10752" max="10752" width="15.125" style="5" customWidth="1"/>
    <col min="10753" max="10753" width="11" style="5" customWidth="1"/>
    <col min="10754" max="11002" width="8.875" style="5"/>
    <col min="11003" max="11003" width="7.125" style="5" customWidth="1"/>
    <col min="11004" max="11004" width="11.25" style="5" customWidth="1"/>
    <col min="11005" max="11005" width="13" style="5" customWidth="1"/>
    <col min="11006" max="11006" width="10.75" style="5" customWidth="1"/>
    <col min="11007" max="11007" width="14.625" style="5" customWidth="1"/>
    <col min="11008" max="11008" width="15.125" style="5" customWidth="1"/>
    <col min="11009" max="11009" width="11" style="5" customWidth="1"/>
    <col min="11010" max="11258" width="8.875" style="5"/>
    <col min="11259" max="11259" width="7.125" style="5" customWidth="1"/>
    <col min="11260" max="11260" width="11.25" style="5" customWidth="1"/>
    <col min="11261" max="11261" width="13" style="5" customWidth="1"/>
    <col min="11262" max="11262" width="10.75" style="5" customWidth="1"/>
    <col min="11263" max="11263" width="14.625" style="5" customWidth="1"/>
    <col min="11264" max="11264" width="15.125" style="5" customWidth="1"/>
    <col min="11265" max="11265" width="11" style="5" customWidth="1"/>
    <col min="11266" max="11514" width="8.875" style="5"/>
    <col min="11515" max="11515" width="7.125" style="5" customWidth="1"/>
    <col min="11516" max="11516" width="11.25" style="5" customWidth="1"/>
    <col min="11517" max="11517" width="13" style="5" customWidth="1"/>
    <col min="11518" max="11518" width="10.75" style="5" customWidth="1"/>
    <col min="11519" max="11519" width="14.625" style="5" customWidth="1"/>
    <col min="11520" max="11520" width="15.125" style="5" customWidth="1"/>
    <col min="11521" max="11521" width="11" style="5" customWidth="1"/>
    <col min="11522" max="11770" width="8.875" style="5"/>
    <col min="11771" max="11771" width="7.125" style="5" customWidth="1"/>
    <col min="11772" max="11772" width="11.25" style="5" customWidth="1"/>
    <col min="11773" max="11773" width="13" style="5" customWidth="1"/>
    <col min="11774" max="11774" width="10.75" style="5" customWidth="1"/>
    <col min="11775" max="11775" width="14.625" style="5" customWidth="1"/>
    <col min="11776" max="11776" width="15.125" style="5" customWidth="1"/>
    <col min="11777" max="11777" width="11" style="5" customWidth="1"/>
    <col min="11778" max="12026" width="8.875" style="5"/>
    <col min="12027" max="12027" width="7.125" style="5" customWidth="1"/>
    <col min="12028" max="12028" width="11.25" style="5" customWidth="1"/>
    <col min="12029" max="12029" width="13" style="5" customWidth="1"/>
    <col min="12030" max="12030" width="10.75" style="5" customWidth="1"/>
    <col min="12031" max="12031" width="14.625" style="5" customWidth="1"/>
    <col min="12032" max="12032" width="15.125" style="5" customWidth="1"/>
    <col min="12033" max="12033" width="11" style="5" customWidth="1"/>
    <col min="12034" max="12282" width="8.875" style="5"/>
    <col min="12283" max="12283" width="7.125" style="5" customWidth="1"/>
    <col min="12284" max="12284" width="11.25" style="5" customWidth="1"/>
    <col min="12285" max="12285" width="13" style="5" customWidth="1"/>
    <col min="12286" max="12286" width="10.75" style="5" customWidth="1"/>
    <col min="12287" max="12287" width="14.625" style="5" customWidth="1"/>
    <col min="12288" max="12288" width="15.125" style="5" customWidth="1"/>
    <col min="12289" max="12289" width="11" style="5" customWidth="1"/>
    <col min="12290" max="12538" width="8.875" style="5"/>
    <col min="12539" max="12539" width="7.125" style="5" customWidth="1"/>
    <col min="12540" max="12540" width="11.25" style="5" customWidth="1"/>
    <col min="12541" max="12541" width="13" style="5" customWidth="1"/>
    <col min="12542" max="12542" width="10.75" style="5" customWidth="1"/>
    <col min="12543" max="12543" width="14.625" style="5" customWidth="1"/>
    <col min="12544" max="12544" width="15.125" style="5" customWidth="1"/>
    <col min="12545" max="12545" width="11" style="5" customWidth="1"/>
    <col min="12546" max="12794" width="8.875" style="5"/>
    <col min="12795" max="12795" width="7.125" style="5" customWidth="1"/>
    <col min="12796" max="12796" width="11.25" style="5" customWidth="1"/>
    <col min="12797" max="12797" width="13" style="5" customWidth="1"/>
    <col min="12798" max="12798" width="10.75" style="5" customWidth="1"/>
    <col min="12799" max="12799" width="14.625" style="5" customWidth="1"/>
    <col min="12800" max="12800" width="15.125" style="5" customWidth="1"/>
    <col min="12801" max="12801" width="11" style="5" customWidth="1"/>
    <col min="12802" max="13050" width="8.875" style="5"/>
    <col min="13051" max="13051" width="7.125" style="5" customWidth="1"/>
    <col min="13052" max="13052" width="11.25" style="5" customWidth="1"/>
    <col min="13053" max="13053" width="13" style="5" customWidth="1"/>
    <col min="13054" max="13054" width="10.75" style="5" customWidth="1"/>
    <col min="13055" max="13055" width="14.625" style="5" customWidth="1"/>
    <col min="13056" max="13056" width="15.125" style="5" customWidth="1"/>
    <col min="13057" max="13057" width="11" style="5" customWidth="1"/>
    <col min="13058" max="13306" width="8.875" style="5"/>
    <col min="13307" max="13307" width="7.125" style="5" customWidth="1"/>
    <col min="13308" max="13308" width="11.25" style="5" customWidth="1"/>
    <col min="13309" max="13309" width="13" style="5" customWidth="1"/>
    <col min="13310" max="13310" width="10.75" style="5" customWidth="1"/>
    <col min="13311" max="13311" width="14.625" style="5" customWidth="1"/>
    <col min="13312" max="13312" width="15.125" style="5" customWidth="1"/>
    <col min="13313" max="13313" width="11" style="5" customWidth="1"/>
    <col min="13314" max="13562" width="8.875" style="5"/>
    <col min="13563" max="13563" width="7.125" style="5" customWidth="1"/>
    <col min="13564" max="13564" width="11.25" style="5" customWidth="1"/>
    <col min="13565" max="13565" width="13" style="5" customWidth="1"/>
    <col min="13566" max="13566" width="10.75" style="5" customWidth="1"/>
    <col min="13567" max="13567" width="14.625" style="5" customWidth="1"/>
    <col min="13568" max="13568" width="15.125" style="5" customWidth="1"/>
    <col min="13569" max="13569" width="11" style="5" customWidth="1"/>
    <col min="13570" max="13818" width="8.875" style="5"/>
    <col min="13819" max="13819" width="7.125" style="5" customWidth="1"/>
    <col min="13820" max="13820" width="11.25" style="5" customWidth="1"/>
    <col min="13821" max="13821" width="13" style="5" customWidth="1"/>
    <col min="13822" max="13822" width="10.75" style="5" customWidth="1"/>
    <col min="13823" max="13823" width="14.625" style="5" customWidth="1"/>
    <col min="13824" max="13824" width="15.125" style="5" customWidth="1"/>
    <col min="13825" max="13825" width="11" style="5" customWidth="1"/>
    <col min="13826" max="14074" width="8.875" style="5"/>
    <col min="14075" max="14075" width="7.125" style="5" customWidth="1"/>
    <col min="14076" max="14076" width="11.25" style="5" customWidth="1"/>
    <col min="14077" max="14077" width="13" style="5" customWidth="1"/>
    <col min="14078" max="14078" width="10.75" style="5" customWidth="1"/>
    <col min="14079" max="14079" width="14.625" style="5" customWidth="1"/>
    <col min="14080" max="14080" width="15.125" style="5" customWidth="1"/>
    <col min="14081" max="14081" width="11" style="5" customWidth="1"/>
    <col min="14082" max="14330" width="8.875" style="5"/>
    <col min="14331" max="14331" width="7.125" style="5" customWidth="1"/>
    <col min="14332" max="14332" width="11.25" style="5" customWidth="1"/>
    <col min="14333" max="14333" width="13" style="5" customWidth="1"/>
    <col min="14334" max="14334" width="10.75" style="5" customWidth="1"/>
    <col min="14335" max="14335" width="14.625" style="5" customWidth="1"/>
    <col min="14336" max="14336" width="15.125" style="5" customWidth="1"/>
    <col min="14337" max="14337" width="11" style="5" customWidth="1"/>
    <col min="14338" max="14586" width="8.875" style="5"/>
    <col min="14587" max="14587" width="7.125" style="5" customWidth="1"/>
    <col min="14588" max="14588" width="11.25" style="5" customWidth="1"/>
    <col min="14589" max="14589" width="13" style="5" customWidth="1"/>
    <col min="14590" max="14590" width="10.75" style="5" customWidth="1"/>
    <col min="14591" max="14591" width="14.625" style="5" customWidth="1"/>
    <col min="14592" max="14592" width="15.125" style="5" customWidth="1"/>
    <col min="14593" max="14593" width="11" style="5" customWidth="1"/>
    <col min="14594" max="14842" width="8.875" style="5"/>
    <col min="14843" max="14843" width="7.125" style="5" customWidth="1"/>
    <col min="14844" max="14844" width="11.25" style="5" customWidth="1"/>
    <col min="14845" max="14845" width="13" style="5" customWidth="1"/>
    <col min="14846" max="14846" width="10.75" style="5" customWidth="1"/>
    <col min="14847" max="14847" width="14.625" style="5" customWidth="1"/>
    <col min="14848" max="14848" width="15.125" style="5" customWidth="1"/>
    <col min="14849" max="14849" width="11" style="5" customWidth="1"/>
    <col min="14850" max="15098" width="8.875" style="5"/>
    <col min="15099" max="15099" width="7.125" style="5" customWidth="1"/>
    <col min="15100" max="15100" width="11.25" style="5" customWidth="1"/>
    <col min="15101" max="15101" width="13" style="5" customWidth="1"/>
    <col min="15102" max="15102" width="10.75" style="5" customWidth="1"/>
    <col min="15103" max="15103" width="14.625" style="5" customWidth="1"/>
    <col min="15104" max="15104" width="15.125" style="5" customWidth="1"/>
    <col min="15105" max="15105" width="11" style="5" customWidth="1"/>
    <col min="15106" max="15354" width="8.875" style="5"/>
    <col min="15355" max="15355" width="7.125" style="5" customWidth="1"/>
    <col min="15356" max="15356" width="11.25" style="5" customWidth="1"/>
    <col min="15357" max="15357" width="13" style="5" customWidth="1"/>
    <col min="15358" max="15358" width="10.75" style="5" customWidth="1"/>
    <col min="15359" max="15359" width="14.625" style="5" customWidth="1"/>
    <col min="15360" max="15360" width="15.125" style="5" customWidth="1"/>
    <col min="15361" max="15361" width="11" style="5" customWidth="1"/>
    <col min="15362" max="15610" width="8.875" style="5"/>
    <col min="15611" max="15611" width="7.125" style="5" customWidth="1"/>
    <col min="15612" max="15612" width="11.25" style="5" customWidth="1"/>
    <col min="15613" max="15613" width="13" style="5" customWidth="1"/>
    <col min="15614" max="15614" width="10.75" style="5" customWidth="1"/>
    <col min="15615" max="15615" width="14.625" style="5" customWidth="1"/>
    <col min="15616" max="15616" width="15.125" style="5" customWidth="1"/>
    <col min="15617" max="15617" width="11" style="5" customWidth="1"/>
    <col min="15618" max="15866" width="8.875" style="5"/>
    <col min="15867" max="15867" width="7.125" style="5" customWidth="1"/>
    <col min="15868" max="15868" width="11.25" style="5" customWidth="1"/>
    <col min="15869" max="15869" width="13" style="5" customWidth="1"/>
    <col min="15870" max="15870" width="10.75" style="5" customWidth="1"/>
    <col min="15871" max="15871" width="14.625" style="5" customWidth="1"/>
    <col min="15872" max="15872" width="15.125" style="5" customWidth="1"/>
    <col min="15873" max="15873" width="11" style="5" customWidth="1"/>
    <col min="15874" max="16122" width="8.875" style="5"/>
    <col min="16123" max="16123" width="7.125" style="5" customWidth="1"/>
    <col min="16124" max="16124" width="11.25" style="5" customWidth="1"/>
    <col min="16125" max="16125" width="13" style="5" customWidth="1"/>
    <col min="16126" max="16126" width="10.75" style="5" customWidth="1"/>
    <col min="16127" max="16127" width="14.625" style="5" customWidth="1"/>
    <col min="16128" max="16128" width="15.125" style="5" customWidth="1"/>
    <col min="16129" max="16129" width="11" style="5" customWidth="1"/>
    <col min="16130" max="16384" width="8.875" style="5"/>
  </cols>
  <sheetData>
    <row r="1" spans="1:16" ht="19.5">
      <c r="A1" s="1" t="s">
        <v>471</v>
      </c>
      <c r="B1" s="129"/>
      <c r="C1" s="305"/>
      <c r="D1" s="306"/>
      <c r="E1" s="129"/>
      <c r="F1" s="305"/>
      <c r="G1" s="306"/>
      <c r="I1"/>
      <c r="J1"/>
      <c r="K1"/>
      <c r="L1"/>
      <c r="M1"/>
      <c r="N1"/>
      <c r="O1"/>
      <c r="P1"/>
    </row>
    <row r="2" spans="1:16">
      <c r="I2"/>
      <c r="J2"/>
      <c r="K2"/>
      <c r="L2"/>
      <c r="M2"/>
      <c r="N2"/>
      <c r="O2"/>
      <c r="P2"/>
    </row>
    <row r="3" spans="1:16" s="122" customFormat="1" ht="18" customHeight="1">
      <c r="A3" s="132" t="s">
        <v>424</v>
      </c>
      <c r="B3" s="133"/>
      <c r="C3" s="134"/>
      <c r="D3" s="135"/>
      <c r="E3" s="133"/>
      <c r="F3" s="136"/>
      <c r="G3" s="137"/>
      <c r="I3"/>
      <c r="J3"/>
      <c r="K3"/>
      <c r="L3"/>
      <c r="M3"/>
      <c r="N3"/>
      <c r="O3"/>
      <c r="P3"/>
    </row>
    <row r="4" spans="1:16" ht="18" customHeight="1">
      <c r="A4" s="138" t="s">
        <v>467</v>
      </c>
      <c r="B4" s="68"/>
      <c r="C4" s="309"/>
      <c r="D4" s="310"/>
      <c r="E4" s="68"/>
      <c r="F4" s="311"/>
      <c r="G4" s="142"/>
      <c r="I4"/>
      <c r="J4"/>
      <c r="K4"/>
      <c r="L4"/>
      <c r="M4"/>
      <c r="N4"/>
      <c r="O4"/>
      <c r="P4"/>
    </row>
    <row r="5" spans="1:16" ht="18" customHeight="1">
      <c r="A5" s="77" t="s">
        <v>51</v>
      </c>
      <c r="B5" s="143" t="s">
        <v>52</v>
      </c>
      <c r="C5" s="144"/>
      <c r="D5" s="145"/>
      <c r="E5" s="146" t="s">
        <v>53</v>
      </c>
      <c r="F5" s="144"/>
      <c r="G5" s="145"/>
      <c r="I5"/>
      <c r="J5"/>
      <c r="K5"/>
      <c r="L5"/>
      <c r="M5"/>
      <c r="N5"/>
      <c r="O5"/>
      <c r="P5"/>
    </row>
    <row r="6" spans="1:16" ht="18" customHeight="1">
      <c r="A6" s="94"/>
      <c r="B6" s="30" t="s">
        <v>458</v>
      </c>
      <c r="C6" s="147" t="s">
        <v>459</v>
      </c>
      <c r="D6" s="312" t="s">
        <v>61</v>
      </c>
      <c r="E6" s="30" t="s">
        <v>458</v>
      </c>
      <c r="F6" s="147" t="s">
        <v>459</v>
      </c>
      <c r="G6" s="312" t="s">
        <v>61</v>
      </c>
      <c r="I6" s="489"/>
      <c r="J6" s="489"/>
      <c r="K6" s="489"/>
      <c r="L6" s="489"/>
    </row>
    <row r="7" spans="1:16" ht="18" customHeight="1">
      <c r="A7" s="31">
        <v>1</v>
      </c>
      <c r="B7" s="385">
        <v>31838</v>
      </c>
      <c r="C7" s="91">
        <v>102575</v>
      </c>
      <c r="D7" s="516">
        <f t="shared" ref="D7:D19" si="0">(B7-C7)/C7</f>
        <v>-0.68961247867414088</v>
      </c>
      <c r="E7" s="33">
        <v>61174971</v>
      </c>
      <c r="F7" s="91">
        <v>157168031</v>
      </c>
      <c r="G7" s="516">
        <f t="shared" ref="G7:G19" si="1">(E7-F7)/F7</f>
        <v>-0.61076708405159064</v>
      </c>
      <c r="I7" s="489"/>
      <c r="J7" s="489"/>
    </row>
    <row r="8" spans="1:16" ht="18" customHeight="1">
      <c r="A8" s="31">
        <v>2</v>
      </c>
      <c r="B8" s="385">
        <v>35076</v>
      </c>
      <c r="C8" s="91">
        <v>68335</v>
      </c>
      <c r="D8" s="516">
        <f t="shared" si="0"/>
        <v>-0.48670520231213871</v>
      </c>
      <c r="E8" s="385">
        <v>62026650</v>
      </c>
      <c r="F8" s="91">
        <v>114935015</v>
      </c>
      <c r="G8" s="516">
        <f t="shared" si="1"/>
        <v>-0.46033286722936434</v>
      </c>
      <c r="I8" s="489"/>
      <c r="J8" s="489"/>
      <c r="K8" s="489"/>
      <c r="L8" s="489"/>
    </row>
    <row r="9" spans="1:16" ht="18" customHeight="1">
      <c r="A9" s="31">
        <v>3</v>
      </c>
      <c r="B9" s="385"/>
      <c r="C9" s="490"/>
      <c r="D9" s="516"/>
      <c r="E9" s="378"/>
      <c r="F9" s="386"/>
      <c r="G9" s="516"/>
      <c r="J9" s="489"/>
      <c r="K9" s="489"/>
    </row>
    <row r="10" spans="1:16" ht="18" customHeight="1">
      <c r="A10" s="31">
        <v>4</v>
      </c>
      <c r="B10" s="387"/>
      <c r="C10" s="388"/>
      <c r="D10" s="516"/>
      <c r="E10" s="387"/>
      <c r="F10" s="388"/>
      <c r="G10" s="516"/>
    </row>
    <row r="11" spans="1:16" ht="18" customHeight="1">
      <c r="A11" s="31">
        <v>5</v>
      </c>
      <c r="B11" s="385"/>
      <c r="C11" s="386"/>
      <c r="D11" s="516"/>
      <c r="E11" s="385"/>
      <c r="F11" s="386"/>
      <c r="G11" s="516"/>
    </row>
    <row r="12" spans="1:16" ht="18" customHeight="1">
      <c r="A12" s="31">
        <v>6</v>
      </c>
      <c r="B12" s="385"/>
      <c r="C12" s="386"/>
      <c r="D12" s="516"/>
      <c r="E12" s="385"/>
      <c r="F12" s="386"/>
      <c r="G12" s="516"/>
      <c r="J12" s="489"/>
      <c r="K12" s="489"/>
    </row>
    <row r="13" spans="1:16" ht="18" customHeight="1">
      <c r="A13" s="31">
        <v>7</v>
      </c>
      <c r="B13" s="389"/>
      <c r="C13" s="386"/>
      <c r="D13" s="516"/>
      <c r="E13" s="389"/>
      <c r="F13" s="386"/>
      <c r="G13" s="516"/>
    </row>
    <row r="14" spans="1:16" ht="18" customHeight="1">
      <c r="A14" s="31">
        <v>8</v>
      </c>
      <c r="B14" s="385"/>
      <c r="C14" s="386"/>
      <c r="D14" s="516"/>
      <c r="E14" s="385"/>
      <c r="F14" s="386"/>
      <c r="G14" s="516"/>
      <c r="J14" s="489"/>
      <c r="K14" s="489"/>
    </row>
    <row r="15" spans="1:16" ht="18" customHeight="1">
      <c r="A15" s="31">
        <v>9</v>
      </c>
      <c r="B15" s="27"/>
      <c r="C15" s="386"/>
      <c r="D15" s="516"/>
      <c r="E15" s="27"/>
      <c r="F15" s="386"/>
      <c r="G15" s="516"/>
    </row>
    <row r="16" spans="1:16" ht="18" customHeight="1">
      <c r="A16" s="31">
        <v>10</v>
      </c>
      <c r="B16" s="27"/>
      <c r="C16" s="386"/>
      <c r="D16" s="516"/>
      <c r="E16" s="27"/>
      <c r="F16" s="386"/>
      <c r="G16" s="516"/>
    </row>
    <row r="17" spans="1:18" ht="18" customHeight="1">
      <c r="A17" s="31">
        <v>11</v>
      </c>
      <c r="B17" s="27"/>
      <c r="C17" s="511"/>
      <c r="D17" s="516"/>
      <c r="E17" s="27"/>
      <c r="F17" s="512"/>
      <c r="G17" s="516"/>
    </row>
    <row r="18" spans="1:18" ht="18" customHeight="1">
      <c r="A18" s="31">
        <v>12</v>
      </c>
      <c r="B18" s="27"/>
      <c r="C18" s="511"/>
      <c r="D18" s="516"/>
      <c r="E18" s="27"/>
      <c r="F18" s="512"/>
      <c r="G18" s="516"/>
      <c r="I18" s="491"/>
      <c r="J18" s="491"/>
      <c r="K18" s="491"/>
      <c r="L18" s="491"/>
      <c r="M18"/>
      <c r="N18"/>
      <c r="O18"/>
      <c r="P18"/>
      <c r="Q18"/>
      <c r="R18"/>
    </row>
    <row r="19" spans="1:18" s="115" customFormat="1" ht="18" customHeight="1">
      <c r="A19" s="32" t="s">
        <v>50</v>
      </c>
      <c r="B19" s="33">
        <f>SUM(B7:B18)</f>
        <v>66914</v>
      </c>
      <c r="C19" s="91">
        <f>SUM(C7:C18)</f>
        <v>170910</v>
      </c>
      <c r="D19" s="516">
        <f t="shared" si="0"/>
        <v>-0.6084839974255456</v>
      </c>
      <c r="E19" s="33">
        <f>SUM(E7:E18)</f>
        <v>123201621</v>
      </c>
      <c r="F19" s="91">
        <f>SUM(F7:F18)</f>
        <v>272103046</v>
      </c>
      <c r="G19" s="516">
        <f t="shared" si="1"/>
        <v>-0.54722439601062023</v>
      </c>
      <c r="H19" s="5"/>
      <c r="I19" s="491"/>
      <c r="J19" s="491"/>
      <c r="K19" s="491"/>
      <c r="L19" s="491"/>
      <c r="M19"/>
      <c r="N19"/>
      <c r="O19"/>
      <c r="P19"/>
      <c r="Q19"/>
      <c r="R19"/>
    </row>
    <row r="20" spans="1:18" s="115" customFormat="1" ht="14.25" customHeight="1">
      <c r="A20" s="38"/>
      <c r="B20" s="39"/>
      <c r="C20" s="492"/>
      <c r="D20" s="313"/>
      <c r="E20" s="39"/>
      <c r="F20" s="492"/>
      <c r="G20" s="313"/>
      <c r="H20" s="5"/>
      <c r="I20" s="491"/>
      <c r="J20" s="491"/>
      <c r="K20"/>
      <c r="L20"/>
      <c r="M20"/>
      <c r="N20"/>
      <c r="O20"/>
      <c r="P20"/>
      <c r="Q20"/>
      <c r="R20"/>
    </row>
    <row r="21" spans="1:18" s="115" customFormat="1" ht="14.25" customHeight="1">
      <c r="A21" s="38"/>
      <c r="B21" s="39"/>
      <c r="C21" s="492"/>
      <c r="D21" s="313"/>
      <c r="E21" s="39"/>
      <c r="F21" s="492"/>
      <c r="G21" s="313"/>
      <c r="H21" s="5"/>
      <c r="I21" s="491"/>
      <c r="J21" s="491"/>
      <c r="K21" s="491"/>
      <c r="L21" s="491"/>
      <c r="M21"/>
      <c r="N21"/>
      <c r="O21"/>
      <c r="P21"/>
      <c r="Q21"/>
      <c r="R21"/>
    </row>
    <row r="22" spans="1:18" ht="18" customHeight="1">
      <c r="A22" s="1" t="s">
        <v>470</v>
      </c>
      <c r="B22" s="129"/>
      <c r="C22" s="305"/>
      <c r="D22" s="306"/>
      <c r="E22" s="129"/>
      <c r="F22" s="305"/>
      <c r="G22" s="306"/>
      <c r="I22"/>
      <c r="J22"/>
      <c r="K22"/>
      <c r="L22"/>
      <c r="M22"/>
      <c r="N22"/>
      <c r="O22"/>
      <c r="P22"/>
      <c r="Q22"/>
      <c r="R22"/>
    </row>
    <row r="23" spans="1:18" ht="11.25" customHeight="1">
      <c r="A23" s="1"/>
      <c r="B23" s="129"/>
      <c r="C23" s="305"/>
      <c r="D23" s="306"/>
      <c r="E23" s="129"/>
      <c r="F23" s="305"/>
      <c r="G23" s="306"/>
      <c r="I23"/>
      <c r="J23"/>
      <c r="K23"/>
      <c r="L23"/>
      <c r="M23"/>
      <c r="N23"/>
      <c r="O23"/>
      <c r="P23"/>
      <c r="Q23"/>
      <c r="R23"/>
    </row>
    <row r="24" spans="1:18" s="122" customFormat="1" ht="18" customHeight="1">
      <c r="A24" s="153" t="s">
        <v>420</v>
      </c>
      <c r="B24" s="154"/>
      <c r="C24" s="155"/>
      <c r="D24" s="156"/>
      <c r="E24" s="154"/>
      <c r="F24" s="157"/>
      <c r="G24" s="158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8" t="s">
        <v>460</v>
      </c>
      <c r="B25" s="159"/>
      <c r="C25" s="314"/>
      <c r="D25" s="315"/>
      <c r="E25" s="159"/>
      <c r="F25" s="316"/>
      <c r="G25" s="163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7" t="s">
        <v>51</v>
      </c>
      <c r="B26" s="164" t="s">
        <v>52</v>
      </c>
      <c r="C26" s="165"/>
      <c r="D26" s="166"/>
      <c r="E26" s="167" t="s">
        <v>53</v>
      </c>
      <c r="F26" s="165"/>
      <c r="G26" s="166"/>
    </row>
    <row r="27" spans="1:18" ht="18" customHeight="1">
      <c r="A27" s="94"/>
      <c r="B27" s="30" t="s">
        <v>458</v>
      </c>
      <c r="C27" s="147" t="s">
        <v>459</v>
      </c>
      <c r="D27" s="312" t="s">
        <v>414</v>
      </c>
      <c r="E27" s="30" t="s">
        <v>458</v>
      </c>
      <c r="F27" s="147" t="s">
        <v>459</v>
      </c>
      <c r="G27" s="312" t="s">
        <v>415</v>
      </c>
    </row>
    <row r="28" spans="1:18" ht="18" customHeight="1">
      <c r="A28" s="31">
        <v>1</v>
      </c>
      <c r="B28" s="385">
        <v>11</v>
      </c>
      <c r="C28" s="91">
        <v>661</v>
      </c>
      <c r="D28" s="516">
        <f>(B28-C28)/C28</f>
        <v>-0.98335854765506803</v>
      </c>
      <c r="E28" s="385">
        <v>15617</v>
      </c>
      <c r="F28" s="91">
        <v>457222</v>
      </c>
      <c r="G28" s="516">
        <f>(E28-F28)/F28</f>
        <v>-0.96584372580497002</v>
      </c>
    </row>
    <row r="29" spans="1:18" ht="18" customHeight="1">
      <c r="A29" s="31">
        <v>2</v>
      </c>
      <c r="B29" s="385">
        <v>106</v>
      </c>
      <c r="C29" s="91">
        <v>306</v>
      </c>
      <c r="D29" s="516">
        <f>(B29-C29)/C29</f>
        <v>-0.65359477124183007</v>
      </c>
      <c r="E29" s="385">
        <v>42589</v>
      </c>
      <c r="F29" s="91">
        <v>343954</v>
      </c>
      <c r="G29" s="516">
        <f>(E29-F29)/F29</f>
        <v>-0.87617820987690209</v>
      </c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385"/>
      <c r="C30" s="509"/>
      <c r="D30" s="516"/>
      <c r="E30" s="385"/>
      <c r="F30" s="509"/>
      <c r="G30" s="516"/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385"/>
      <c r="C31" s="510"/>
      <c r="D31" s="516"/>
      <c r="E31" s="387"/>
      <c r="F31" s="510"/>
      <c r="G31" s="516"/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385"/>
      <c r="C32" s="509"/>
      <c r="D32" s="516"/>
      <c r="E32" s="385"/>
      <c r="F32" s="509"/>
      <c r="G32" s="516"/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385"/>
      <c r="C33" s="509"/>
      <c r="D33" s="516"/>
      <c r="E33" s="385"/>
      <c r="F33" s="509"/>
      <c r="G33" s="516"/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385"/>
      <c r="C34" s="509"/>
      <c r="D34" s="516"/>
      <c r="E34" s="385"/>
      <c r="F34" s="509"/>
      <c r="G34" s="516"/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385"/>
      <c r="C35" s="509"/>
      <c r="D35" s="516"/>
      <c r="E35" s="385"/>
      <c r="F35" s="509"/>
      <c r="G35" s="516"/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/>
      <c r="C36" s="509"/>
      <c r="D36" s="516"/>
      <c r="E36" s="27"/>
      <c r="F36" s="509"/>
      <c r="G36" s="516"/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/>
      <c r="C37" s="509"/>
      <c r="D37" s="516"/>
      <c r="E37" s="27"/>
      <c r="F37" s="509"/>
      <c r="G37" s="516"/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/>
      <c r="C38" s="90"/>
      <c r="D38" s="516"/>
      <c r="E38" s="27"/>
      <c r="F38" s="90"/>
      <c r="G38" s="516"/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/>
      <c r="C39" s="90"/>
      <c r="D39" s="516"/>
      <c r="E39" s="27"/>
      <c r="F39" s="90"/>
      <c r="G39" s="516"/>
      <c r="I39" s="491"/>
      <c r="J39" s="491"/>
      <c r="K39"/>
      <c r="L39"/>
      <c r="M39"/>
      <c r="N39"/>
      <c r="O39"/>
      <c r="P39"/>
    </row>
    <row r="40" spans="1:16" s="115" customFormat="1" ht="18" customHeight="1">
      <c r="A40" s="32" t="s">
        <v>50</v>
      </c>
      <c r="B40" s="33">
        <f>SUM(B28:B39)</f>
        <v>117</v>
      </c>
      <c r="C40" s="91">
        <f>SUM(C28:C39)</f>
        <v>967</v>
      </c>
      <c r="D40" s="516">
        <f t="shared" ref="D40" si="2">(B40-C40)/C40</f>
        <v>-0.87900723888314369</v>
      </c>
      <c r="E40" s="33">
        <f>SUM(E28:E39)</f>
        <v>58206</v>
      </c>
      <c r="F40" s="91">
        <f>SUM(F28:F39)</f>
        <v>801176</v>
      </c>
      <c r="G40" s="516">
        <f t="shared" ref="G40" si="3">(E40-F40)/F40</f>
        <v>-0.92734929653409492</v>
      </c>
      <c r="H40" s="5"/>
      <c r="I40"/>
      <c r="J40"/>
      <c r="K40"/>
      <c r="L40"/>
      <c r="M40"/>
      <c r="N40"/>
      <c r="O40"/>
      <c r="P40"/>
    </row>
    <row r="41" spans="1:16" s="115" customFormat="1">
      <c r="A41" s="38"/>
      <c r="B41" s="39"/>
      <c r="C41" s="492"/>
      <c r="D41" s="313"/>
      <c r="E41" s="39"/>
      <c r="F41" s="492"/>
      <c r="G41" s="313"/>
      <c r="H41" s="5"/>
      <c r="I41" s="491"/>
      <c r="J41" s="491"/>
      <c r="K41" s="491"/>
      <c r="L41" s="491"/>
      <c r="M41"/>
      <c r="N41"/>
      <c r="O41"/>
      <c r="P41"/>
    </row>
    <row r="42" spans="1:16" s="13" customFormat="1">
      <c r="A42" s="54" t="s">
        <v>416</v>
      </c>
      <c r="C42" s="169"/>
      <c r="D42" s="170"/>
      <c r="F42" s="169"/>
      <c r="G42" s="170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7:B9 B11:C14">
    <cfRule type="cellIs" dxfId="48" priority="35" operator="lessThan">
      <formula>0</formula>
    </cfRule>
  </conditionalFormatting>
  <conditionalFormatting sqref="B28:B29 B30:C30 B32:C35 C36:C37">
    <cfRule type="cellIs" dxfId="47" priority="33" operator="lessThan">
      <formula>0</formula>
    </cfRule>
  </conditionalFormatting>
  <conditionalFormatting sqref="B31">
    <cfRule type="cellIs" dxfId="46" priority="5" operator="lessThan">
      <formula>0</formula>
    </cfRule>
  </conditionalFormatting>
  <conditionalFormatting sqref="C15:C16">
    <cfRule type="cellIs" dxfId="45" priority="31" operator="lessThan">
      <formula>0</formula>
    </cfRule>
  </conditionalFormatting>
  <conditionalFormatting sqref="D7:D19">
    <cfRule type="cellIs" dxfId="44" priority="1" operator="greaterThanOrEqual">
      <formula>0</formula>
    </cfRule>
    <cfRule type="cellIs" dxfId="43" priority="2" operator="lessThan">
      <formula>0</formula>
    </cfRule>
  </conditionalFormatting>
  <conditionalFormatting sqref="D28:D40">
    <cfRule type="cellIs" dxfId="42" priority="20" operator="greaterThanOrEqual">
      <formula>0</formula>
    </cfRule>
    <cfRule type="cellIs" dxfId="41" priority="21" operator="lessThan">
      <formula>0</formula>
    </cfRule>
  </conditionalFormatting>
  <conditionalFormatting sqref="E8:E9 E9:F9 E11:F14">
    <cfRule type="cellIs" dxfId="40" priority="34" operator="lessThan">
      <formula>0</formula>
    </cfRule>
  </conditionalFormatting>
  <conditionalFormatting sqref="E28:E29 E30:F30 E32:F35 F36:F37">
    <cfRule type="cellIs" dxfId="39" priority="32" operator="lessThan">
      <formula>0</formula>
    </cfRule>
  </conditionalFormatting>
  <conditionalFormatting sqref="F15:F16">
    <cfRule type="cellIs" dxfId="38" priority="30" operator="lessThan">
      <formula>0</formula>
    </cfRule>
  </conditionalFormatting>
  <conditionalFormatting sqref="G7:G19">
    <cfRule type="cellIs" dxfId="37" priority="26" operator="greaterThanOrEqual">
      <formula>0</formula>
    </cfRule>
    <cfRule type="cellIs" dxfId="36" priority="27" operator="lessThan">
      <formula>0</formula>
    </cfRule>
  </conditionalFormatting>
  <conditionalFormatting sqref="G28:G40">
    <cfRule type="cellIs" dxfId="35" priority="16" operator="greaterThanOrEqual">
      <formula>0</formula>
    </cfRule>
    <cfRule type="cellIs" dxfId="34" priority="17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9"/>
  <sheetViews>
    <sheetView zoomScale="90" zoomScaleNormal="90" workbookViewId="0">
      <pane xSplit="1" topLeftCell="B1" activePane="topRight" state="frozen"/>
      <selection pane="topRight" activeCell="A4" sqref="A4"/>
    </sheetView>
  </sheetViews>
  <sheetFormatPr defaultColWidth="10" defaultRowHeight="16.5"/>
  <cols>
    <col min="1" max="1" width="24.25" style="13" customWidth="1"/>
    <col min="2" max="2" width="1.5" style="13" customWidth="1"/>
    <col min="3" max="3" width="15.625" style="321" customWidth="1"/>
    <col min="4" max="4" width="16.625" style="321" customWidth="1"/>
    <col min="5" max="5" width="2.375" style="321" customWidth="1"/>
    <col min="6" max="6" width="17.125" style="321" customWidth="1"/>
    <col min="7" max="7" width="19" style="321" customWidth="1"/>
    <col min="8" max="8" width="2.125" style="321" customWidth="1"/>
    <col min="9" max="9" width="15.625" style="321" customWidth="1"/>
    <col min="10" max="10" width="17.875" style="321" customWidth="1"/>
    <col min="11" max="11" width="2.5" style="321" customWidth="1"/>
    <col min="12" max="12" width="17.125" style="321" customWidth="1"/>
    <col min="13" max="13" width="18.5" style="321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3" s="318" customFormat="1" ht="19.5">
      <c r="A1" s="1" t="s">
        <v>503</v>
      </c>
      <c r="B1" s="1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3" s="318" customFormat="1">
      <c r="C2" s="319"/>
      <c r="D2" s="319"/>
      <c r="E2" s="319"/>
      <c r="F2" s="319"/>
      <c r="G2" s="319"/>
      <c r="H2" s="319"/>
      <c r="I2" s="319"/>
      <c r="J2" s="319"/>
      <c r="K2" s="319"/>
      <c r="L2" s="5"/>
      <c r="M2" s="319" t="s">
        <v>62</v>
      </c>
    </row>
    <row r="3" spans="1:13" s="318" customFormat="1">
      <c r="A3" s="320"/>
      <c r="B3" s="320"/>
      <c r="C3" s="319"/>
      <c r="D3" s="319"/>
      <c r="E3" s="319"/>
      <c r="F3" s="319"/>
      <c r="G3" s="319"/>
      <c r="H3" s="319"/>
      <c r="I3" s="319"/>
      <c r="J3" s="319"/>
      <c r="K3" s="319"/>
      <c r="L3" s="5"/>
      <c r="M3" s="319" t="s">
        <v>63</v>
      </c>
    </row>
    <row r="4" spans="1:13">
      <c r="M4" s="5"/>
    </row>
    <row r="5" spans="1:13" s="318" customFormat="1">
      <c r="A5" s="322" t="s">
        <v>64</v>
      </c>
      <c r="B5" s="323"/>
      <c r="C5" s="324" t="s">
        <v>504</v>
      </c>
      <c r="D5" s="558" t="s">
        <v>505</v>
      </c>
      <c r="E5" s="323"/>
      <c r="F5" s="324" t="s">
        <v>506</v>
      </c>
      <c r="G5" s="325" t="s">
        <v>507</v>
      </c>
      <c r="H5" s="323"/>
      <c r="I5" s="559" t="s">
        <v>508</v>
      </c>
      <c r="J5" s="558" t="s">
        <v>509</v>
      </c>
      <c r="K5" s="323"/>
      <c r="L5" s="324" t="s">
        <v>510</v>
      </c>
      <c r="M5" s="325" t="s">
        <v>511</v>
      </c>
    </row>
    <row r="6" spans="1:13">
      <c r="A6" s="326">
        <v>85121010001</v>
      </c>
      <c r="B6" s="482"/>
      <c r="C6" s="481"/>
      <c r="D6" s="327"/>
      <c r="E6" s="481"/>
      <c r="F6" s="481"/>
      <c r="G6" s="327"/>
      <c r="H6" s="481"/>
      <c r="I6" s="481"/>
      <c r="J6" s="327"/>
      <c r="K6" s="481"/>
      <c r="L6" s="481"/>
      <c r="M6" s="327"/>
    </row>
    <row r="7" spans="1:13">
      <c r="A7" s="328" t="s">
        <v>65</v>
      </c>
      <c r="B7" s="318"/>
      <c r="C7" s="470">
        <v>7388</v>
      </c>
      <c r="D7" s="470">
        <v>750526</v>
      </c>
      <c r="F7" s="470">
        <v>16805</v>
      </c>
      <c r="G7" s="470">
        <v>1825427</v>
      </c>
      <c r="I7" s="470">
        <v>2857</v>
      </c>
      <c r="J7" s="470">
        <v>251599</v>
      </c>
      <c r="L7" s="470">
        <v>7609</v>
      </c>
      <c r="M7" s="470">
        <v>517130</v>
      </c>
    </row>
    <row r="8" spans="1:13">
      <c r="A8" s="328" t="s">
        <v>66</v>
      </c>
      <c r="B8" s="13" t="s">
        <v>67</v>
      </c>
      <c r="C8" s="470">
        <v>72295</v>
      </c>
      <c r="D8" s="562" t="s">
        <v>397</v>
      </c>
      <c r="E8" s="13" t="s">
        <v>67</v>
      </c>
      <c r="F8" s="470">
        <v>151093</v>
      </c>
      <c r="G8" s="469" t="s">
        <v>396</v>
      </c>
      <c r="H8" s="13" t="s">
        <v>67</v>
      </c>
      <c r="I8" s="470">
        <v>40570</v>
      </c>
      <c r="J8" s="562" t="s">
        <v>397</v>
      </c>
      <c r="K8" s="321" t="s">
        <v>67</v>
      </c>
      <c r="L8" s="470">
        <v>117193</v>
      </c>
      <c r="M8" s="469" t="s">
        <v>396</v>
      </c>
    </row>
    <row r="9" spans="1:13">
      <c r="A9" s="330">
        <v>85121020009</v>
      </c>
      <c r="B9" s="480"/>
      <c r="C9" s="478"/>
      <c r="D9" s="475"/>
      <c r="E9" s="479"/>
      <c r="F9" s="475"/>
      <c r="G9" s="471"/>
      <c r="H9" s="479"/>
      <c r="I9" s="478"/>
      <c r="J9" s="478"/>
      <c r="K9" s="479"/>
      <c r="L9" s="478"/>
      <c r="M9" s="478"/>
    </row>
    <row r="10" spans="1:13">
      <c r="A10" s="328" t="s">
        <v>68</v>
      </c>
      <c r="B10" s="318"/>
      <c r="C10" s="470">
        <v>2562</v>
      </c>
      <c r="D10" s="470">
        <v>449600</v>
      </c>
      <c r="F10" s="470">
        <v>6625</v>
      </c>
      <c r="G10" s="470">
        <v>1108725</v>
      </c>
      <c r="I10" s="470">
        <v>1686</v>
      </c>
      <c r="J10" s="470">
        <v>111572</v>
      </c>
      <c r="L10" s="470">
        <v>4935</v>
      </c>
      <c r="M10" s="470">
        <v>269614</v>
      </c>
    </row>
    <row r="11" spans="1:13">
      <c r="A11" s="328" t="s">
        <v>69</v>
      </c>
      <c r="B11" s="13" t="s">
        <v>67</v>
      </c>
      <c r="C11" s="470">
        <v>22986</v>
      </c>
      <c r="D11" s="562" t="s">
        <v>397</v>
      </c>
      <c r="E11" s="13" t="s">
        <v>67</v>
      </c>
      <c r="F11" s="470">
        <v>70926</v>
      </c>
      <c r="G11" s="469" t="s">
        <v>396</v>
      </c>
      <c r="H11" s="13" t="s">
        <v>67</v>
      </c>
      <c r="I11" s="470">
        <v>17209</v>
      </c>
      <c r="J11" s="562" t="s">
        <v>396</v>
      </c>
      <c r="K11" s="321" t="s">
        <v>67</v>
      </c>
      <c r="L11" s="470">
        <v>74570</v>
      </c>
      <c r="M11" s="469" t="s">
        <v>396</v>
      </c>
    </row>
    <row r="12" spans="1:13">
      <c r="A12" s="331">
        <v>87149120007</v>
      </c>
      <c r="B12" s="474"/>
      <c r="C12" s="471"/>
      <c r="D12" s="475"/>
      <c r="E12" s="473"/>
      <c r="F12" s="475"/>
      <c r="G12" s="471"/>
      <c r="H12" s="473"/>
      <c r="I12" s="475"/>
      <c r="J12" s="471"/>
      <c r="K12" s="473"/>
      <c r="L12" s="478"/>
      <c r="M12" s="478"/>
    </row>
    <row r="13" spans="1:13">
      <c r="A13" s="328" t="s">
        <v>71</v>
      </c>
      <c r="B13" s="318"/>
      <c r="C13" s="470">
        <f>VLOOKUP(A12,[14]進出口值表查詢結果!$A$10:$E$26,4,0)</f>
        <v>562854</v>
      </c>
      <c r="D13" s="470">
        <f>VLOOKUP(A12,[14]進出口值表查詢結果!$A$10:$E$26,3,0)</f>
        <v>35096451</v>
      </c>
      <c r="F13" s="470">
        <f>VLOOKUP(A12,[15]進出口值表查詢結果!$A$10:$E$26,4,0)</f>
        <v>1203577</v>
      </c>
      <c r="G13" s="470">
        <f>VLOOKUP(A12,[15]進出口值表查詢結果!$A$10:$E$26,3,0)</f>
        <v>78141303</v>
      </c>
      <c r="I13" s="470">
        <f>VLOOKUP(A12,[16]進出口值表查詢結果!$A$10:$E$26,4,0)</f>
        <v>219797</v>
      </c>
      <c r="J13" s="470">
        <f>VLOOKUP(A12,[16]進出口值表查詢結果!$A$10:$E$26,3,0)</f>
        <v>18842742</v>
      </c>
      <c r="L13" s="470">
        <f>VLOOKUP(A12,[17]進出口值表查詢結果!$A$10:$E$26,4,0)</f>
        <v>677354</v>
      </c>
      <c r="M13" s="470">
        <f>VLOOKUP(A12,[17]進出口值表查詢結果!$A$10:$E$26,3,0)</f>
        <v>49593273</v>
      </c>
    </row>
    <row r="14" spans="1:13">
      <c r="A14" s="328" t="s">
        <v>72</v>
      </c>
      <c r="B14" s="13" t="s">
        <v>67</v>
      </c>
      <c r="C14" s="470">
        <f>VLOOKUP(A12,[18]出!$B$11:$G$350,6,0)</f>
        <v>0</v>
      </c>
      <c r="D14" s="562"/>
      <c r="E14" s="13" t="s">
        <v>67</v>
      </c>
      <c r="F14" s="470">
        <v>0</v>
      </c>
      <c r="G14" s="469"/>
      <c r="I14" s="470"/>
      <c r="J14" s="469"/>
      <c r="L14" s="470"/>
      <c r="M14" s="469"/>
    </row>
    <row r="15" spans="1:13">
      <c r="A15" s="331">
        <v>87149200108</v>
      </c>
      <c r="B15" s="474"/>
      <c r="C15" s="475"/>
      <c r="D15" s="471"/>
      <c r="E15" s="473"/>
      <c r="F15" s="475"/>
      <c r="G15" s="471"/>
      <c r="H15" s="473"/>
      <c r="I15" s="475"/>
      <c r="J15" s="471"/>
      <c r="K15" s="473"/>
      <c r="L15" s="475"/>
      <c r="M15" s="471"/>
    </row>
    <row r="16" spans="1:13">
      <c r="A16" s="328" t="s">
        <v>73</v>
      </c>
      <c r="B16" s="318"/>
      <c r="C16" s="470">
        <f>VLOOKUP(A15,[14]進出口值表查詢結果!$A$10:$E$26,4,0)</f>
        <v>94344</v>
      </c>
      <c r="D16" s="470">
        <f>VLOOKUP(A15,[14]進出口值表查詢結果!$A$10:$E$26,3,0)</f>
        <v>3187629</v>
      </c>
      <c r="F16" s="470">
        <f>VLOOKUP(A15,[15]進出口值表查詢結果!$A$10:$E$26,4,0)</f>
        <v>200225</v>
      </c>
      <c r="G16" s="470">
        <f>VLOOKUP(A15,[15]進出口值表查詢結果!$A$10:$E$26,3,0)</f>
        <v>5683522</v>
      </c>
      <c r="I16" s="470">
        <f>VLOOKUP(A15,[16]進出口值表查詢結果!$A$10:$E$26,4,0)</f>
        <v>28879</v>
      </c>
      <c r="J16" s="470">
        <f>VLOOKUP(A15,[16]進出口值表查詢結果!$A$10:$E$26,3,0)</f>
        <v>2246797</v>
      </c>
      <c r="L16" s="470">
        <f>VLOOKUP(A15,[17]進出口值表查詢結果!$A$10:$E$26,4,0)</f>
        <v>103108</v>
      </c>
      <c r="M16" s="470">
        <f>VLOOKUP(A15,[17]進出口值表查詢結果!$A$10:$E$26,3,0)</f>
        <v>9084488</v>
      </c>
    </row>
    <row r="17" spans="1:13">
      <c r="A17" s="328"/>
      <c r="B17" s="13" t="s">
        <v>67</v>
      </c>
      <c r="C17" s="470">
        <f>VLOOKUP(A15,[14]進出口值表查詢結果!$A$10:$E$26,5,0)</f>
        <v>169791</v>
      </c>
      <c r="D17" s="562" t="s">
        <v>155</v>
      </c>
      <c r="E17" s="13" t="s">
        <v>67</v>
      </c>
      <c r="F17" s="470">
        <f>VLOOKUP(A15,[15]進出口值表查詢結果!$A$10:$E$26,5,0)</f>
        <v>347157</v>
      </c>
      <c r="G17" s="469" t="s">
        <v>70</v>
      </c>
      <c r="H17" s="13" t="s">
        <v>67</v>
      </c>
      <c r="I17" s="470">
        <f>VLOOKUP(A15,[16]進出口值表查詢結果!$A$10:$E$26,5,0)</f>
        <v>60299</v>
      </c>
      <c r="J17" s="562" t="s">
        <v>70</v>
      </c>
      <c r="K17" s="321" t="s">
        <v>67</v>
      </c>
      <c r="L17" s="470">
        <f>VLOOKUP(A15,[17]進出口值表查詢結果!$A$10:$E$26,5,0)</f>
        <v>229984</v>
      </c>
      <c r="M17" s="469" t="s">
        <v>70</v>
      </c>
    </row>
    <row r="18" spans="1:13">
      <c r="A18" s="331">
        <v>87149200206</v>
      </c>
      <c r="B18" s="474"/>
      <c r="C18" s="475"/>
      <c r="D18" s="471"/>
      <c r="E18" s="473"/>
      <c r="F18" s="475"/>
      <c r="G18" s="471"/>
      <c r="H18" s="473"/>
      <c r="I18" s="472"/>
      <c r="J18" s="471"/>
      <c r="K18" s="473"/>
      <c r="L18" s="472"/>
      <c r="M18" s="471"/>
    </row>
    <row r="19" spans="1:13">
      <c r="A19" s="328" t="s">
        <v>57</v>
      </c>
      <c r="B19" s="318"/>
      <c r="C19" s="470">
        <f>VLOOKUP(A18,[14]進出口值表查詢結果!$A$10:$E$26,4,0)</f>
        <v>67087</v>
      </c>
      <c r="D19" s="470">
        <f>VLOOKUP(A18,[14]進出口值表查詢結果!$A$10:$E$26,3,0)</f>
        <v>768220</v>
      </c>
      <c r="F19" s="470">
        <f>VLOOKUP(A18,[15]進出口值表查詢結果!$A$10:$E$26,4,0)</f>
        <v>135757</v>
      </c>
      <c r="G19" s="470">
        <f>VLOOKUP(A18,[15]進出口值表查詢結果!$A$10:$E$26,3,0)</f>
        <v>1731458</v>
      </c>
      <c r="I19" s="470">
        <f>VLOOKUP(A18,[16]進出口值表查詢結果!$A$10:$E$26,4,0)</f>
        <v>5613</v>
      </c>
      <c r="J19" s="470">
        <f>VLOOKUP(A18,[16]進出口值表查詢結果!$A$10:$E$26,3,0)</f>
        <v>714189</v>
      </c>
      <c r="L19" s="470">
        <f>VLOOKUP(A18,[17]進出口值表查詢結果!$A$10:$E$26,4,0)</f>
        <v>15197</v>
      </c>
      <c r="M19" s="470">
        <f>VLOOKUP(A18,[17]進出口值表查詢結果!$A$10:$E$26,3,0)</f>
        <v>1550048</v>
      </c>
    </row>
    <row r="20" spans="1:13">
      <c r="A20" s="328"/>
      <c r="B20" s="13" t="s">
        <v>67</v>
      </c>
      <c r="C20" s="470">
        <f>VLOOKUP(A18,[14]進出口值表查詢結果!$A$10:$E$26,5,0)</f>
        <v>10508104</v>
      </c>
      <c r="D20" s="562" t="s">
        <v>155</v>
      </c>
      <c r="E20" s="13" t="s">
        <v>67</v>
      </c>
      <c r="F20" s="470">
        <f>VLOOKUP(A18,[15]進出口值表查詢結果!$A$10:$E$26,5,0)</f>
        <v>19611650</v>
      </c>
      <c r="G20" s="469" t="s">
        <v>70</v>
      </c>
      <c r="H20" s="13" t="s">
        <v>67</v>
      </c>
      <c r="I20" s="470">
        <f>VLOOKUP(A18,[16]進出口值表查詢結果!$A$10:$E$26,5,0)</f>
        <v>1169086</v>
      </c>
      <c r="J20" s="562" t="s">
        <v>70</v>
      </c>
      <c r="K20" s="321" t="s">
        <v>67</v>
      </c>
      <c r="L20" s="470">
        <f>VLOOKUP(A18,[17]進出口值表查詢結果!$A$10:$E$26,5,0)</f>
        <v>3078203</v>
      </c>
      <c r="M20" s="469" t="s">
        <v>70</v>
      </c>
    </row>
    <row r="21" spans="1:13">
      <c r="A21" s="331">
        <v>87149200304</v>
      </c>
      <c r="B21" s="474"/>
      <c r="C21" s="475"/>
      <c r="D21" s="471"/>
      <c r="E21" s="473"/>
      <c r="F21" s="475"/>
      <c r="G21" s="471"/>
      <c r="H21" s="473"/>
      <c r="I21" s="472"/>
      <c r="J21" s="471"/>
      <c r="K21" s="473"/>
      <c r="L21" s="472"/>
      <c r="M21" s="471"/>
    </row>
    <row r="22" spans="1:13">
      <c r="A22" s="328" t="s">
        <v>58</v>
      </c>
      <c r="B22" s="318"/>
      <c r="C22" s="470">
        <f>VLOOKUP(A21,[14]進出口值表查詢結果!$A$10:$E$26,4,0)</f>
        <v>38304</v>
      </c>
      <c r="D22" s="470">
        <f>VLOOKUP(A21,[14]進出口值表查詢結果!$A$10:$E$26,3,0)</f>
        <v>5030633</v>
      </c>
      <c r="E22" s="321">
        <f>[19]二全年出口類別合計驗算!U18</f>
        <v>0</v>
      </c>
      <c r="F22" s="470">
        <f>VLOOKUP(A21,[15]進出口值表查詢結果!$A$10:$E$26,4,0)</f>
        <v>82328</v>
      </c>
      <c r="G22" s="470">
        <f>VLOOKUP(A21,[15]進出口值表查詢結果!$A$10:$E$26,3,0)</f>
        <v>9426458</v>
      </c>
      <c r="I22" s="470">
        <f>VLOOKUP(A21,[16]進出口值表查詢結果!$A$10:$E$26,4,0)</f>
        <v>9133</v>
      </c>
      <c r="J22" s="470">
        <f>VLOOKUP(A21,[16]進出口值表查詢結果!$A$10:$E$26,3,0)</f>
        <v>218172</v>
      </c>
      <c r="L22" s="470">
        <f>VLOOKUP(A21,[17]進出口值表查詢結果!$A$10:$E$26,4,0)</f>
        <v>27807</v>
      </c>
      <c r="M22" s="470">
        <f>VLOOKUP(A21,[17]進出口值表查詢結果!$A$10:$E$26,3,0)</f>
        <v>875025</v>
      </c>
    </row>
    <row r="23" spans="1:13">
      <c r="A23" s="331">
        <v>87149310007</v>
      </c>
      <c r="B23" s="474"/>
      <c r="C23" s="475"/>
      <c r="D23" s="471"/>
      <c r="E23" s="473"/>
      <c r="F23" s="475"/>
      <c r="G23" s="471"/>
      <c r="H23" s="473"/>
      <c r="I23" s="472"/>
      <c r="J23" s="471"/>
      <c r="K23" s="473"/>
      <c r="L23" s="472"/>
      <c r="M23" s="471"/>
    </row>
    <row r="24" spans="1:13">
      <c r="A24" s="328" t="s">
        <v>74</v>
      </c>
      <c r="B24" s="318"/>
      <c r="C24" s="470">
        <f>VLOOKUP(A23,[14]進出口值表查詢結果!$A$10:$E$26,4,0)</f>
        <v>47546</v>
      </c>
      <c r="D24" s="470">
        <f>VLOOKUP(A23,[14]進出口值表查詢結果!$A$10:$E$26,3,0)</f>
        <v>2793720</v>
      </c>
      <c r="F24" s="470">
        <f>VLOOKUP(A23,[15]進出口值表查詢結果!$A$10:$E$26,4,0)</f>
        <v>113265</v>
      </c>
      <c r="G24" s="470">
        <f>VLOOKUP(A23,[15]進出口值表查詢結果!$A$10:$E$26,3,0)</f>
        <v>6051812</v>
      </c>
      <c r="I24" s="470">
        <f>VLOOKUP(A23,[16]進出口值表查詢結果!$A$10:$E$26,4,0)</f>
        <v>56483</v>
      </c>
      <c r="J24" s="470">
        <f>VLOOKUP(A23,[16]進出口值表查詢結果!$A$10:$E$26,3,0)</f>
        <v>2442419</v>
      </c>
      <c r="L24" s="470">
        <f>VLOOKUP(A23,[17]進出口值表查詢結果!$A$10:$E$26,4,0)</f>
        <v>135298</v>
      </c>
      <c r="M24" s="470">
        <f>VLOOKUP(A23,[17]進出口值表查詢結果!$A$10:$E$26,3,0)</f>
        <v>5443381</v>
      </c>
    </row>
    <row r="25" spans="1:13">
      <c r="A25" s="328" t="s">
        <v>75</v>
      </c>
      <c r="B25" s="318"/>
      <c r="C25" s="470"/>
      <c r="D25" s="469"/>
      <c r="F25" s="470"/>
      <c r="G25" s="469"/>
      <c r="I25" s="470"/>
      <c r="J25" s="469"/>
      <c r="L25" s="470"/>
      <c r="M25" s="469"/>
    </row>
    <row r="26" spans="1:13">
      <c r="A26" s="328" t="s">
        <v>76</v>
      </c>
      <c r="B26" s="318"/>
      <c r="C26" s="470"/>
      <c r="D26" s="469"/>
      <c r="F26" s="470"/>
      <c r="G26" s="469"/>
      <c r="I26" s="470"/>
      <c r="J26" s="469"/>
      <c r="L26" s="470"/>
      <c r="M26" s="469"/>
    </row>
    <row r="27" spans="1:13">
      <c r="A27" s="331">
        <v>87149320103</v>
      </c>
      <c r="B27" s="474"/>
      <c r="C27" s="475"/>
      <c r="D27" s="471"/>
      <c r="E27" s="473"/>
      <c r="F27" s="475"/>
      <c r="G27" s="471"/>
      <c r="H27" s="473"/>
      <c r="I27" s="472"/>
      <c r="J27" s="471"/>
      <c r="K27" s="473"/>
      <c r="L27" s="472"/>
      <c r="M27" s="471"/>
    </row>
    <row r="28" spans="1:13">
      <c r="A28" s="328" t="s">
        <v>410</v>
      </c>
      <c r="B28" s="318"/>
      <c r="C28" s="470">
        <f>VLOOKUP(A27,[14]進出口值表查詢結果!$A$10:$E$26,4,0)</f>
        <v>1893</v>
      </c>
      <c r="D28" s="470">
        <f>VLOOKUP(A27,[14]進出口值表查詢結果!$A$10:$E$26,3,0)</f>
        <v>78801</v>
      </c>
      <c r="F28" s="470">
        <f>VLOOKUP(A27,[15]進出口值表查詢結果!$A$10:$E$26,4,0)</f>
        <v>2183</v>
      </c>
      <c r="G28" s="470">
        <f>VLOOKUP(A27,[15]進出口值表查詢結果!$A$10:$E$26,3,0)</f>
        <v>85774</v>
      </c>
      <c r="I28" s="470">
        <f>VLOOKUP(A27,[16]進出口值表查詢結果!$A$10:$E$26,4,0)</f>
        <v>197</v>
      </c>
      <c r="J28" s="470">
        <f>VLOOKUP(A27,[16]進出口值表查詢結果!$A$10:$E$26,3,0)</f>
        <v>5053</v>
      </c>
      <c r="L28" s="470">
        <f>VLOOKUP(A27,[17]進出口值表查詢結果!$A$10:$E$26,4,0)</f>
        <v>2402</v>
      </c>
      <c r="M28" s="470">
        <f>VLOOKUP(A27,[17]進出口值表查詢結果!$A$10:$E$26,3,0)</f>
        <v>98564</v>
      </c>
    </row>
    <row r="29" spans="1:13">
      <c r="A29" s="331">
        <v>87149410006</v>
      </c>
      <c r="B29" s="474"/>
      <c r="C29" s="475"/>
      <c r="D29" s="471"/>
      <c r="E29" s="473"/>
      <c r="F29" s="475"/>
      <c r="G29" s="471"/>
      <c r="H29" s="473"/>
      <c r="I29" s="472"/>
      <c r="J29" s="471"/>
      <c r="K29" s="473"/>
      <c r="L29" s="472"/>
      <c r="M29" s="471"/>
    </row>
    <row r="30" spans="1:13">
      <c r="A30" s="328" t="s">
        <v>77</v>
      </c>
      <c r="B30" s="318"/>
      <c r="C30" s="470">
        <f>VLOOKUP(A29,[14]進出口值表查詢結果!$A$10:$E$26,4,0)</f>
        <v>4006</v>
      </c>
      <c r="D30" s="470">
        <f>VLOOKUP(A29,[14]進出口值表查詢結果!$A$10:$E$26,3,0)</f>
        <v>69654</v>
      </c>
      <c r="F30" s="470">
        <f>VLOOKUP(A29,[15]進出口值表查詢結果!$A$10:$E$26,4,0)</f>
        <v>16225</v>
      </c>
      <c r="G30" s="470">
        <f>VLOOKUP(A29,[15]進出口值表查詢結果!$A$10:$E$26,3,0)</f>
        <v>378622</v>
      </c>
      <c r="I30" s="470">
        <f>VLOOKUP(A29,[16]進出口值表查詢結果!$A$10:$E$26,4,0)</f>
        <v>1667</v>
      </c>
      <c r="J30" s="470">
        <f>VLOOKUP(A29,[16]進出口值表查詢結果!$A$10:$E$26,3,0)</f>
        <v>36661</v>
      </c>
      <c r="L30" s="470">
        <f>VLOOKUP(A29,[17]進出口值表查詢結果!$A$10:$E$26,4,0)</f>
        <v>4652</v>
      </c>
      <c r="M30" s="470">
        <f>VLOOKUP(A29,[17]進出口值表查詢結果!$A$10:$E$26,3,0)</f>
        <v>95819</v>
      </c>
    </row>
    <row r="31" spans="1:13">
      <c r="A31" s="328" t="s">
        <v>78</v>
      </c>
      <c r="B31" s="318"/>
      <c r="C31" s="470"/>
      <c r="D31" s="562"/>
      <c r="F31" s="470"/>
      <c r="G31" s="469"/>
      <c r="I31" s="470"/>
      <c r="J31" s="469"/>
      <c r="L31" s="470"/>
      <c r="M31" s="469"/>
    </row>
    <row r="32" spans="1:13">
      <c r="A32" s="331">
        <v>87149490009</v>
      </c>
      <c r="B32" s="474"/>
      <c r="C32" s="475"/>
      <c r="D32" s="471"/>
      <c r="E32" s="473"/>
      <c r="F32" s="475"/>
      <c r="G32" s="471"/>
      <c r="H32" s="473"/>
      <c r="I32" s="472"/>
      <c r="J32" s="471"/>
      <c r="K32" s="473"/>
      <c r="L32" s="472"/>
      <c r="M32" s="471"/>
    </row>
    <row r="33" spans="1:13">
      <c r="A33" s="328" t="s">
        <v>79</v>
      </c>
      <c r="B33" s="318"/>
      <c r="C33" s="470">
        <f>VLOOKUP(A32,[14]進出口值表查詢結果!$A$10:$E$26,4,0)</f>
        <v>262156</v>
      </c>
      <c r="D33" s="470">
        <f>VLOOKUP(A32,[14]進出口值表查詢結果!$A$10:$E$26,3,0)</f>
        <v>11573324</v>
      </c>
      <c r="F33" s="470">
        <f>VLOOKUP(A32,[15]進出口值表查詢結果!$A$10:$E$26,4,0)</f>
        <v>552137</v>
      </c>
      <c r="G33" s="470">
        <f>VLOOKUP(A32,[15]進出口值表查詢結果!$A$10:$E$26,3,0)</f>
        <v>24373229</v>
      </c>
      <c r="I33" s="470">
        <f>VLOOKUP(A32,[16]進出口值表查詢結果!$A$10:$E$26,4,0)</f>
        <v>67556</v>
      </c>
      <c r="J33" s="470">
        <f>VLOOKUP(A32,[16]進出口值表查詢結果!$A$10:$E$26,3,0)</f>
        <v>5863238</v>
      </c>
      <c r="L33" s="470">
        <f>VLOOKUP(A32,[17]進出口值表查詢結果!$A$10:$E$26,4,0)</f>
        <v>213782</v>
      </c>
      <c r="M33" s="470">
        <f>VLOOKUP(A32,[17]進出口值表查詢結果!$A$10:$E$26,3,0)</f>
        <v>17013323</v>
      </c>
    </row>
    <row r="34" spans="1:13">
      <c r="A34" s="328" t="s">
        <v>80</v>
      </c>
      <c r="B34" s="318"/>
      <c r="C34" s="470"/>
      <c r="D34" s="469"/>
      <c r="F34" s="470"/>
      <c r="G34" s="469"/>
      <c r="I34" s="470"/>
      <c r="J34" s="562"/>
      <c r="L34" s="470"/>
      <c r="M34" s="469"/>
    </row>
    <row r="35" spans="1:13">
      <c r="A35" s="331">
        <v>87149500007</v>
      </c>
      <c r="B35" s="474"/>
      <c r="C35" s="472"/>
      <c r="D35" s="471"/>
      <c r="E35" s="473"/>
      <c r="F35" s="472"/>
      <c r="G35" s="471"/>
      <c r="H35" s="473"/>
      <c r="I35" s="472"/>
      <c r="J35" s="471"/>
      <c r="K35" s="473"/>
      <c r="L35" s="472"/>
      <c r="M35" s="471"/>
    </row>
    <row r="36" spans="1:13">
      <c r="A36" s="328" t="s">
        <v>81</v>
      </c>
      <c r="B36" s="318"/>
      <c r="C36" s="470">
        <f>VLOOKUP(A35,[14]進出口值表查詢結果!$A$10:$E$26,4,0)</f>
        <v>89769</v>
      </c>
      <c r="D36" s="470">
        <f>VLOOKUP(A35,[14]進出口值表查詢結果!$A$10:$E$26,3,0)</f>
        <v>1970924</v>
      </c>
      <c r="F36" s="470">
        <f>VLOOKUP(A35,[15]進出口值表查詢結果!$A$10:$E$26,4,0)</f>
        <v>175997</v>
      </c>
      <c r="G36" s="470">
        <f>VLOOKUP(A35,[15]進出口值表查詢結果!$A$10:$E$26,3,0)</f>
        <v>4135351</v>
      </c>
      <c r="I36" s="470">
        <f>VLOOKUP(A35,[16]進出口值表查詢結果!$A$10:$E$26,4,0)</f>
        <v>27794</v>
      </c>
      <c r="J36" s="470">
        <f>VLOOKUP(A35,[16]進出口值表查詢結果!$A$10:$E$26,3,0)</f>
        <v>425824</v>
      </c>
      <c r="L36" s="470">
        <f>VLOOKUP(A35,[17]進出口值表查詢結果!$A$10:$E$26,4,0)</f>
        <v>87120</v>
      </c>
      <c r="M36" s="470">
        <f>VLOOKUP(A35,[17]進出口值表查詢結果!$A$10:$E$26,3,0)</f>
        <v>1376624</v>
      </c>
    </row>
    <row r="37" spans="1:13">
      <c r="A37" s="331">
        <v>87149610004</v>
      </c>
      <c r="B37" s="474"/>
      <c r="C37" s="472"/>
      <c r="D37" s="471"/>
      <c r="E37" s="473"/>
      <c r="F37" s="472"/>
      <c r="G37" s="471"/>
      <c r="H37" s="473"/>
      <c r="I37" s="472"/>
      <c r="J37" s="471"/>
      <c r="K37" s="473"/>
      <c r="L37" s="472"/>
      <c r="M37" s="471"/>
    </row>
    <row r="38" spans="1:13">
      <c r="A38" s="328" t="s">
        <v>82</v>
      </c>
      <c r="B38" s="318"/>
      <c r="C38" s="470">
        <f>VLOOKUP(A37,[14]進出口值表查詢結果!$A$10:$E$26,4,0)</f>
        <v>97982</v>
      </c>
      <c r="D38" s="470">
        <f>VLOOKUP(A37,[14]進出口值表查詢結果!$A$10:$E$26,3,0)</f>
        <v>2771180</v>
      </c>
      <c r="F38" s="470">
        <f>VLOOKUP(A37,[15]進出口值表查詢結果!$A$10:$E$26,4,0)</f>
        <v>208831</v>
      </c>
      <c r="G38" s="470">
        <f>VLOOKUP(A37,[15]進出口值表查詢結果!$A$10:$E$26,3,0)</f>
        <v>5495603</v>
      </c>
      <c r="I38" s="470">
        <f>VLOOKUP(A37,[16]進出口值表查詢結果!$A$10:$E$26,4,0)</f>
        <v>6255</v>
      </c>
      <c r="J38" s="470">
        <f>VLOOKUP(A37,[16]進出口值表查詢結果!$A$10:$E$26,3,0)</f>
        <v>94924</v>
      </c>
      <c r="L38" s="470">
        <f>VLOOKUP(A37,[17]進出口值表查詢結果!$A$10:$E$26,4,0)</f>
        <v>36593</v>
      </c>
      <c r="M38" s="470">
        <f>VLOOKUP(A37,[17]進出口值表查詢結果!$A$10:$E$26,3,0)</f>
        <v>331539</v>
      </c>
    </row>
    <row r="39" spans="1:13">
      <c r="A39" s="331">
        <v>87149620002</v>
      </c>
      <c r="B39" s="474"/>
      <c r="C39" s="475"/>
      <c r="D39" s="471"/>
      <c r="E39" s="473"/>
      <c r="F39" s="475"/>
      <c r="G39" s="471"/>
      <c r="H39" s="473"/>
      <c r="I39" s="472"/>
      <c r="J39" s="471"/>
      <c r="K39" s="473"/>
      <c r="L39" s="472"/>
      <c r="M39" s="471"/>
    </row>
    <row r="40" spans="1:13">
      <c r="A40" s="328" t="s">
        <v>83</v>
      </c>
      <c r="B40" s="318"/>
      <c r="C40" s="470">
        <f>VLOOKUP(A39,[14]進出口值表查詢結果!$A$10:$E$26,4,0)</f>
        <v>124252</v>
      </c>
      <c r="D40" s="470">
        <f>VLOOKUP(A39,[14]進出口值表查詢結果!$A$10:$E$26,3,0)</f>
        <v>5742079</v>
      </c>
      <c r="F40" s="470">
        <f>VLOOKUP(A39,[15]進出口值表查詢結果!$A$10:$E$26,4,0)</f>
        <v>258839</v>
      </c>
      <c r="G40" s="470">
        <f>VLOOKUP(A39,[15]進出口值表查詢結果!$A$10:$E$26,3,0)</f>
        <v>12099792</v>
      </c>
      <c r="I40" s="470">
        <f>VLOOKUP(A39,[16]進出口值表查詢結果!$A$10:$E$26,4,0)</f>
        <v>47460</v>
      </c>
      <c r="J40" s="470">
        <f>VLOOKUP(A39,[16]進出口值表查詢結果!$A$10:$E$26,3,0)</f>
        <v>2358306</v>
      </c>
      <c r="L40" s="470">
        <f>VLOOKUP(A39,[17]進出口值表查詢結果!$A$10:$E$26,4,0)</f>
        <v>199903</v>
      </c>
      <c r="M40" s="470">
        <f>VLOOKUP(A39,[17]進出口值表查詢結果!$A$10:$E$26,3,0)</f>
        <v>6682971</v>
      </c>
    </row>
    <row r="41" spans="1:13">
      <c r="A41" s="328" t="s">
        <v>78</v>
      </c>
      <c r="B41" s="318"/>
      <c r="C41" s="470"/>
      <c r="D41" s="470"/>
      <c r="F41" s="470"/>
      <c r="G41" s="470"/>
      <c r="I41" s="470"/>
      <c r="J41" s="470"/>
      <c r="L41" s="470"/>
      <c r="M41" s="470"/>
    </row>
    <row r="42" spans="1:13">
      <c r="A42" s="331">
        <v>73151100209</v>
      </c>
      <c r="B42" s="474"/>
      <c r="C42" s="471"/>
      <c r="D42" s="475"/>
      <c r="E42" s="473"/>
      <c r="F42" s="472"/>
      <c r="G42" s="471"/>
      <c r="H42" s="473"/>
      <c r="I42" s="472"/>
      <c r="J42" s="471"/>
      <c r="K42" s="473"/>
      <c r="L42" s="472"/>
      <c r="M42" s="471"/>
    </row>
    <row r="43" spans="1:13">
      <c r="A43" s="328" t="s">
        <v>84</v>
      </c>
      <c r="B43" s="318"/>
      <c r="C43" s="470">
        <v>56472</v>
      </c>
      <c r="D43" s="470">
        <v>1215882</v>
      </c>
      <c r="F43" s="470">
        <v>115194</v>
      </c>
      <c r="G43" s="470">
        <v>2572215</v>
      </c>
      <c r="I43" s="470">
        <v>39758</v>
      </c>
      <c r="J43" s="470">
        <v>578040</v>
      </c>
      <c r="L43" s="470">
        <v>104686</v>
      </c>
      <c r="M43" s="470">
        <v>1450106</v>
      </c>
    </row>
    <row r="44" spans="1:13">
      <c r="A44" s="328" t="s">
        <v>85</v>
      </c>
      <c r="B44" s="318"/>
      <c r="C44" s="470"/>
      <c r="D44" s="469"/>
      <c r="F44" s="470"/>
      <c r="G44" s="469"/>
      <c r="I44" s="470"/>
      <c r="J44" s="469"/>
      <c r="L44" s="470"/>
      <c r="M44" s="469"/>
    </row>
    <row r="45" spans="1:13">
      <c r="A45" s="331">
        <v>87149990111</v>
      </c>
      <c r="B45" s="474"/>
      <c r="C45" s="475"/>
      <c r="D45" s="471"/>
      <c r="E45" s="473"/>
      <c r="F45" s="475"/>
      <c r="G45" s="471"/>
      <c r="H45" s="473"/>
      <c r="I45" s="472"/>
      <c r="J45" s="471"/>
      <c r="K45" s="473"/>
      <c r="L45" s="472"/>
      <c r="M45" s="471"/>
    </row>
    <row r="46" spans="1:13">
      <c r="A46" s="332" t="s">
        <v>86</v>
      </c>
      <c r="B46" s="320"/>
      <c r="C46" s="470">
        <f>VLOOKUP(A45,[14]進出口值表查詢結果!$A$10:$E$26,4,0)</f>
        <v>47139</v>
      </c>
      <c r="D46" s="470">
        <f>VLOOKUP(A45,[14]進出口值表查詢結果!$A$10:$E$26,3,0)</f>
        <v>5402040</v>
      </c>
      <c r="F46" s="470">
        <f>VLOOKUP(A45,[15]進出口值表查詢結果!$A$10:$E$26,4,0)</f>
        <v>86985</v>
      </c>
      <c r="G46" s="470">
        <f>VLOOKUP(A45,[15]進出口值表查詢結果!$A$10:$E$26,3,0)</f>
        <v>10353611</v>
      </c>
      <c r="I46" s="470">
        <f>VLOOKUP(A45,[16]進出口值表查詢結果!$A$10:$E$26,4,0)</f>
        <v>23526</v>
      </c>
      <c r="J46" s="470">
        <f>VLOOKUP(A45,[16]進出口值表查詢結果!$A$10:$E$26,3,0)</f>
        <v>2240146</v>
      </c>
      <c r="L46" s="470">
        <f>VLOOKUP(A45,[17]進出口值表查詢結果!$A$10:$E$26,4,0)</f>
        <v>65144</v>
      </c>
      <c r="M46" s="470">
        <f>VLOOKUP(A45,[17]進出口值表查詢結果!$A$10:$E$26,3,0)</f>
        <v>6356064</v>
      </c>
    </row>
    <row r="47" spans="1:13">
      <c r="A47" s="328" t="s">
        <v>87</v>
      </c>
      <c r="B47" s="318"/>
      <c r="C47" s="470"/>
      <c r="D47" s="469"/>
      <c r="F47" s="470"/>
      <c r="G47" s="469"/>
      <c r="I47" s="470"/>
      <c r="J47" s="469"/>
      <c r="L47" s="470"/>
      <c r="M47" s="469"/>
    </row>
    <row r="48" spans="1:13">
      <c r="A48" s="331">
        <v>87149320906</v>
      </c>
      <c r="B48" s="474"/>
      <c r="C48" s="475"/>
      <c r="D48" s="471"/>
      <c r="E48" s="473"/>
      <c r="F48" s="475"/>
      <c r="G48" s="471"/>
      <c r="H48" s="473"/>
      <c r="I48" s="472"/>
      <c r="J48" s="471"/>
      <c r="K48" s="473"/>
      <c r="L48" s="472"/>
      <c r="M48" s="471"/>
    </row>
    <row r="49" spans="1:13">
      <c r="A49" s="328" t="s">
        <v>411</v>
      </c>
      <c r="B49" s="318"/>
      <c r="C49" s="470">
        <f>VLOOKUP(A48,[14]進出口值表查詢結果!$A$10:$E$26,4,0)</f>
        <v>104736</v>
      </c>
      <c r="D49" s="470">
        <f>VLOOKUP(A48,[14]進出口值表查詢結果!$A$10:$E$26,3,0)</f>
        <v>4670103</v>
      </c>
      <c r="F49" s="470">
        <f>VLOOKUP(A48,[15]進出口值表查詢結果!$A$10:$E$26,4,0)</f>
        <v>206865</v>
      </c>
      <c r="G49" s="470">
        <f>VLOOKUP(A48,[15]進出口值表查詢結果!$A$10:$E$26,3,0)</f>
        <v>9253265</v>
      </c>
      <c r="I49" s="470">
        <f>VLOOKUP(A48,[16]進出口值表查詢結果!$A$10:$E$26,4,0)</f>
        <v>14731</v>
      </c>
      <c r="J49" s="470">
        <f>VLOOKUP(A48,[16]進出口值表查詢結果!$A$10:$E$26,3,0)</f>
        <v>869535</v>
      </c>
      <c r="L49" s="470">
        <f>VLOOKUP(A48,[17]進出口值表查詢結果!$A$10:$E$26,4,0)</f>
        <v>46304</v>
      </c>
      <c r="M49" s="470">
        <f>VLOOKUP(A48,[17]進出口值表查詢結果!$A$10:$E$26,3,0)</f>
        <v>2388617</v>
      </c>
    </row>
    <row r="50" spans="1:13">
      <c r="A50" s="331">
        <v>87149990139</v>
      </c>
      <c r="B50" s="474"/>
      <c r="C50" s="475"/>
      <c r="D50" s="471"/>
      <c r="E50" s="473"/>
      <c r="F50" s="475"/>
      <c r="G50" s="471"/>
      <c r="H50" s="473"/>
      <c r="I50" s="472"/>
      <c r="J50" s="471"/>
      <c r="K50" s="473"/>
      <c r="L50" s="472"/>
      <c r="M50" s="471"/>
    </row>
    <row r="51" spans="1:13">
      <c r="A51" s="328" t="s">
        <v>88</v>
      </c>
      <c r="B51" s="318"/>
      <c r="C51" s="470">
        <f>VLOOKUP(A50,[14]進出口值表查詢結果!$A$10:$E$26,4,0)</f>
        <v>9559</v>
      </c>
      <c r="D51" s="470">
        <f>VLOOKUP(A50,[14]進出口值表查詢結果!$A$10:$E$26,3,0)</f>
        <v>385306</v>
      </c>
      <c r="F51" s="470">
        <f>VLOOKUP(A50,[15]進出口值表查詢結果!$A$10:$E$26,4,0)</f>
        <v>22740</v>
      </c>
      <c r="G51" s="470">
        <f>VLOOKUP(A50,[15]進出口值表查詢結果!$A$10:$E$26,3,0)</f>
        <v>625922</v>
      </c>
      <c r="I51" s="470">
        <f>VLOOKUP(A50,[16]進出口值表查詢結果!$A$10:$E$26,4,0)</f>
        <v>3288</v>
      </c>
      <c r="J51" s="470">
        <f>VLOOKUP(A50,[16]進出口值表查詢結果!$A$10:$E$26,3,0)</f>
        <v>49889</v>
      </c>
      <c r="L51" s="470">
        <f>VLOOKUP(A50,[17]進出口值表查詢結果!$A$10:$E$26,4,0)</f>
        <v>15975</v>
      </c>
      <c r="M51" s="470">
        <f>VLOOKUP(A50,[17]進出口值表查詢結果!$A$10:$E$26,3,0)</f>
        <v>199021</v>
      </c>
    </row>
    <row r="52" spans="1:13">
      <c r="A52" s="331">
        <v>87149990148</v>
      </c>
      <c r="B52" s="474"/>
      <c r="C52" s="475"/>
      <c r="D52" s="471"/>
      <c r="E52" s="473"/>
      <c r="F52" s="475"/>
      <c r="G52" s="471"/>
      <c r="H52" s="473"/>
      <c r="I52" s="472"/>
      <c r="J52" s="471"/>
      <c r="K52" s="473"/>
      <c r="L52" s="472"/>
      <c r="M52" s="471"/>
    </row>
    <row r="53" spans="1:13">
      <c r="A53" s="333" t="s">
        <v>89</v>
      </c>
      <c r="B53" s="477"/>
      <c r="C53" s="470">
        <f>VLOOKUP(A52,[14]進出口值表查詢結果!$A$10:$E$26,4,0)</f>
        <v>41391</v>
      </c>
      <c r="D53" s="470">
        <f>VLOOKUP(A52,[14]進出口值表查詢結果!$A$10:$E$26,3,0)</f>
        <v>1629360</v>
      </c>
      <c r="F53" s="470">
        <f>VLOOKUP(A52,[15]進出口值表查詢結果!$A$10:$E$26,4,0)</f>
        <v>81023</v>
      </c>
      <c r="G53" s="470">
        <f>VLOOKUP(A52,[15]進出口值表查詢結果!$A$10:$E$26,3,0)</f>
        <v>3324191</v>
      </c>
      <c r="I53" s="470">
        <f>VLOOKUP(A52,[16]進出口值表查詢結果!$A$10:$E$26,4,0)</f>
        <v>4792</v>
      </c>
      <c r="J53" s="470">
        <f>VLOOKUP(A52,[16]進出口值表查詢結果!$A$10:$E$26,3,0)</f>
        <v>173847</v>
      </c>
      <c r="L53" s="470">
        <f>VLOOKUP(A52,[17]進出口值表查詢結果!$A$10:$E$26,4,0)</f>
        <v>25307</v>
      </c>
      <c r="M53" s="470">
        <f>VLOOKUP(A52,[17]進出口值表查詢結果!$A$10:$E$26,3,0)</f>
        <v>719701</v>
      </c>
    </row>
    <row r="54" spans="1:13">
      <c r="A54" s="328" t="s">
        <v>90</v>
      </c>
      <c r="B54" s="318"/>
      <c r="C54" s="470"/>
      <c r="D54" s="469"/>
      <c r="F54" s="470"/>
      <c r="G54" s="469"/>
      <c r="I54" s="470"/>
      <c r="J54" s="476"/>
      <c r="L54" s="470"/>
      <c r="M54" s="469"/>
    </row>
    <row r="55" spans="1:13">
      <c r="A55" s="331">
        <v>87149990157</v>
      </c>
      <c r="B55" s="474"/>
      <c r="C55" s="475"/>
      <c r="D55" s="471"/>
      <c r="E55" s="473"/>
      <c r="F55" s="475"/>
      <c r="G55" s="471"/>
      <c r="H55" s="473"/>
      <c r="I55" s="472"/>
      <c r="J55" s="471"/>
      <c r="K55" s="473"/>
      <c r="L55" s="472"/>
      <c r="M55" s="471"/>
    </row>
    <row r="56" spans="1:13">
      <c r="A56" s="328" t="s">
        <v>91</v>
      </c>
      <c r="B56" s="318"/>
      <c r="C56" s="470">
        <f>VLOOKUP(A55,[14]進出口值表查詢結果!$A$10:$E$26,4,0)</f>
        <v>76205</v>
      </c>
      <c r="D56" s="470">
        <f>VLOOKUP(A55,[14]進出口值表查詢結果!$A$10:$E$26,3,0)</f>
        <v>3044440</v>
      </c>
      <c r="F56" s="470">
        <f>VLOOKUP(A55,[15]進出口值表查詢結果!$A$10:$E$26,4,0)</f>
        <v>140235</v>
      </c>
      <c r="G56" s="470">
        <f>VLOOKUP(A55,[15]進出口值表查詢結果!$A$10:$E$26,3,0)</f>
        <v>5882357</v>
      </c>
      <c r="I56" s="470">
        <f>VLOOKUP(A55,[16]進出口值表查詢結果!$A$10:$E$26,4,0)</f>
        <v>8149</v>
      </c>
      <c r="J56" s="470">
        <f>VLOOKUP(A55,[16]進出口值表查詢結果!$A$10:$E$26,3,0)</f>
        <v>643484</v>
      </c>
      <c r="L56" s="470">
        <f>VLOOKUP(A55,[17]進出口值表查詢結果!$A$10:$E$26,4,0)</f>
        <v>43141</v>
      </c>
      <c r="M56" s="470">
        <f>VLOOKUP(A55,[17]進出口值表查詢結果!$A$10:$E$26,3,0)</f>
        <v>2257329</v>
      </c>
    </row>
    <row r="57" spans="1:13">
      <c r="A57" s="328" t="s">
        <v>92</v>
      </c>
      <c r="B57" s="318"/>
      <c r="C57" s="470"/>
      <c r="D57" s="562"/>
      <c r="F57" s="470"/>
      <c r="G57" s="469"/>
      <c r="I57" s="470"/>
      <c r="J57" s="470"/>
      <c r="L57" s="470"/>
      <c r="M57" s="469"/>
    </row>
    <row r="58" spans="1:13">
      <c r="A58" s="331">
        <v>87149990166</v>
      </c>
      <c r="B58" s="474"/>
      <c r="C58" s="475"/>
      <c r="D58" s="471"/>
      <c r="E58" s="473"/>
      <c r="F58" s="475"/>
      <c r="G58" s="471"/>
      <c r="H58" s="473"/>
      <c r="I58" s="472"/>
      <c r="J58" s="472"/>
      <c r="K58" s="473"/>
      <c r="L58" s="472"/>
      <c r="M58" s="471"/>
    </row>
    <row r="59" spans="1:13">
      <c r="A59" s="328" t="s">
        <v>89</v>
      </c>
      <c r="B59" s="318"/>
      <c r="C59" s="470">
        <f>VLOOKUP(A58,[14]進出口值表查詢結果!$A$10:$E$26,4,0)</f>
        <v>78092</v>
      </c>
      <c r="D59" s="470">
        <f>VLOOKUP(A58,[14]進出口值表查詢結果!$A$10:$E$26,3,0)</f>
        <v>3181318</v>
      </c>
      <c r="F59" s="470">
        <f>VLOOKUP(A58,[15]進出口值表查詢結果!$A$10:$E$26,4,0)</f>
        <v>153389</v>
      </c>
      <c r="G59" s="470">
        <f>VLOOKUP(A58,[15]進出口值表查詢結果!$A$10:$E$26,3,0)</f>
        <v>6343596</v>
      </c>
      <c r="I59" s="470">
        <f>VLOOKUP(A58,[16]進出口值表查詢結果!$A$10:$E$26,4,0)</f>
        <v>18941</v>
      </c>
      <c r="J59" s="470">
        <f>VLOOKUP(A58,[16]進出口值表查詢結果!$A$10:$E$26,3,0)</f>
        <v>1383423</v>
      </c>
      <c r="L59" s="470">
        <f>VLOOKUP(A58,[17]進出口值表查詢結果!$A$10:$E$26,4,0)</f>
        <v>56403</v>
      </c>
      <c r="M59" s="470">
        <f>VLOOKUP(A58,[17]進出口值表查詢結果!$A$10:$E$26,3,0)</f>
        <v>3685725</v>
      </c>
    </row>
    <row r="60" spans="1:13">
      <c r="A60" s="331">
        <v>40115000008</v>
      </c>
      <c r="B60" s="474"/>
      <c r="C60" s="472"/>
      <c r="D60" s="472"/>
      <c r="E60" s="473"/>
      <c r="F60" s="472"/>
      <c r="G60" s="472"/>
      <c r="H60" s="473"/>
      <c r="I60" s="472"/>
      <c r="J60" s="472"/>
      <c r="K60" s="473"/>
      <c r="L60" s="472"/>
      <c r="M60" s="471"/>
    </row>
    <row r="61" spans="1:13">
      <c r="A61" s="328" t="s">
        <v>93</v>
      </c>
      <c r="B61" s="318"/>
      <c r="C61" s="470">
        <v>273307</v>
      </c>
      <c r="D61" s="470">
        <v>4751198</v>
      </c>
      <c r="F61" s="470">
        <v>551468</v>
      </c>
      <c r="G61" s="470">
        <v>9293040</v>
      </c>
      <c r="I61" s="470">
        <v>95487</v>
      </c>
      <c r="J61" s="470">
        <v>1210140</v>
      </c>
      <c r="L61" s="470">
        <v>227822</v>
      </c>
      <c r="M61" s="470">
        <v>2620805</v>
      </c>
    </row>
    <row r="62" spans="1:13">
      <c r="A62" s="328" t="s">
        <v>94</v>
      </c>
      <c r="B62" s="318" t="s">
        <v>67</v>
      </c>
      <c r="C62" s="470">
        <v>367153</v>
      </c>
      <c r="D62" s="469" t="s">
        <v>70</v>
      </c>
      <c r="E62" s="13" t="s">
        <v>67</v>
      </c>
      <c r="F62" s="470">
        <v>756870</v>
      </c>
      <c r="G62" s="469" t="s">
        <v>70</v>
      </c>
      <c r="H62" s="13" t="s">
        <v>67</v>
      </c>
      <c r="I62" s="470">
        <v>167851</v>
      </c>
      <c r="J62" s="562" t="s">
        <v>70</v>
      </c>
      <c r="K62" s="321" t="s">
        <v>67</v>
      </c>
      <c r="L62" s="470">
        <v>366551</v>
      </c>
      <c r="M62" s="469" t="s">
        <v>70</v>
      </c>
    </row>
    <row r="63" spans="1:13">
      <c r="A63" s="331">
        <v>40132000003</v>
      </c>
      <c r="B63" s="474"/>
      <c r="C63" s="472"/>
      <c r="D63" s="472"/>
      <c r="E63" s="473"/>
      <c r="F63" s="472"/>
      <c r="G63" s="472"/>
      <c r="H63" s="473"/>
      <c r="I63" s="472"/>
      <c r="J63" s="472"/>
      <c r="K63" s="473"/>
      <c r="L63" s="472"/>
      <c r="M63" s="471"/>
    </row>
    <row r="64" spans="1:13">
      <c r="A64" s="328" t="s">
        <v>95</v>
      </c>
      <c r="B64" s="318"/>
      <c r="C64" s="470">
        <v>17761</v>
      </c>
      <c r="D64" s="470">
        <v>199591</v>
      </c>
      <c r="F64" s="470">
        <v>53393</v>
      </c>
      <c r="G64" s="470">
        <v>661127</v>
      </c>
      <c r="I64" s="470">
        <v>11631</v>
      </c>
      <c r="J64" s="470">
        <v>87421</v>
      </c>
      <c r="L64" s="470">
        <v>44357</v>
      </c>
      <c r="M64" s="470">
        <v>232578</v>
      </c>
    </row>
    <row r="65" spans="1:13">
      <c r="A65" s="328" t="s">
        <v>96</v>
      </c>
      <c r="B65" s="318" t="s">
        <v>67</v>
      </c>
      <c r="C65" s="470">
        <v>93268</v>
      </c>
      <c r="D65" s="469" t="s">
        <v>70</v>
      </c>
      <c r="E65" s="13" t="s">
        <v>67</v>
      </c>
      <c r="F65" s="470">
        <v>298958</v>
      </c>
      <c r="G65" s="469" t="s">
        <v>70</v>
      </c>
      <c r="H65" s="13" t="s">
        <v>67</v>
      </c>
      <c r="I65" s="470">
        <v>60101</v>
      </c>
      <c r="J65" s="562" t="s">
        <v>70</v>
      </c>
      <c r="K65" s="321" t="s">
        <v>67</v>
      </c>
      <c r="L65" s="470">
        <v>210080</v>
      </c>
      <c r="M65" s="469" t="s">
        <v>70</v>
      </c>
    </row>
    <row r="66" spans="1:13">
      <c r="A66" s="328"/>
      <c r="B66" s="318"/>
      <c r="D66" s="329"/>
      <c r="G66" s="329"/>
      <c r="J66" s="329"/>
      <c r="M66" s="329"/>
    </row>
    <row r="67" spans="1:13">
      <c r="A67" s="322" t="s">
        <v>97</v>
      </c>
      <c r="B67" s="334"/>
      <c r="C67" s="335">
        <f>SUM(C6:C66)-C65-C62-C20-C17-C11-C8-C14</f>
        <v>2104805</v>
      </c>
      <c r="D67" s="336">
        <f>SUM(D6:D66)</f>
        <v>94761979</v>
      </c>
      <c r="E67" s="335"/>
      <c r="F67" s="335">
        <v>2279281</v>
      </c>
      <c r="G67" s="336">
        <v>104084421</v>
      </c>
      <c r="H67" s="335"/>
      <c r="I67" s="335">
        <f>SUM(I6:I66)-I65-I62-I20-I17-I11-I8</f>
        <v>695680</v>
      </c>
      <c r="J67" s="336">
        <f>SUM(J6:J66)</f>
        <v>40847421</v>
      </c>
      <c r="K67" s="335"/>
      <c r="L67" s="335">
        <f>SUM(L6:L66)-L65-L62-L20-L17-L11-L8</f>
        <v>2144899</v>
      </c>
      <c r="M67" s="336">
        <f>SUM(M6:M66)</f>
        <v>112841745</v>
      </c>
    </row>
    <row r="68" spans="1:13">
      <c r="G68" s="5"/>
    </row>
    <row r="69" spans="1:13">
      <c r="A69" s="55" t="s">
        <v>31</v>
      </c>
      <c r="B69" s="55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7"/>
  <sheetViews>
    <sheetView topLeftCell="A2" workbookViewId="0">
      <selection activeCell="C18" sqref="C18"/>
    </sheetView>
  </sheetViews>
  <sheetFormatPr defaultColWidth="10" defaultRowHeight="16.5"/>
  <cols>
    <col min="1" max="1" width="22.375" style="13" customWidth="1"/>
    <col min="2" max="2" width="16.625" style="321" customWidth="1"/>
    <col min="3" max="3" width="17.25" style="364" customWidth="1"/>
    <col min="4" max="4" width="15.75" style="365" customWidth="1"/>
    <col min="5" max="5" width="16.75" style="321" customWidth="1"/>
    <col min="6" max="6" width="16.875" style="364" customWidth="1"/>
    <col min="7" max="7" width="14.875" style="365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18" customFormat="1" ht="21">
      <c r="A1" s="337" t="s">
        <v>512</v>
      </c>
      <c r="B1" s="338"/>
      <c r="C1" s="339"/>
      <c r="D1" s="340"/>
      <c r="E1" s="338"/>
      <c r="F1" s="339"/>
      <c r="G1" s="340"/>
    </row>
    <row r="2" spans="1:7" s="318" customFormat="1">
      <c r="B2" s="319"/>
      <c r="C2" s="341"/>
      <c r="D2" s="342"/>
      <c r="E2" s="319"/>
      <c r="F2" s="341"/>
      <c r="G2" s="342"/>
    </row>
    <row r="3" spans="1:7" s="318" customFormat="1">
      <c r="A3" s="320"/>
      <c r="B3" s="319"/>
      <c r="C3" s="341"/>
      <c r="D3" s="342"/>
      <c r="E3" s="319"/>
      <c r="F3" s="341"/>
      <c r="G3" s="342"/>
    </row>
    <row r="4" spans="1:7">
      <c r="A4" s="42" t="s">
        <v>98</v>
      </c>
      <c r="B4" s="530" t="s">
        <v>463</v>
      </c>
      <c r="C4" s="71" t="s">
        <v>514</v>
      </c>
      <c r="D4" s="343" t="s">
        <v>36</v>
      </c>
      <c r="E4" s="73" t="s">
        <v>463</v>
      </c>
      <c r="F4" s="71" t="s">
        <v>514</v>
      </c>
      <c r="G4" s="208" t="s">
        <v>36</v>
      </c>
    </row>
    <row r="5" spans="1:7" s="318" customFormat="1" ht="18" customHeight="1">
      <c r="A5" s="46"/>
      <c r="B5" s="77" t="s">
        <v>99</v>
      </c>
      <c r="C5" s="76" t="s">
        <v>515</v>
      </c>
      <c r="D5" s="209" t="s">
        <v>1</v>
      </c>
      <c r="E5" s="77" t="s">
        <v>33</v>
      </c>
      <c r="F5" s="76" t="s">
        <v>33</v>
      </c>
      <c r="G5" s="209" t="s">
        <v>1</v>
      </c>
    </row>
    <row r="6" spans="1:7">
      <c r="A6" s="344">
        <v>85121010001</v>
      </c>
      <c r="B6" s="345"/>
      <c r="C6" s="346"/>
      <c r="D6" s="347"/>
      <c r="E6" s="345"/>
      <c r="F6" s="346"/>
      <c r="G6" s="348"/>
    </row>
    <row r="7" spans="1:7">
      <c r="A7" s="328" t="s">
        <v>65</v>
      </c>
      <c r="B7" s="349">
        <f>零件!F7</f>
        <v>16805</v>
      </c>
      <c r="C7" s="350">
        <v>16206</v>
      </c>
      <c r="D7" s="517">
        <f>(B7-C7)/C7</f>
        <v>3.6961619153399974E-2</v>
      </c>
      <c r="E7" s="349">
        <f>零件!G7</f>
        <v>1825427</v>
      </c>
      <c r="F7" s="350">
        <v>2031581</v>
      </c>
      <c r="G7" s="517">
        <f>(E7-F7)/F7</f>
        <v>-0.101474664313163</v>
      </c>
    </row>
    <row r="8" spans="1:7">
      <c r="A8" s="328" t="s">
        <v>66</v>
      </c>
      <c r="B8" s="349"/>
      <c r="C8" s="353"/>
      <c r="D8" s="352"/>
      <c r="E8" s="353"/>
      <c r="F8" s="350"/>
      <c r="G8" s="353"/>
    </row>
    <row r="9" spans="1:7">
      <c r="A9" s="330">
        <v>85121020009</v>
      </c>
      <c r="B9" s="354"/>
      <c r="C9" s="354"/>
      <c r="D9" s="355"/>
      <c r="E9" s="354"/>
      <c r="F9" s="354"/>
      <c r="G9" s="354"/>
    </row>
    <row r="10" spans="1:7">
      <c r="A10" s="328" t="s">
        <v>68</v>
      </c>
      <c r="B10" s="349">
        <f>零件!F10</f>
        <v>6625</v>
      </c>
      <c r="C10" s="350">
        <v>9979</v>
      </c>
      <c r="D10" s="518">
        <f>(B10-C10)/C10</f>
        <v>-0.33610582222667601</v>
      </c>
      <c r="E10" s="349">
        <f>零件!G10</f>
        <v>1108725</v>
      </c>
      <c r="F10" s="350">
        <v>1810994</v>
      </c>
      <c r="G10" s="518">
        <f>(E10-F10)/F10</f>
        <v>-0.38778096448690608</v>
      </c>
    </row>
    <row r="11" spans="1:7">
      <c r="A11" s="328" t="s">
        <v>69</v>
      </c>
      <c r="B11" s="349"/>
      <c r="C11" s="353"/>
      <c r="D11" s="356"/>
      <c r="E11" s="353"/>
      <c r="F11" s="350"/>
      <c r="G11" s="353"/>
    </row>
    <row r="12" spans="1:7">
      <c r="A12" s="331">
        <v>87149120007</v>
      </c>
      <c r="B12" s="354"/>
      <c r="C12" s="354"/>
      <c r="D12" s="358"/>
      <c r="E12" s="359"/>
      <c r="F12" s="354"/>
      <c r="G12" s="359"/>
    </row>
    <row r="13" spans="1:7">
      <c r="A13" s="328" t="s">
        <v>71</v>
      </c>
      <c r="B13" s="349">
        <f>零件!F13</f>
        <v>1203577</v>
      </c>
      <c r="C13" s="350">
        <v>2334352</v>
      </c>
      <c r="D13" s="517">
        <f>(B13-C13)/C13</f>
        <v>-0.48440637915789908</v>
      </c>
      <c r="E13" s="349">
        <f>零件!G13</f>
        <v>78141303</v>
      </c>
      <c r="F13" s="350">
        <v>146265021</v>
      </c>
      <c r="G13" s="518">
        <f>(E13-F13)/F13</f>
        <v>-0.46575536334145129</v>
      </c>
    </row>
    <row r="14" spans="1:7">
      <c r="A14" s="328" t="s">
        <v>72</v>
      </c>
      <c r="B14" s="356"/>
      <c r="C14" s="351"/>
      <c r="D14" s="349"/>
      <c r="E14" s="353"/>
      <c r="F14" s="350"/>
      <c r="G14" s="353"/>
    </row>
    <row r="15" spans="1:7">
      <c r="A15" s="331">
        <v>87149200108</v>
      </c>
      <c r="B15" s="354"/>
      <c r="C15" s="357"/>
      <c r="D15" s="358"/>
      <c r="E15" s="359"/>
      <c r="F15" s="360"/>
      <c r="G15" s="359"/>
    </row>
    <row r="16" spans="1:7">
      <c r="A16" s="328" t="s">
        <v>73</v>
      </c>
      <c r="B16" s="349">
        <f>零件!F16</f>
        <v>200225</v>
      </c>
      <c r="C16" s="350">
        <v>307699</v>
      </c>
      <c r="D16" s="518">
        <f>(B16-C16)/C16</f>
        <v>-0.34928290309685767</v>
      </c>
      <c r="E16" s="349">
        <f>零件!G16</f>
        <v>5683522</v>
      </c>
      <c r="F16" s="350">
        <v>6340391</v>
      </c>
      <c r="G16" s="517">
        <f>(E16-F16)/F16</f>
        <v>-0.10360070853674481</v>
      </c>
    </row>
    <row r="17" spans="1:7">
      <c r="A17" s="328"/>
      <c r="B17" s="349"/>
      <c r="C17" s="351"/>
      <c r="D17" s="349"/>
      <c r="E17" s="353"/>
      <c r="F17" s="350"/>
      <c r="G17" s="353"/>
    </row>
    <row r="18" spans="1:7">
      <c r="A18" s="331">
        <v>87149200206</v>
      </c>
      <c r="B18" s="354"/>
      <c r="C18" s="357"/>
      <c r="D18" s="358"/>
      <c r="E18" s="359"/>
      <c r="F18" s="360"/>
      <c r="G18" s="359"/>
    </row>
    <row r="19" spans="1:7">
      <c r="A19" s="328" t="s">
        <v>57</v>
      </c>
      <c r="B19" s="349">
        <f>零件!F19</f>
        <v>135757</v>
      </c>
      <c r="C19" s="561">
        <v>118615</v>
      </c>
      <c r="D19" s="518">
        <f>(B19-C19)/C19</f>
        <v>0.14451797833326308</v>
      </c>
      <c r="E19" s="349">
        <f>零件!G19</f>
        <v>1731458</v>
      </c>
      <c r="F19" s="561">
        <v>1428657</v>
      </c>
      <c r="G19" s="518">
        <f>(E19-F19)/F19</f>
        <v>0.21194800431454155</v>
      </c>
    </row>
    <row r="20" spans="1:7">
      <c r="A20" s="328"/>
      <c r="B20" s="349"/>
      <c r="C20" s="351"/>
      <c r="D20" s="349"/>
      <c r="E20" s="353"/>
      <c r="F20" s="350"/>
      <c r="G20" s="353"/>
    </row>
    <row r="21" spans="1:7">
      <c r="A21" s="331">
        <v>87149200304</v>
      </c>
      <c r="B21" s="354"/>
      <c r="C21" s="357"/>
      <c r="D21" s="358"/>
      <c r="E21" s="359"/>
      <c r="F21" s="360"/>
      <c r="G21" s="359"/>
    </row>
    <row r="22" spans="1:7">
      <c r="A22" s="328" t="s">
        <v>58</v>
      </c>
      <c r="B22" s="349">
        <f>零件!F22</f>
        <v>82328</v>
      </c>
      <c r="C22" s="350">
        <v>166204</v>
      </c>
      <c r="D22" s="517">
        <f>(B22-C22)/C22</f>
        <v>-0.50465692763110392</v>
      </c>
      <c r="E22" s="349">
        <f>零件!G22</f>
        <v>9426458</v>
      </c>
      <c r="F22" s="350">
        <v>18993100</v>
      </c>
      <c r="G22" s="518">
        <f>(E22-F22)/F22</f>
        <v>-0.50369039282686867</v>
      </c>
    </row>
    <row r="23" spans="1:7">
      <c r="A23" s="331">
        <v>87149310007</v>
      </c>
      <c r="B23" s="354"/>
      <c r="C23" s="357"/>
      <c r="D23" s="358"/>
      <c r="E23" s="359"/>
      <c r="F23" s="360"/>
      <c r="G23" s="359"/>
    </row>
    <row r="24" spans="1:7">
      <c r="A24" s="328" t="s">
        <v>74</v>
      </c>
      <c r="B24" s="349">
        <f>零件!F24</f>
        <v>113265</v>
      </c>
      <c r="C24" s="350">
        <v>190291</v>
      </c>
      <c r="D24" s="518">
        <f>(B24-C24)/C24</f>
        <v>-0.4047800474010857</v>
      </c>
      <c r="E24" s="349">
        <f>零件!G24</f>
        <v>6051812</v>
      </c>
      <c r="F24" s="350">
        <v>10068226</v>
      </c>
      <c r="G24" s="518">
        <f>(E24-F24)/F24</f>
        <v>-0.39891973024840721</v>
      </c>
    </row>
    <row r="25" spans="1:7">
      <c r="A25" s="328" t="s">
        <v>100</v>
      </c>
      <c r="B25" s="349"/>
      <c r="C25" s="351"/>
      <c r="D25" s="349"/>
      <c r="E25" s="353"/>
      <c r="F25" s="350"/>
      <c r="G25" s="353"/>
    </row>
    <row r="26" spans="1:7">
      <c r="A26" s="331">
        <v>87149320103</v>
      </c>
      <c r="B26" s="354"/>
      <c r="C26" s="357"/>
      <c r="D26" s="358"/>
      <c r="E26" s="359"/>
      <c r="F26" s="360"/>
      <c r="G26" s="359"/>
    </row>
    <row r="27" spans="1:7">
      <c r="A27" s="328" t="s">
        <v>410</v>
      </c>
      <c r="B27" s="349">
        <f>零件!F28</f>
        <v>2183</v>
      </c>
      <c r="C27" s="350">
        <v>4036</v>
      </c>
      <c r="D27" s="518">
        <f>(B27-C27)/C27</f>
        <v>-0.4591179385530228</v>
      </c>
      <c r="E27" s="349">
        <f>零件!G28</f>
        <v>85774</v>
      </c>
      <c r="F27" s="350">
        <v>150113</v>
      </c>
      <c r="G27" s="518">
        <f>(E27-F27)/F27</f>
        <v>-0.42860378514852143</v>
      </c>
    </row>
    <row r="28" spans="1:7">
      <c r="A28" s="331">
        <v>87149410006</v>
      </c>
      <c r="B28" s="354"/>
      <c r="C28" s="357"/>
      <c r="D28" s="358"/>
      <c r="E28" s="359"/>
      <c r="F28" s="360"/>
      <c r="G28" s="359"/>
    </row>
    <row r="29" spans="1:7">
      <c r="A29" s="328" t="s">
        <v>77</v>
      </c>
      <c r="B29" s="349">
        <f>零件!F30</f>
        <v>16225</v>
      </c>
      <c r="C29" s="350">
        <v>40906</v>
      </c>
      <c r="D29" s="518">
        <f>(B29-C29)/C29</f>
        <v>-0.60335892045176742</v>
      </c>
      <c r="E29" s="349">
        <f>零件!G30</f>
        <v>378622</v>
      </c>
      <c r="F29" s="350">
        <v>1075086</v>
      </c>
      <c r="G29" s="517">
        <f>(E29-F29)/F29</f>
        <v>-0.64782166263908192</v>
      </c>
    </row>
    <row r="30" spans="1:7">
      <c r="A30" s="328" t="s">
        <v>78</v>
      </c>
      <c r="B30" s="349"/>
      <c r="C30" s="351"/>
      <c r="D30" s="349"/>
      <c r="E30" s="353"/>
      <c r="F30" s="350"/>
      <c r="G30" s="353"/>
    </row>
    <row r="31" spans="1:7">
      <c r="A31" s="331">
        <v>87149490009</v>
      </c>
      <c r="B31" s="354"/>
      <c r="C31" s="357"/>
      <c r="D31" s="358"/>
      <c r="E31" s="359"/>
      <c r="F31" s="360"/>
      <c r="G31" s="359"/>
    </row>
    <row r="32" spans="1:7">
      <c r="A32" s="328" t="s">
        <v>79</v>
      </c>
      <c r="B32" s="349">
        <f>零件!F33</f>
        <v>552137</v>
      </c>
      <c r="C32" s="350">
        <v>847666</v>
      </c>
      <c r="D32" s="517">
        <f>(B32-C32)/C32</f>
        <v>-0.34863849676641506</v>
      </c>
      <c r="E32" s="349">
        <f>零件!G33</f>
        <v>24373229</v>
      </c>
      <c r="F32" s="350">
        <v>41435798</v>
      </c>
      <c r="G32" s="518">
        <f>(E32-F32)/F32</f>
        <v>-0.41178328458884755</v>
      </c>
    </row>
    <row r="33" spans="1:7">
      <c r="A33" s="328" t="s">
        <v>80</v>
      </c>
      <c r="B33" s="349"/>
      <c r="C33" s="351"/>
      <c r="D33" s="349"/>
      <c r="E33" s="353"/>
      <c r="F33" s="350"/>
      <c r="G33" s="353"/>
    </row>
    <row r="34" spans="1:7">
      <c r="A34" s="331">
        <v>87149500007</v>
      </c>
      <c r="B34" s="358"/>
      <c r="C34" s="357"/>
      <c r="D34" s="358"/>
      <c r="E34" s="359"/>
      <c r="F34" s="360"/>
      <c r="G34" s="359"/>
    </row>
    <row r="35" spans="1:7">
      <c r="A35" s="328" t="s">
        <v>81</v>
      </c>
      <c r="B35" s="560">
        <f>零件!F36</f>
        <v>175997</v>
      </c>
      <c r="C35" s="350">
        <v>249846</v>
      </c>
      <c r="D35" s="518">
        <f>(B35-C35)/C35</f>
        <v>-0.29557807609487446</v>
      </c>
      <c r="E35" s="560">
        <f>零件!G36</f>
        <v>4135351</v>
      </c>
      <c r="F35" s="350">
        <v>6832528</v>
      </c>
      <c r="G35" s="518">
        <f>(E35-F35)/F35</f>
        <v>-0.39475535263082712</v>
      </c>
    </row>
    <row r="36" spans="1:7">
      <c r="A36" s="331">
        <v>87149610004</v>
      </c>
      <c r="B36" s="358"/>
      <c r="C36" s="357"/>
      <c r="D36" s="358"/>
      <c r="E36" s="359"/>
      <c r="F36" s="360"/>
      <c r="G36" s="359"/>
    </row>
    <row r="37" spans="1:7">
      <c r="A37" s="328" t="s">
        <v>82</v>
      </c>
      <c r="B37" s="349">
        <f>零件!F38</f>
        <v>208831</v>
      </c>
      <c r="C37" s="350">
        <v>446012</v>
      </c>
      <c r="D37" s="518">
        <f>(B37-C37)/C37</f>
        <v>-0.53178165609893902</v>
      </c>
      <c r="E37" s="349">
        <f>零件!G38</f>
        <v>5495603</v>
      </c>
      <c r="F37" s="350">
        <v>10689254</v>
      </c>
      <c r="G37" s="518">
        <f>(E37-F37)/F37</f>
        <v>-0.4858759086461974</v>
      </c>
    </row>
    <row r="38" spans="1:7">
      <c r="A38" s="331">
        <v>87149620002</v>
      </c>
      <c r="B38" s="354"/>
      <c r="C38" s="357"/>
      <c r="D38" s="358"/>
      <c r="E38" s="359"/>
      <c r="F38" s="360"/>
      <c r="G38" s="359"/>
    </row>
    <row r="39" spans="1:7">
      <c r="A39" s="328" t="s">
        <v>83</v>
      </c>
      <c r="B39" s="349">
        <f>零件!F40</f>
        <v>258839</v>
      </c>
      <c r="C39" s="350">
        <v>365711</v>
      </c>
      <c r="D39" s="517">
        <f>(B39-C39)/C39</f>
        <v>-0.29223075051064912</v>
      </c>
      <c r="E39" s="349">
        <f>零件!G40</f>
        <v>12099792</v>
      </c>
      <c r="F39" s="350">
        <v>17755936</v>
      </c>
      <c r="G39" s="517">
        <f>(E39-F39)/F39</f>
        <v>-0.31854946987869298</v>
      </c>
    </row>
    <row r="40" spans="1:7">
      <c r="A40" s="328" t="s">
        <v>78</v>
      </c>
      <c r="B40" s="349"/>
      <c r="C40" s="353"/>
      <c r="D40" s="349"/>
      <c r="E40" s="353"/>
      <c r="F40" s="350"/>
      <c r="G40" s="353"/>
    </row>
    <row r="41" spans="1:7">
      <c r="A41" s="331">
        <v>73151100209</v>
      </c>
      <c r="B41" s="354"/>
      <c r="C41" s="358"/>
      <c r="D41" s="358"/>
      <c r="E41" s="359"/>
      <c r="F41" s="359"/>
      <c r="G41" s="359"/>
    </row>
    <row r="42" spans="1:7">
      <c r="A42" s="328" t="s">
        <v>84</v>
      </c>
      <c r="B42" s="349">
        <f>零件!F43</f>
        <v>115194</v>
      </c>
      <c r="C42" s="350">
        <v>268277</v>
      </c>
      <c r="D42" s="518">
        <f>(B42-C42)/C42</f>
        <v>-0.57061544597561475</v>
      </c>
      <c r="E42" s="349">
        <f>零件!G43</f>
        <v>2572215</v>
      </c>
      <c r="F42" s="350">
        <v>7337582</v>
      </c>
      <c r="G42" s="518">
        <f>(E42-F42)/F42</f>
        <v>-0.64944650703733187</v>
      </c>
    </row>
    <row r="43" spans="1:7">
      <c r="A43" s="328" t="s">
        <v>85</v>
      </c>
      <c r="B43" s="349"/>
      <c r="C43" s="351"/>
      <c r="D43" s="349"/>
      <c r="E43" s="353"/>
      <c r="F43" s="350"/>
      <c r="G43" s="353"/>
    </row>
    <row r="44" spans="1:7">
      <c r="A44" s="331">
        <v>87149990111</v>
      </c>
      <c r="B44" s="354"/>
      <c r="C44" s="357"/>
      <c r="D44" s="358"/>
      <c r="E44" s="359"/>
      <c r="F44" s="360"/>
      <c r="G44" s="359"/>
    </row>
    <row r="45" spans="1:7">
      <c r="A45" s="332" t="s">
        <v>86</v>
      </c>
      <c r="B45" s="349">
        <f>零件!F46</f>
        <v>86985</v>
      </c>
      <c r="C45" s="350">
        <v>188903</v>
      </c>
      <c r="D45" s="517">
        <f>(B45-C45)/C45</f>
        <v>-0.53952557661868794</v>
      </c>
      <c r="E45" s="349">
        <f>零件!G46</f>
        <v>10353611</v>
      </c>
      <c r="F45" s="350">
        <v>19689724</v>
      </c>
      <c r="G45" s="517">
        <f>(E45-F45)/F45</f>
        <v>-0.4741616997780162</v>
      </c>
    </row>
    <row r="46" spans="1:7">
      <c r="A46" s="328" t="s">
        <v>87</v>
      </c>
      <c r="B46" s="349"/>
      <c r="C46" s="351"/>
      <c r="D46" s="349"/>
      <c r="E46" s="353"/>
      <c r="F46" s="350"/>
      <c r="G46" s="353"/>
    </row>
    <row r="47" spans="1:7">
      <c r="A47" s="331">
        <v>87149320906</v>
      </c>
      <c r="B47" s="354"/>
      <c r="C47" s="357"/>
      <c r="D47" s="358"/>
      <c r="E47" s="359"/>
      <c r="F47" s="360"/>
      <c r="G47" s="359"/>
    </row>
    <row r="48" spans="1:7">
      <c r="A48" s="328" t="s">
        <v>413</v>
      </c>
      <c r="B48" s="349">
        <f>零件!F49</f>
        <v>206865</v>
      </c>
      <c r="C48" s="350">
        <v>459018</v>
      </c>
      <c r="D48" s="518">
        <f>(B48-C48)/C48</f>
        <v>-0.54933139876867576</v>
      </c>
      <c r="E48" s="349">
        <f>零件!G49</f>
        <v>9253265</v>
      </c>
      <c r="F48" s="350">
        <v>22038308</v>
      </c>
      <c r="G48" s="518">
        <f>(E48-F48)/F48</f>
        <v>-0.58012815684398278</v>
      </c>
    </row>
    <row r="49" spans="1:7">
      <c r="A49" s="331">
        <v>87149990139</v>
      </c>
      <c r="B49" s="354"/>
      <c r="C49" s="357"/>
      <c r="D49" s="358"/>
      <c r="E49" s="359"/>
      <c r="F49" s="360"/>
      <c r="G49" s="359"/>
    </row>
    <row r="50" spans="1:7">
      <c r="A50" s="328" t="s">
        <v>88</v>
      </c>
      <c r="B50" s="349">
        <f>零件!F51</f>
        <v>22740</v>
      </c>
      <c r="C50" s="350">
        <v>27789</v>
      </c>
      <c r="D50" s="518">
        <f>(B50-C50)/C50</f>
        <v>-0.18169059699881249</v>
      </c>
      <c r="E50" s="349">
        <f>零件!G51</f>
        <v>625922</v>
      </c>
      <c r="F50" s="350">
        <v>630165</v>
      </c>
      <c r="G50" s="518">
        <f>(E50-F50)/F50</f>
        <v>-6.7331571889901855E-3</v>
      </c>
    </row>
    <row r="51" spans="1:7">
      <c r="A51" s="331">
        <v>87149990148</v>
      </c>
      <c r="B51" s="354"/>
      <c r="C51" s="357"/>
      <c r="D51" s="358"/>
      <c r="E51" s="359"/>
      <c r="F51" s="360"/>
      <c r="G51" s="359"/>
    </row>
    <row r="52" spans="1:7">
      <c r="A52" s="333" t="s">
        <v>89</v>
      </c>
      <c r="B52" s="349">
        <f>零件!F53</f>
        <v>81023</v>
      </c>
      <c r="C52" s="350">
        <v>158919</v>
      </c>
      <c r="D52" s="518">
        <f>(B52-C52)/C52</f>
        <v>-0.49016165467942791</v>
      </c>
      <c r="E52" s="349">
        <f>零件!G53</f>
        <v>3324191</v>
      </c>
      <c r="F52" s="350">
        <v>5977029</v>
      </c>
      <c r="G52" s="518">
        <f>(E52-F52)/F52</f>
        <v>-0.44383890391028719</v>
      </c>
    </row>
    <row r="53" spans="1:7">
      <c r="A53" s="328" t="s">
        <v>90</v>
      </c>
      <c r="B53" s="349"/>
      <c r="C53" s="351"/>
      <c r="D53" s="349"/>
      <c r="E53" s="353"/>
      <c r="F53" s="350"/>
      <c r="G53" s="353"/>
    </row>
    <row r="54" spans="1:7">
      <c r="A54" s="331">
        <v>87149990157</v>
      </c>
      <c r="B54" s="354"/>
      <c r="C54" s="357"/>
      <c r="D54" s="358"/>
      <c r="E54" s="359"/>
      <c r="F54" s="360"/>
      <c r="G54" s="359"/>
    </row>
    <row r="55" spans="1:7">
      <c r="A55" s="328" t="s">
        <v>91</v>
      </c>
      <c r="B55" s="349">
        <f>零件!F56</f>
        <v>140235</v>
      </c>
      <c r="C55" s="350">
        <v>307803</v>
      </c>
      <c r="D55" s="518">
        <f>(B55-C55)/C55</f>
        <v>-0.54440015204530168</v>
      </c>
      <c r="E55" s="349">
        <f>零件!G56</f>
        <v>5882357</v>
      </c>
      <c r="F55" s="350">
        <v>13547009</v>
      </c>
      <c r="G55" s="518">
        <f>(E55-F55)/F55</f>
        <v>-0.5657818637309534</v>
      </c>
    </row>
    <row r="56" spans="1:7">
      <c r="A56" s="328" t="s">
        <v>92</v>
      </c>
      <c r="B56" s="349"/>
      <c r="C56" s="351"/>
      <c r="D56" s="349"/>
      <c r="E56" s="353"/>
      <c r="F56" s="350"/>
      <c r="G56" s="353"/>
    </row>
    <row r="57" spans="1:7">
      <c r="A57" s="331">
        <v>87149990166</v>
      </c>
      <c r="B57" s="354"/>
      <c r="C57" s="357"/>
      <c r="D57" s="358"/>
      <c r="E57" s="359"/>
      <c r="F57" s="360"/>
      <c r="G57" s="359"/>
    </row>
    <row r="58" spans="1:7">
      <c r="A58" s="328" t="s">
        <v>89</v>
      </c>
      <c r="B58" s="349">
        <f>零件!F59</f>
        <v>153389</v>
      </c>
      <c r="C58" s="350">
        <v>296811</v>
      </c>
      <c r="D58" s="518">
        <f>(B58-C58)/C58</f>
        <v>-0.48320985408222739</v>
      </c>
      <c r="E58" s="349">
        <f>零件!G59</f>
        <v>6343596</v>
      </c>
      <c r="F58" s="350">
        <v>10591689</v>
      </c>
      <c r="G58" s="518">
        <f>(E58-F58)/F58</f>
        <v>-0.4010779583879398</v>
      </c>
    </row>
    <row r="59" spans="1:7">
      <c r="A59" s="331">
        <v>40115000008</v>
      </c>
      <c r="B59" s="358"/>
      <c r="C59" s="358"/>
      <c r="D59" s="358"/>
      <c r="E59" s="359"/>
      <c r="F59" s="359"/>
      <c r="G59" s="359"/>
    </row>
    <row r="60" spans="1:7">
      <c r="A60" s="328" t="s">
        <v>93</v>
      </c>
      <c r="B60" s="349">
        <f>零件!F61</f>
        <v>551468</v>
      </c>
      <c r="C60" s="350">
        <v>949689</v>
      </c>
      <c r="D60" s="518">
        <f>(B60-C60)/C60</f>
        <v>-0.41931727123300366</v>
      </c>
      <c r="E60" s="349">
        <f>零件!G61</f>
        <v>9293040</v>
      </c>
      <c r="F60" s="350">
        <v>17028731</v>
      </c>
      <c r="G60" s="518">
        <f>(E60-F60)/F60</f>
        <v>-0.4542728991373462</v>
      </c>
    </row>
    <row r="61" spans="1:7">
      <c r="A61" s="328" t="s">
        <v>94</v>
      </c>
      <c r="B61" s="349"/>
      <c r="C61" s="349"/>
      <c r="D61" s="352"/>
      <c r="E61" s="353"/>
      <c r="F61" s="350"/>
      <c r="G61" s="353"/>
    </row>
    <row r="62" spans="1:7">
      <c r="A62" s="331">
        <v>40132000003</v>
      </c>
      <c r="B62" s="358"/>
      <c r="C62" s="358"/>
      <c r="D62" s="358"/>
      <c r="E62" s="359"/>
      <c r="F62" s="359"/>
      <c r="G62" s="359"/>
    </row>
    <row r="63" spans="1:7">
      <c r="A63" s="328" t="s">
        <v>95</v>
      </c>
      <c r="B63" s="349">
        <f>零件!F64</f>
        <v>53393</v>
      </c>
      <c r="C63" s="350">
        <v>134530</v>
      </c>
      <c r="D63" s="518">
        <f>(B63-C63)/C63</f>
        <v>-0.6031145469412027</v>
      </c>
      <c r="E63" s="349">
        <f>零件!G64</f>
        <v>661127</v>
      </c>
      <c r="F63" s="350">
        <v>1452598</v>
      </c>
      <c r="G63" s="518">
        <f>(E63-F63)/F63</f>
        <v>-0.54486581972438353</v>
      </c>
    </row>
    <row r="64" spans="1:7">
      <c r="A64" s="328" t="s">
        <v>96</v>
      </c>
      <c r="B64" s="349"/>
      <c r="C64" s="351"/>
      <c r="D64" s="352"/>
      <c r="E64" s="353"/>
      <c r="F64" s="350"/>
      <c r="G64" s="353"/>
    </row>
    <row r="65" spans="1:7">
      <c r="A65" s="362" t="s">
        <v>97</v>
      </c>
      <c r="B65" s="363">
        <f>SUM(B6:B64)-B64-B61-B20-B17-B11-B8</f>
        <v>4384086</v>
      </c>
      <c r="C65" s="454">
        <v>7889262</v>
      </c>
      <c r="D65" s="516">
        <f>(B65-C65)/C65</f>
        <v>-0.44429707113288924</v>
      </c>
      <c r="E65" s="453">
        <f>SUM(E7:E64)</f>
        <v>198846400</v>
      </c>
      <c r="F65" s="217">
        <v>363169520</v>
      </c>
      <c r="G65" s="519">
        <f>(E65-F65)/F65</f>
        <v>-0.45246946935414623</v>
      </c>
    </row>
    <row r="66" spans="1:7">
      <c r="E66" s="5"/>
    </row>
    <row r="67" spans="1:7">
      <c r="A67" s="55" t="s">
        <v>31</v>
      </c>
    </row>
  </sheetData>
  <phoneticPr fontId="3" type="noConversion"/>
  <conditionalFormatting sqref="C41">
    <cfRule type="cellIs" dxfId="33" priority="15" operator="greaterThanOrEqual">
      <formula>0</formula>
    </cfRule>
    <cfRule type="cellIs" dxfId="32" priority="16" operator="lessThan">
      <formula>0</formula>
    </cfRule>
  </conditionalFormatting>
  <conditionalFormatting sqref="C59">
    <cfRule type="cellIs" dxfId="31" priority="13" operator="greaterThanOrEqual">
      <formula>0</formula>
    </cfRule>
    <cfRule type="cellIs" dxfId="30" priority="14" operator="lessThan">
      <formula>0</formula>
    </cfRule>
  </conditionalFormatting>
  <conditionalFormatting sqref="C62">
    <cfRule type="cellIs" dxfId="29" priority="11" operator="greaterThanOrEqual">
      <formula>0</formula>
    </cfRule>
    <cfRule type="cellIs" dxfId="28" priority="12" operator="lessThan">
      <formula>0</formula>
    </cfRule>
  </conditionalFormatting>
  <conditionalFormatting sqref="D1:D3 D6:D7 D9:D1048576">
    <cfRule type="cellIs" dxfId="27" priority="19" operator="greaterThanOrEqual">
      <formula>0</formula>
    </cfRule>
    <cfRule type="cellIs" dxfId="26" priority="20" operator="lessThan">
      <formula>0</formula>
    </cfRule>
  </conditionalFormatting>
  <conditionalFormatting sqref="F41">
    <cfRule type="cellIs" dxfId="25" priority="9" operator="greaterThanOrEqual">
      <formula>0</formula>
    </cfRule>
    <cfRule type="cellIs" dxfId="24" priority="10" operator="lessThan">
      <formula>0</formula>
    </cfRule>
  </conditionalFormatting>
  <conditionalFormatting sqref="F59">
    <cfRule type="cellIs" dxfId="23" priority="7" operator="greaterThanOrEqual">
      <formula>0</formula>
    </cfRule>
    <cfRule type="cellIs" dxfId="22" priority="8" operator="lessThan">
      <formula>0</formula>
    </cfRule>
  </conditionalFormatting>
  <conditionalFormatting sqref="F62">
    <cfRule type="cellIs" dxfId="21" priority="5" operator="greaterThanOrEqual">
      <formula>0</formula>
    </cfRule>
    <cfRule type="cellIs" dxfId="20" priority="6" operator="lessThan">
      <formula>0</formula>
    </cfRule>
  </conditionalFormatting>
  <conditionalFormatting sqref="G1:G3">
    <cfRule type="cellIs" dxfId="19" priority="17" operator="greaterThanOrEqual">
      <formula>0</formula>
    </cfRule>
    <cfRule type="cellIs" dxfId="18" priority="18" operator="lessThan">
      <formula>0</formula>
    </cfRule>
  </conditionalFormatting>
  <conditionalFormatting sqref="G6:G1048576">
    <cfRule type="cellIs" dxfId="17" priority="1" operator="greaterThanOrEqual">
      <formula>0</formula>
    </cfRule>
    <cfRule type="cellIs" dxfId="16" priority="2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7"/>
  <sheetViews>
    <sheetView topLeftCell="A61" workbookViewId="0">
      <selection activeCell="C63" sqref="C63"/>
    </sheetView>
  </sheetViews>
  <sheetFormatPr defaultColWidth="10" defaultRowHeight="16.5"/>
  <cols>
    <col min="1" max="1" width="22.375" style="13" customWidth="1"/>
    <col min="2" max="2" width="16.625" style="321" customWidth="1"/>
    <col min="3" max="3" width="17.25" style="364" customWidth="1"/>
    <col min="4" max="4" width="15.75" style="365" customWidth="1"/>
    <col min="5" max="5" width="16.75" style="321" customWidth="1"/>
    <col min="6" max="6" width="16.875" style="364" customWidth="1"/>
    <col min="7" max="7" width="14.875" style="365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18" customFormat="1" ht="21">
      <c r="A1" s="337" t="s">
        <v>513</v>
      </c>
      <c r="B1" s="338"/>
      <c r="C1" s="339"/>
      <c r="D1" s="340"/>
      <c r="E1" s="338"/>
      <c r="F1" s="339"/>
      <c r="G1" s="340"/>
    </row>
    <row r="2" spans="1:7" s="318" customFormat="1">
      <c r="B2" s="319"/>
      <c r="C2" s="341"/>
      <c r="D2" s="342"/>
      <c r="E2" s="319"/>
      <c r="F2" s="341"/>
      <c r="G2" s="342"/>
    </row>
    <row r="3" spans="1:7" s="318" customFormat="1">
      <c r="A3" s="320"/>
      <c r="B3" s="319"/>
      <c r="C3" s="341"/>
      <c r="D3" s="342"/>
      <c r="E3" s="319"/>
      <c r="F3" s="341"/>
      <c r="G3" s="342"/>
    </row>
    <row r="4" spans="1:7">
      <c r="A4" s="528" t="s">
        <v>98</v>
      </c>
      <c r="B4" s="530" t="s">
        <v>463</v>
      </c>
      <c r="C4" s="71" t="s">
        <v>514</v>
      </c>
      <c r="D4" s="532" t="s">
        <v>36</v>
      </c>
      <c r="E4" s="531" t="s">
        <v>463</v>
      </c>
      <c r="F4" s="529" t="s">
        <v>514</v>
      </c>
      <c r="G4" s="208" t="s">
        <v>36</v>
      </c>
    </row>
    <row r="5" spans="1:7" s="318" customFormat="1" ht="18" customHeight="1">
      <c r="A5" s="46"/>
      <c r="B5" s="77" t="s">
        <v>99</v>
      </c>
      <c r="C5" s="76" t="s">
        <v>515</v>
      </c>
      <c r="D5" s="209" t="s">
        <v>1</v>
      </c>
      <c r="E5" s="77" t="s">
        <v>33</v>
      </c>
      <c r="F5" s="76" t="s">
        <v>33</v>
      </c>
      <c r="G5" s="209" t="s">
        <v>1</v>
      </c>
    </row>
    <row r="6" spans="1:7">
      <c r="A6" s="344">
        <v>85121010001</v>
      </c>
      <c r="B6" s="345"/>
      <c r="C6" s="346"/>
      <c r="D6" s="347"/>
      <c r="E6" s="345"/>
      <c r="F6" s="346"/>
      <c r="G6" s="348"/>
    </row>
    <row r="7" spans="1:7">
      <c r="A7" s="328" t="s">
        <v>65</v>
      </c>
      <c r="B7" s="349">
        <f>零件!L7</f>
        <v>7609</v>
      </c>
      <c r="C7" s="350">
        <v>8775</v>
      </c>
      <c r="D7" s="517">
        <f>(B7-C7)/C7</f>
        <v>-0.13287749287749287</v>
      </c>
      <c r="E7" s="349">
        <f>零件!M7</f>
        <v>517130</v>
      </c>
      <c r="F7" s="350">
        <v>718641</v>
      </c>
      <c r="G7" s="517">
        <f>(E7-F7)/F7</f>
        <v>-0.28040565456187444</v>
      </c>
    </row>
    <row r="8" spans="1:7">
      <c r="A8" s="328" t="s">
        <v>66</v>
      </c>
      <c r="B8" s="349"/>
      <c r="C8" s="353"/>
      <c r="D8" s="352"/>
      <c r="E8" s="353"/>
      <c r="F8" s="350"/>
      <c r="G8" s="353"/>
    </row>
    <row r="9" spans="1:7">
      <c r="A9" s="330">
        <v>85121020009</v>
      </c>
      <c r="B9" s="354"/>
      <c r="C9" s="355"/>
      <c r="D9" s="355"/>
      <c r="E9" s="354"/>
      <c r="F9" s="354"/>
      <c r="G9" s="354"/>
    </row>
    <row r="10" spans="1:7">
      <c r="A10" s="328" t="s">
        <v>68</v>
      </c>
      <c r="B10" s="349">
        <f>零件!L10</f>
        <v>4935</v>
      </c>
      <c r="C10" s="350">
        <v>3265</v>
      </c>
      <c r="D10" s="517">
        <f>(B10-C10)/C10</f>
        <v>0.51148545176110261</v>
      </c>
      <c r="E10" s="349">
        <f>零件!M10</f>
        <v>269614</v>
      </c>
      <c r="F10" s="350">
        <v>317827</v>
      </c>
      <c r="G10" s="518">
        <f>(E10-F10)/F10</f>
        <v>-0.15169573384262508</v>
      </c>
    </row>
    <row r="11" spans="1:7">
      <c r="A11" s="328" t="s">
        <v>69</v>
      </c>
      <c r="B11" s="349"/>
      <c r="C11" s="353"/>
      <c r="D11" s="356"/>
      <c r="E11" s="353"/>
      <c r="F11" s="350"/>
      <c r="G11" s="353"/>
    </row>
    <row r="12" spans="1:7">
      <c r="A12" s="331">
        <v>87149120007</v>
      </c>
      <c r="B12" s="354"/>
      <c r="C12" s="355"/>
      <c r="D12" s="358"/>
      <c r="E12" s="359"/>
      <c r="F12" s="354"/>
      <c r="G12" s="359"/>
    </row>
    <row r="13" spans="1:7">
      <c r="A13" s="328" t="s">
        <v>71</v>
      </c>
      <c r="B13" s="349">
        <f>零件!L13</f>
        <v>677354</v>
      </c>
      <c r="C13" s="350">
        <v>1234691</v>
      </c>
      <c r="D13" s="517">
        <f>(B13-C13)/C13</f>
        <v>-0.45139796110929781</v>
      </c>
      <c r="E13" s="349">
        <f>零件!M13</f>
        <v>49593273</v>
      </c>
      <c r="F13" s="350">
        <v>67472929</v>
      </c>
      <c r="G13" s="517">
        <f>(E13-F13)/F13</f>
        <v>-0.26499006734982561</v>
      </c>
    </row>
    <row r="14" spans="1:7">
      <c r="A14" s="328" t="s">
        <v>72</v>
      </c>
      <c r="B14" s="356"/>
      <c r="C14" s="483"/>
      <c r="D14" s="349"/>
      <c r="E14" s="353"/>
      <c r="F14" s="350"/>
      <c r="G14" s="353"/>
    </row>
    <row r="15" spans="1:7">
      <c r="A15" s="331">
        <v>87149200108</v>
      </c>
      <c r="B15" s="354"/>
      <c r="C15" s="357"/>
      <c r="D15" s="358"/>
      <c r="E15" s="359"/>
      <c r="F15" s="360"/>
      <c r="G15" s="359"/>
    </row>
    <row r="16" spans="1:7">
      <c r="A16" s="328" t="s">
        <v>73</v>
      </c>
      <c r="B16" s="349">
        <f>零件!L16</f>
        <v>103108</v>
      </c>
      <c r="C16" s="350">
        <v>171625</v>
      </c>
      <c r="D16" s="517">
        <f>(B16-C16)/C16</f>
        <v>-0.39922505462490898</v>
      </c>
      <c r="E16" s="349">
        <f>零件!M16</f>
        <v>9084488</v>
      </c>
      <c r="F16" s="350">
        <v>10566674</v>
      </c>
      <c r="G16" s="517">
        <f>(E16-F16)/F16</f>
        <v>-0.14026987110608313</v>
      </c>
    </row>
    <row r="17" spans="1:7">
      <c r="A17" s="328"/>
      <c r="B17" s="349"/>
      <c r="C17" s="351"/>
      <c r="D17" s="349"/>
      <c r="E17" s="353"/>
      <c r="F17" s="350"/>
      <c r="G17" s="353"/>
    </row>
    <row r="18" spans="1:7">
      <c r="A18" s="331">
        <v>87149200206</v>
      </c>
      <c r="B18" s="354"/>
      <c r="C18" s="357"/>
      <c r="D18" s="358"/>
      <c r="E18" s="359"/>
      <c r="F18" s="360"/>
      <c r="G18" s="359"/>
    </row>
    <row r="19" spans="1:7">
      <c r="A19" s="328" t="s">
        <v>57</v>
      </c>
      <c r="B19" s="349">
        <f>零件!L19</f>
        <v>15197</v>
      </c>
      <c r="C19" s="350">
        <v>24113</v>
      </c>
      <c r="D19" s="517">
        <f>(B19-C19)/C19</f>
        <v>-0.36975905113424296</v>
      </c>
      <c r="E19" s="349">
        <f>零件!M19</f>
        <v>1550048</v>
      </c>
      <c r="F19" s="350">
        <v>1632119</v>
      </c>
      <c r="G19" s="518">
        <f>(E19-F19)/F19</f>
        <v>-5.0284936331235652E-2</v>
      </c>
    </row>
    <row r="20" spans="1:7">
      <c r="A20" s="328"/>
      <c r="B20" s="349"/>
      <c r="C20" s="351"/>
      <c r="D20" s="349"/>
      <c r="E20" s="353"/>
      <c r="F20" s="350"/>
      <c r="G20" s="353"/>
    </row>
    <row r="21" spans="1:7">
      <c r="A21" s="331">
        <v>87149200304</v>
      </c>
      <c r="B21" s="354"/>
      <c r="C21" s="357"/>
      <c r="D21" s="358"/>
      <c r="E21" s="359"/>
      <c r="F21" s="360"/>
      <c r="G21" s="359"/>
    </row>
    <row r="22" spans="1:7">
      <c r="A22" s="328" t="s">
        <v>58</v>
      </c>
      <c r="B22" s="349">
        <f>零件!L22</f>
        <v>27807</v>
      </c>
      <c r="C22" s="350">
        <v>31099</v>
      </c>
      <c r="D22" s="518">
        <f>(B22-C22)/C22</f>
        <v>-0.10585549374577961</v>
      </c>
      <c r="E22" s="349">
        <f>零件!M22</f>
        <v>875025</v>
      </c>
      <c r="F22" s="350">
        <v>1520907</v>
      </c>
      <c r="G22" s="517">
        <f>(E22-F22)/F22</f>
        <v>-0.42466896398004611</v>
      </c>
    </row>
    <row r="23" spans="1:7">
      <c r="A23" s="331">
        <v>87149310007</v>
      </c>
      <c r="B23" s="354"/>
      <c r="C23" s="357"/>
      <c r="D23" s="358"/>
      <c r="E23" s="359"/>
      <c r="F23" s="360"/>
      <c r="G23" s="359"/>
    </row>
    <row r="24" spans="1:7">
      <c r="A24" s="328" t="s">
        <v>74</v>
      </c>
      <c r="B24" s="349">
        <f>零件!L24</f>
        <v>135298</v>
      </c>
      <c r="C24" s="350">
        <v>288975</v>
      </c>
      <c r="D24" s="518">
        <f>(B24-C24)/C24</f>
        <v>-0.53180032874816163</v>
      </c>
      <c r="E24" s="349">
        <f>零件!M24</f>
        <v>5443381</v>
      </c>
      <c r="F24" s="350">
        <v>9346806</v>
      </c>
      <c r="G24" s="518">
        <f>(E24-F24)/F24</f>
        <v>-0.41762127083840189</v>
      </c>
    </row>
    <row r="25" spans="1:7">
      <c r="A25" s="328" t="s">
        <v>100</v>
      </c>
      <c r="B25" s="349"/>
      <c r="C25" s="351"/>
      <c r="D25" s="349"/>
      <c r="E25" s="353"/>
      <c r="F25" s="350"/>
      <c r="G25" s="353"/>
    </row>
    <row r="26" spans="1:7">
      <c r="A26" s="331">
        <v>87149320103</v>
      </c>
      <c r="B26" s="354"/>
      <c r="C26" s="357"/>
      <c r="D26" s="358"/>
      <c r="E26" s="359"/>
      <c r="F26" s="360"/>
      <c r="G26" s="359"/>
    </row>
    <row r="27" spans="1:7">
      <c r="A27" s="328" t="s">
        <v>410</v>
      </c>
      <c r="B27" s="349">
        <f>零件!L28</f>
        <v>2402</v>
      </c>
      <c r="C27" s="350">
        <v>31297</v>
      </c>
      <c r="D27" s="518">
        <f>(B27-C27)/C27</f>
        <v>-0.92325142984950637</v>
      </c>
      <c r="E27" s="349">
        <f>零件!M28</f>
        <v>98564</v>
      </c>
      <c r="F27" s="350">
        <v>1648473</v>
      </c>
      <c r="G27" s="518">
        <f>(E27-F27)/F27</f>
        <v>-0.94020890848682381</v>
      </c>
    </row>
    <row r="28" spans="1:7">
      <c r="A28" s="331">
        <v>87149410006</v>
      </c>
      <c r="B28" s="354"/>
      <c r="C28" s="357"/>
      <c r="D28" s="358"/>
      <c r="E28" s="359"/>
      <c r="F28" s="360"/>
      <c r="G28" s="359"/>
    </row>
    <row r="29" spans="1:7">
      <c r="A29" s="328" t="s">
        <v>77</v>
      </c>
      <c r="B29" s="349">
        <f>零件!L30</f>
        <v>4652</v>
      </c>
      <c r="C29" s="350">
        <v>15523</v>
      </c>
      <c r="D29" s="517">
        <f>(B29-C29)/C29</f>
        <v>-0.70031566063260964</v>
      </c>
      <c r="E29" s="349">
        <f>零件!M30</f>
        <v>95819</v>
      </c>
      <c r="F29" s="350">
        <v>445914</v>
      </c>
      <c r="G29" s="517">
        <f>(E29-F29)/F29</f>
        <v>-0.7851177581327341</v>
      </c>
    </row>
    <row r="30" spans="1:7">
      <c r="A30" s="328" t="s">
        <v>78</v>
      </c>
      <c r="B30" s="349"/>
      <c r="C30" s="351"/>
      <c r="D30" s="349"/>
      <c r="E30" s="353"/>
      <c r="F30" s="350"/>
      <c r="G30" s="353"/>
    </row>
    <row r="31" spans="1:7">
      <c r="A31" s="331">
        <v>87149490009</v>
      </c>
      <c r="B31" s="354"/>
      <c r="C31" s="357"/>
      <c r="D31" s="358"/>
      <c r="E31" s="359"/>
      <c r="F31" s="360"/>
      <c r="G31" s="359"/>
    </row>
    <row r="32" spans="1:7">
      <c r="A32" s="328" t="s">
        <v>79</v>
      </c>
      <c r="B32" s="349">
        <f>零件!L33</f>
        <v>213782</v>
      </c>
      <c r="C32" s="350">
        <v>334563</v>
      </c>
      <c r="D32" s="517">
        <f>(B32-C32)/C32</f>
        <v>-0.36101122957410114</v>
      </c>
      <c r="E32" s="349">
        <f>零件!M33</f>
        <v>17013323</v>
      </c>
      <c r="F32" s="350">
        <v>25001943</v>
      </c>
      <c r="G32" s="517">
        <f>(E32-F32)/F32</f>
        <v>-0.31951996690817192</v>
      </c>
    </row>
    <row r="33" spans="1:7">
      <c r="A33" s="328" t="s">
        <v>80</v>
      </c>
      <c r="B33" s="349"/>
      <c r="C33" s="351"/>
      <c r="D33" s="349"/>
      <c r="E33" s="353"/>
      <c r="F33" s="350"/>
      <c r="G33" s="353"/>
    </row>
    <row r="34" spans="1:7">
      <c r="A34" s="331">
        <v>87149500007</v>
      </c>
      <c r="B34" s="358"/>
      <c r="C34" s="357"/>
      <c r="D34" s="358"/>
      <c r="E34" s="359"/>
      <c r="F34" s="360"/>
      <c r="G34" s="359"/>
    </row>
    <row r="35" spans="1:7">
      <c r="A35" s="328" t="s">
        <v>81</v>
      </c>
      <c r="B35" s="349">
        <f>零件!L36</f>
        <v>87120</v>
      </c>
      <c r="C35" s="350">
        <v>137241</v>
      </c>
      <c r="D35" s="517">
        <f>(B35-C35)/C35</f>
        <v>-0.36520427569020919</v>
      </c>
      <c r="E35" s="349">
        <f>零件!M36</f>
        <v>1376624</v>
      </c>
      <c r="F35" s="350">
        <v>2027770</v>
      </c>
      <c r="G35" s="517">
        <f>(E35-F35)/F35</f>
        <v>-0.32111432756180436</v>
      </c>
    </row>
    <row r="36" spans="1:7">
      <c r="A36" s="331">
        <v>87149610004</v>
      </c>
      <c r="B36" s="358"/>
      <c r="C36" s="357"/>
      <c r="D36" s="358"/>
      <c r="E36" s="359"/>
      <c r="F36" s="360"/>
      <c r="G36" s="359"/>
    </row>
    <row r="37" spans="1:7">
      <c r="A37" s="328" t="s">
        <v>82</v>
      </c>
      <c r="B37" s="349">
        <f>零件!L38</f>
        <v>36593</v>
      </c>
      <c r="C37" s="350">
        <v>46754</v>
      </c>
      <c r="D37" s="518">
        <f>(B37-C37)/C37</f>
        <v>-0.21732899858835608</v>
      </c>
      <c r="E37" s="349">
        <f>零件!M38</f>
        <v>331539</v>
      </c>
      <c r="F37" s="350">
        <v>629306</v>
      </c>
      <c r="G37" s="518">
        <f>(E37-F37)/F37</f>
        <v>-0.47316726679866394</v>
      </c>
    </row>
    <row r="38" spans="1:7">
      <c r="A38" s="331">
        <v>87149620002</v>
      </c>
      <c r="B38" s="354"/>
      <c r="C38" s="357"/>
      <c r="D38" s="358"/>
      <c r="E38" s="359"/>
      <c r="F38" s="360"/>
      <c r="G38" s="359"/>
    </row>
    <row r="39" spans="1:7">
      <c r="A39" s="328" t="s">
        <v>83</v>
      </c>
      <c r="B39" s="349">
        <f>零件!L40</f>
        <v>199903</v>
      </c>
      <c r="C39" s="350">
        <v>228425</v>
      </c>
      <c r="D39" s="518">
        <f>(B39-C39)/C39</f>
        <v>-0.12486374083397177</v>
      </c>
      <c r="E39" s="349">
        <f>零件!M40</f>
        <v>6682971</v>
      </c>
      <c r="F39" s="350">
        <v>6788338</v>
      </c>
      <c r="G39" s="518">
        <f>(E39-F39)/F39</f>
        <v>-1.552176688903823E-2</v>
      </c>
    </row>
    <row r="40" spans="1:7">
      <c r="A40" s="328" t="s">
        <v>78</v>
      </c>
      <c r="B40" s="349"/>
      <c r="C40" s="349"/>
      <c r="D40" s="349"/>
      <c r="E40" s="353"/>
      <c r="F40" s="350"/>
      <c r="G40" s="353"/>
    </row>
    <row r="41" spans="1:7">
      <c r="A41" s="331">
        <v>73151100209</v>
      </c>
      <c r="B41" s="354"/>
      <c r="C41" s="354"/>
      <c r="D41" s="358"/>
      <c r="E41" s="359"/>
      <c r="F41" s="359"/>
      <c r="G41" s="359"/>
    </row>
    <row r="42" spans="1:7">
      <c r="A42" s="328" t="s">
        <v>84</v>
      </c>
      <c r="B42" s="349">
        <f>零件!L43</f>
        <v>104686</v>
      </c>
      <c r="C42" s="350">
        <v>157225</v>
      </c>
      <c r="D42" s="518">
        <f>(B42-C42)/C42</f>
        <v>-0.33416441405628877</v>
      </c>
      <c r="E42" s="349">
        <f>零件!M43</f>
        <v>1450106</v>
      </c>
      <c r="F42" s="350">
        <v>2174252</v>
      </c>
      <c r="G42" s="518">
        <f>(E42-F42)/F42</f>
        <v>-0.33305523002853393</v>
      </c>
    </row>
    <row r="43" spans="1:7">
      <c r="A43" s="328" t="s">
        <v>85</v>
      </c>
      <c r="B43" s="349"/>
      <c r="C43" s="351"/>
      <c r="D43" s="349"/>
      <c r="E43" s="353"/>
      <c r="F43" s="350"/>
      <c r="G43" s="353"/>
    </row>
    <row r="44" spans="1:7">
      <c r="A44" s="331">
        <v>87149990111</v>
      </c>
      <c r="B44" s="354"/>
      <c r="C44" s="357"/>
      <c r="D44" s="358"/>
      <c r="E44" s="359"/>
      <c r="F44" s="360"/>
      <c r="G44" s="359"/>
    </row>
    <row r="45" spans="1:7">
      <c r="A45" s="332" t="s">
        <v>86</v>
      </c>
      <c r="B45" s="349">
        <f>零件!L46</f>
        <v>65144</v>
      </c>
      <c r="C45" s="350">
        <v>105479</v>
      </c>
      <c r="D45" s="517">
        <f>(B45-C45)/C45</f>
        <v>-0.3823983920970051</v>
      </c>
      <c r="E45" s="349">
        <f>零件!M46</f>
        <v>6356064</v>
      </c>
      <c r="F45" s="350">
        <v>9566526</v>
      </c>
      <c r="G45" s="517">
        <f>(E45-F45)/F45</f>
        <v>-0.33559329687704814</v>
      </c>
    </row>
    <row r="46" spans="1:7">
      <c r="A46" s="328" t="s">
        <v>87</v>
      </c>
      <c r="B46" s="349"/>
      <c r="C46" s="351"/>
      <c r="D46" s="349"/>
      <c r="E46" s="353"/>
      <c r="F46" s="350"/>
      <c r="G46" s="353"/>
    </row>
    <row r="47" spans="1:7">
      <c r="A47" s="331">
        <v>87149320906</v>
      </c>
      <c r="B47" s="354"/>
      <c r="C47" s="357"/>
      <c r="D47" s="358"/>
      <c r="E47" s="359"/>
      <c r="F47" s="360"/>
      <c r="G47" s="359"/>
    </row>
    <row r="48" spans="1:7">
      <c r="A48" s="328" t="s">
        <v>412</v>
      </c>
      <c r="B48" s="349">
        <f>零件!L49</f>
        <v>46304</v>
      </c>
      <c r="C48" s="350">
        <v>90774</v>
      </c>
      <c r="D48" s="517">
        <f>(B48-C48)/C48</f>
        <v>-0.48989798841077842</v>
      </c>
      <c r="E48" s="349">
        <f>零件!M49</f>
        <v>2388617</v>
      </c>
      <c r="F48" s="350">
        <v>2657929</v>
      </c>
      <c r="G48" s="517">
        <f>(E48-F48)/F48</f>
        <v>-0.10132400075397048</v>
      </c>
    </row>
    <row r="49" spans="1:7">
      <c r="A49" s="331">
        <v>87149990139</v>
      </c>
      <c r="B49" s="354"/>
      <c r="C49" s="357"/>
      <c r="D49" s="358"/>
      <c r="E49" s="359"/>
      <c r="F49" s="360"/>
      <c r="G49" s="359"/>
    </row>
    <row r="50" spans="1:7">
      <c r="A50" s="328" t="s">
        <v>88</v>
      </c>
      <c r="B50" s="349">
        <f>零件!L51</f>
        <v>15975</v>
      </c>
      <c r="C50" s="350">
        <v>20349</v>
      </c>
      <c r="D50" s="518">
        <f>(B50-C50)/C50</f>
        <v>-0.21494913754975675</v>
      </c>
      <c r="E50" s="349">
        <f>零件!M51</f>
        <v>199021</v>
      </c>
      <c r="F50" s="350">
        <v>288718</v>
      </c>
      <c r="G50" s="518">
        <f>(E50-F50)/F50</f>
        <v>-0.31067339064415794</v>
      </c>
    </row>
    <row r="51" spans="1:7">
      <c r="A51" s="331">
        <v>87149990148</v>
      </c>
      <c r="B51" s="354"/>
      <c r="C51" s="357"/>
      <c r="D51" s="358"/>
      <c r="E51" s="359"/>
      <c r="F51" s="360"/>
      <c r="G51" s="359"/>
    </row>
    <row r="52" spans="1:7">
      <c r="A52" s="333" t="s">
        <v>89</v>
      </c>
      <c r="B52" s="349">
        <f>零件!L53</f>
        <v>25307</v>
      </c>
      <c r="C52" s="350">
        <v>41359</v>
      </c>
      <c r="D52" s="517">
        <f>(B52-C52)/C52</f>
        <v>-0.38811383253947146</v>
      </c>
      <c r="E52" s="349">
        <f>零件!M53</f>
        <v>719701</v>
      </c>
      <c r="F52" s="350">
        <v>1074853</v>
      </c>
      <c r="G52" s="517">
        <f>(E52-F52)/F52</f>
        <v>-0.33041913638423115</v>
      </c>
    </row>
    <row r="53" spans="1:7">
      <c r="A53" s="328" t="s">
        <v>90</v>
      </c>
      <c r="B53" s="349"/>
      <c r="C53" s="351"/>
      <c r="D53" s="349"/>
      <c r="E53" s="353"/>
      <c r="F53" s="350"/>
      <c r="G53" s="353"/>
    </row>
    <row r="54" spans="1:7">
      <c r="A54" s="331">
        <v>87149990157</v>
      </c>
      <c r="B54" s="354"/>
      <c r="C54" s="357"/>
      <c r="D54" s="358"/>
      <c r="E54" s="359"/>
      <c r="F54" s="360"/>
      <c r="G54" s="359"/>
    </row>
    <row r="55" spans="1:7">
      <c r="A55" s="328" t="s">
        <v>91</v>
      </c>
      <c r="B55" s="349">
        <f>零件!L56</f>
        <v>43141</v>
      </c>
      <c r="C55" s="350">
        <v>79821</v>
      </c>
      <c r="D55" s="518">
        <f>(B55-C55)/C55</f>
        <v>-0.45952819433482417</v>
      </c>
      <c r="E55" s="349">
        <f>零件!M56</f>
        <v>2257329</v>
      </c>
      <c r="F55" s="350">
        <v>2224542</v>
      </c>
      <c r="G55" s="518">
        <f>(E55-F55)/F55</f>
        <v>1.4738764204047395E-2</v>
      </c>
    </row>
    <row r="56" spans="1:7">
      <c r="A56" s="328" t="s">
        <v>92</v>
      </c>
      <c r="B56" s="349"/>
      <c r="C56" s="351"/>
      <c r="D56" s="349"/>
      <c r="E56" s="353"/>
      <c r="F56" s="350"/>
      <c r="G56" s="353"/>
    </row>
    <row r="57" spans="1:7">
      <c r="A57" s="331">
        <v>87149990166</v>
      </c>
      <c r="B57" s="354"/>
      <c r="C57" s="357"/>
      <c r="D57" s="358"/>
      <c r="E57" s="359"/>
      <c r="F57" s="360"/>
      <c r="G57" s="359"/>
    </row>
    <row r="58" spans="1:7">
      <c r="A58" s="328" t="s">
        <v>89</v>
      </c>
      <c r="B58" s="349">
        <f>零件!L59</f>
        <v>56403</v>
      </c>
      <c r="C58" s="350">
        <v>92833</v>
      </c>
      <c r="D58" s="517">
        <f>(B58-C58)/C58</f>
        <v>-0.39242510745101417</v>
      </c>
      <c r="E58" s="349">
        <f>零件!M59</f>
        <v>3685725</v>
      </c>
      <c r="F58" s="350">
        <v>3730989</v>
      </c>
      <c r="G58" s="517">
        <f>(E58-F58)/F58</f>
        <v>-1.2131903900011499E-2</v>
      </c>
    </row>
    <row r="59" spans="1:7">
      <c r="A59" s="331">
        <v>40115000008</v>
      </c>
      <c r="B59" s="358"/>
      <c r="C59" s="358"/>
      <c r="D59" s="361"/>
      <c r="E59" s="359"/>
      <c r="F59" s="359"/>
      <c r="G59" s="359"/>
    </row>
    <row r="60" spans="1:7">
      <c r="A60" s="328" t="s">
        <v>93</v>
      </c>
      <c r="B60" s="349">
        <f>零件!L61</f>
        <v>227822</v>
      </c>
      <c r="C60" s="350">
        <v>481809</v>
      </c>
      <c r="D60" s="517">
        <f>(B60-C60)/C60</f>
        <v>-0.52715287593216398</v>
      </c>
      <c r="E60" s="349">
        <f>零件!M61</f>
        <v>2620805</v>
      </c>
      <c r="F60" s="350">
        <v>4617765</v>
      </c>
      <c r="G60" s="517">
        <f>(E60-F60)/F60</f>
        <v>-0.432451629738629</v>
      </c>
    </row>
    <row r="61" spans="1:7">
      <c r="A61" s="328" t="s">
        <v>94</v>
      </c>
      <c r="B61" s="349"/>
      <c r="C61" s="350"/>
      <c r="D61" s="352"/>
      <c r="E61" s="353"/>
      <c r="F61" s="350"/>
      <c r="G61" s="520"/>
    </row>
    <row r="62" spans="1:7">
      <c r="A62" s="331">
        <v>40132000003</v>
      </c>
      <c r="B62" s="358"/>
      <c r="C62" s="358"/>
      <c r="D62" s="358"/>
      <c r="E62" s="359"/>
      <c r="F62" s="359"/>
      <c r="G62" s="359"/>
    </row>
    <row r="63" spans="1:7">
      <c r="A63" s="328" t="s">
        <v>95</v>
      </c>
      <c r="B63" s="349">
        <f>零件!L64</f>
        <v>44357</v>
      </c>
      <c r="C63" s="350">
        <v>77817</v>
      </c>
      <c r="D63" s="518">
        <f>(B63-C63)/C63</f>
        <v>-0.42998316563218836</v>
      </c>
      <c r="E63" s="349">
        <f>零件!M64</f>
        <v>232578</v>
      </c>
      <c r="F63" s="350">
        <v>508621</v>
      </c>
      <c r="G63" s="517">
        <f>(E63-F63)/F63</f>
        <v>-0.54272827901325349</v>
      </c>
    </row>
    <row r="64" spans="1:7">
      <c r="A64" s="328" t="s">
        <v>96</v>
      </c>
      <c r="B64" s="349"/>
      <c r="C64" s="351"/>
      <c r="D64" s="352"/>
      <c r="E64" s="353"/>
      <c r="F64" s="350"/>
      <c r="G64" s="353"/>
    </row>
    <row r="65" spans="1:7">
      <c r="A65" s="362" t="s">
        <v>97</v>
      </c>
      <c r="B65" s="363">
        <f>SUM(B6:B64)-B64-B61-B20-B17-B11-B8</f>
        <v>2144899</v>
      </c>
      <c r="C65" s="454">
        <v>3703812</v>
      </c>
      <c r="D65" s="516">
        <f>(B65-C65)/C65</f>
        <v>-0.42089420305350272</v>
      </c>
      <c r="E65" s="453">
        <f>SUM(E7:E64)</f>
        <v>112841745</v>
      </c>
      <c r="F65" s="217">
        <v>154961842</v>
      </c>
      <c r="G65" s="516">
        <f>(E65-F65)/F65</f>
        <v>-0.27180947552236762</v>
      </c>
    </row>
    <row r="66" spans="1:7">
      <c r="E66" s="5"/>
      <c r="G66" s="321"/>
    </row>
    <row r="67" spans="1:7">
      <c r="A67" s="55" t="s">
        <v>31</v>
      </c>
    </row>
  </sheetData>
  <phoneticPr fontId="3" type="noConversion"/>
  <conditionalFormatting sqref="C9">
    <cfRule type="cellIs" dxfId="15" priority="11" operator="greaterThanOrEqual">
      <formula>0</formula>
    </cfRule>
    <cfRule type="cellIs" dxfId="14" priority="12" operator="lessThan">
      <formula>0</formula>
    </cfRule>
  </conditionalFormatting>
  <conditionalFormatting sqref="C12">
    <cfRule type="cellIs" dxfId="13" priority="9" operator="greaterThanOrEqual">
      <formula>0</formula>
    </cfRule>
    <cfRule type="cellIs" dxfId="12" priority="10" operator="lessThan">
      <formula>0</formula>
    </cfRule>
  </conditionalFormatting>
  <conditionalFormatting sqref="D1:D3 D6:D1048576">
    <cfRule type="cellIs" dxfId="11" priority="15" operator="greaterThanOrEqual">
      <formula>0</formula>
    </cfRule>
    <cfRule type="cellIs" dxfId="10" priority="16" operator="lessThan">
      <formula>0</formula>
    </cfRule>
  </conditionalFormatting>
  <conditionalFormatting sqref="F41">
    <cfRule type="cellIs" dxfId="9" priority="7" operator="greaterThanOrEqual">
      <formula>0</formula>
    </cfRule>
    <cfRule type="cellIs" dxfId="8" priority="8" operator="lessThan">
      <formula>0</formula>
    </cfRule>
  </conditionalFormatting>
  <conditionalFormatting sqref="F59">
    <cfRule type="cellIs" dxfId="7" priority="5" operator="greaterThanOrEqual">
      <formula>0</formula>
    </cfRule>
    <cfRule type="cellIs" dxfId="6" priority="6" operator="lessThan">
      <formula>0</formula>
    </cfRule>
  </conditionalFormatting>
  <conditionalFormatting sqref="F62">
    <cfRule type="cellIs" dxfId="5" priority="3" operator="greaterThanOrEqual">
      <formula>0</formula>
    </cfRule>
    <cfRule type="cellIs" dxfId="4" priority="4" operator="lessThan">
      <formula>0</formula>
    </cfRule>
  </conditionalFormatting>
  <conditionalFormatting sqref="G1:G3">
    <cfRule type="cellIs" dxfId="3" priority="13" operator="greaterThanOrEqual">
      <formula>0</formula>
    </cfRule>
    <cfRule type="cellIs" dxfId="2" priority="14" operator="lessThan">
      <formula>0</formula>
    </cfRule>
  </conditionalFormatting>
  <conditionalFormatting sqref="G6:G1048576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79"/>
  <sheetViews>
    <sheetView topLeftCell="A136" zoomScale="90" zoomScaleNormal="90" workbookViewId="0">
      <selection activeCell="H164" sqref="H164"/>
    </sheetView>
  </sheetViews>
  <sheetFormatPr defaultColWidth="10" defaultRowHeight="16.5"/>
  <cols>
    <col min="1" max="1" width="3.75" style="13" customWidth="1"/>
    <col min="2" max="2" width="10" style="13"/>
    <col min="3" max="3" width="17.75" style="321" customWidth="1"/>
    <col min="4" max="4" width="20.375" style="13" customWidth="1"/>
    <col min="5" max="5" width="17.875" style="321" customWidth="1"/>
    <col min="6" max="6" width="2.125" style="13" customWidth="1"/>
    <col min="7" max="7" width="11.25" style="13" customWidth="1"/>
    <col min="8" max="8" width="15.75" style="321" customWidth="1"/>
    <col min="9" max="9" width="12.875" style="13" bestFit="1" customWidth="1"/>
    <col min="10" max="10" width="17.875" style="321" customWidth="1"/>
    <col min="11" max="258" width="10" style="13"/>
    <col min="259" max="259" width="23.25" style="13" customWidth="1"/>
    <col min="260" max="260" width="10" style="13"/>
    <col min="261" max="261" width="17.875" style="13" customWidth="1"/>
    <col min="262" max="262" width="2.125" style="13" customWidth="1"/>
    <col min="263" max="263" width="10" style="13"/>
    <col min="264" max="264" width="15.75" style="13" customWidth="1"/>
    <col min="265" max="265" width="10" style="13"/>
    <col min="266" max="266" width="17.875" style="13" customWidth="1"/>
    <col min="267" max="514" width="10" style="13"/>
    <col min="515" max="515" width="23.25" style="13" customWidth="1"/>
    <col min="516" max="516" width="10" style="13"/>
    <col min="517" max="517" width="17.875" style="13" customWidth="1"/>
    <col min="518" max="518" width="2.125" style="13" customWidth="1"/>
    <col min="519" max="519" width="10" style="13"/>
    <col min="520" max="520" width="15.75" style="13" customWidth="1"/>
    <col min="521" max="521" width="10" style="13"/>
    <col min="522" max="522" width="17.875" style="13" customWidth="1"/>
    <col min="523" max="770" width="10" style="13"/>
    <col min="771" max="771" width="23.25" style="13" customWidth="1"/>
    <col min="772" max="772" width="10" style="13"/>
    <col min="773" max="773" width="17.875" style="13" customWidth="1"/>
    <col min="774" max="774" width="2.125" style="13" customWidth="1"/>
    <col min="775" max="775" width="10" style="13"/>
    <col min="776" max="776" width="15.75" style="13" customWidth="1"/>
    <col min="777" max="777" width="10" style="13"/>
    <col min="778" max="778" width="17.875" style="13" customWidth="1"/>
    <col min="779" max="1026" width="10" style="13"/>
    <col min="1027" max="1027" width="23.25" style="13" customWidth="1"/>
    <col min="1028" max="1028" width="10" style="13"/>
    <col min="1029" max="1029" width="17.875" style="13" customWidth="1"/>
    <col min="1030" max="1030" width="2.125" style="13" customWidth="1"/>
    <col min="1031" max="1031" width="10" style="13"/>
    <col min="1032" max="1032" width="15.75" style="13" customWidth="1"/>
    <col min="1033" max="1033" width="10" style="13"/>
    <col min="1034" max="1034" width="17.875" style="13" customWidth="1"/>
    <col min="1035" max="1282" width="10" style="13"/>
    <col min="1283" max="1283" width="23.25" style="13" customWidth="1"/>
    <col min="1284" max="1284" width="10" style="13"/>
    <col min="1285" max="1285" width="17.875" style="13" customWidth="1"/>
    <col min="1286" max="1286" width="2.125" style="13" customWidth="1"/>
    <col min="1287" max="1287" width="10" style="13"/>
    <col min="1288" max="1288" width="15.75" style="13" customWidth="1"/>
    <col min="1289" max="1289" width="10" style="13"/>
    <col min="1290" max="1290" width="17.875" style="13" customWidth="1"/>
    <col min="1291" max="1538" width="10" style="13"/>
    <col min="1539" max="1539" width="23.25" style="13" customWidth="1"/>
    <col min="1540" max="1540" width="10" style="13"/>
    <col min="1541" max="1541" width="17.875" style="13" customWidth="1"/>
    <col min="1542" max="1542" width="2.125" style="13" customWidth="1"/>
    <col min="1543" max="1543" width="10" style="13"/>
    <col min="1544" max="1544" width="15.75" style="13" customWidth="1"/>
    <col min="1545" max="1545" width="10" style="13"/>
    <col min="1546" max="1546" width="17.875" style="13" customWidth="1"/>
    <col min="1547" max="1794" width="10" style="13"/>
    <col min="1795" max="1795" width="23.25" style="13" customWidth="1"/>
    <col min="1796" max="1796" width="10" style="13"/>
    <col min="1797" max="1797" width="17.875" style="13" customWidth="1"/>
    <col min="1798" max="1798" width="2.125" style="13" customWidth="1"/>
    <col min="1799" max="1799" width="10" style="13"/>
    <col min="1800" max="1800" width="15.75" style="13" customWidth="1"/>
    <col min="1801" max="1801" width="10" style="13"/>
    <col min="1802" max="1802" width="17.875" style="13" customWidth="1"/>
    <col min="1803" max="2050" width="10" style="13"/>
    <col min="2051" max="2051" width="23.25" style="13" customWidth="1"/>
    <col min="2052" max="2052" width="10" style="13"/>
    <col min="2053" max="2053" width="17.875" style="13" customWidth="1"/>
    <col min="2054" max="2054" width="2.125" style="13" customWidth="1"/>
    <col min="2055" max="2055" width="10" style="13"/>
    <col min="2056" max="2056" width="15.75" style="13" customWidth="1"/>
    <col min="2057" max="2057" width="10" style="13"/>
    <col min="2058" max="2058" width="17.875" style="13" customWidth="1"/>
    <col min="2059" max="2306" width="10" style="13"/>
    <col min="2307" max="2307" width="23.25" style="13" customWidth="1"/>
    <col min="2308" max="2308" width="10" style="13"/>
    <col min="2309" max="2309" width="17.875" style="13" customWidth="1"/>
    <col min="2310" max="2310" width="2.125" style="13" customWidth="1"/>
    <col min="2311" max="2311" width="10" style="13"/>
    <col min="2312" max="2312" width="15.75" style="13" customWidth="1"/>
    <col min="2313" max="2313" width="10" style="13"/>
    <col min="2314" max="2314" width="17.875" style="13" customWidth="1"/>
    <col min="2315" max="2562" width="10" style="13"/>
    <col min="2563" max="2563" width="23.25" style="13" customWidth="1"/>
    <col min="2564" max="2564" width="10" style="13"/>
    <col min="2565" max="2565" width="17.875" style="13" customWidth="1"/>
    <col min="2566" max="2566" width="2.125" style="13" customWidth="1"/>
    <col min="2567" max="2567" width="10" style="13"/>
    <col min="2568" max="2568" width="15.75" style="13" customWidth="1"/>
    <col min="2569" max="2569" width="10" style="13"/>
    <col min="2570" max="2570" width="17.875" style="13" customWidth="1"/>
    <col min="2571" max="2818" width="10" style="13"/>
    <col min="2819" max="2819" width="23.25" style="13" customWidth="1"/>
    <col min="2820" max="2820" width="10" style="13"/>
    <col min="2821" max="2821" width="17.875" style="13" customWidth="1"/>
    <col min="2822" max="2822" width="2.125" style="13" customWidth="1"/>
    <col min="2823" max="2823" width="10" style="13"/>
    <col min="2824" max="2824" width="15.75" style="13" customWidth="1"/>
    <col min="2825" max="2825" width="10" style="13"/>
    <col min="2826" max="2826" width="17.875" style="13" customWidth="1"/>
    <col min="2827" max="3074" width="10" style="13"/>
    <col min="3075" max="3075" width="23.25" style="13" customWidth="1"/>
    <col min="3076" max="3076" width="10" style="13"/>
    <col min="3077" max="3077" width="17.875" style="13" customWidth="1"/>
    <col min="3078" max="3078" width="2.125" style="13" customWidth="1"/>
    <col min="3079" max="3079" width="10" style="13"/>
    <col min="3080" max="3080" width="15.75" style="13" customWidth="1"/>
    <col min="3081" max="3081" width="10" style="13"/>
    <col min="3082" max="3082" width="17.875" style="13" customWidth="1"/>
    <col min="3083" max="3330" width="10" style="13"/>
    <col min="3331" max="3331" width="23.25" style="13" customWidth="1"/>
    <col min="3332" max="3332" width="10" style="13"/>
    <col min="3333" max="3333" width="17.875" style="13" customWidth="1"/>
    <col min="3334" max="3334" width="2.125" style="13" customWidth="1"/>
    <col min="3335" max="3335" width="10" style="13"/>
    <col min="3336" max="3336" width="15.75" style="13" customWidth="1"/>
    <col min="3337" max="3337" width="10" style="13"/>
    <col min="3338" max="3338" width="17.875" style="13" customWidth="1"/>
    <col min="3339" max="3586" width="10" style="13"/>
    <col min="3587" max="3587" width="23.25" style="13" customWidth="1"/>
    <col min="3588" max="3588" width="10" style="13"/>
    <col min="3589" max="3589" width="17.875" style="13" customWidth="1"/>
    <col min="3590" max="3590" width="2.125" style="13" customWidth="1"/>
    <col min="3591" max="3591" width="10" style="13"/>
    <col min="3592" max="3592" width="15.75" style="13" customWidth="1"/>
    <col min="3593" max="3593" width="10" style="13"/>
    <col min="3594" max="3594" width="17.875" style="13" customWidth="1"/>
    <col min="3595" max="3842" width="10" style="13"/>
    <col min="3843" max="3843" width="23.25" style="13" customWidth="1"/>
    <col min="3844" max="3844" width="10" style="13"/>
    <col min="3845" max="3845" width="17.875" style="13" customWidth="1"/>
    <col min="3846" max="3846" width="2.125" style="13" customWidth="1"/>
    <col min="3847" max="3847" width="10" style="13"/>
    <col min="3848" max="3848" width="15.75" style="13" customWidth="1"/>
    <col min="3849" max="3849" width="10" style="13"/>
    <col min="3850" max="3850" width="17.875" style="13" customWidth="1"/>
    <col min="3851" max="4098" width="10" style="13"/>
    <col min="4099" max="4099" width="23.25" style="13" customWidth="1"/>
    <col min="4100" max="4100" width="10" style="13"/>
    <col min="4101" max="4101" width="17.875" style="13" customWidth="1"/>
    <col min="4102" max="4102" width="2.125" style="13" customWidth="1"/>
    <col min="4103" max="4103" width="10" style="13"/>
    <col min="4104" max="4104" width="15.75" style="13" customWidth="1"/>
    <col min="4105" max="4105" width="10" style="13"/>
    <col min="4106" max="4106" width="17.875" style="13" customWidth="1"/>
    <col min="4107" max="4354" width="10" style="13"/>
    <col min="4355" max="4355" width="23.25" style="13" customWidth="1"/>
    <col min="4356" max="4356" width="10" style="13"/>
    <col min="4357" max="4357" width="17.875" style="13" customWidth="1"/>
    <col min="4358" max="4358" width="2.125" style="13" customWidth="1"/>
    <col min="4359" max="4359" width="10" style="13"/>
    <col min="4360" max="4360" width="15.75" style="13" customWidth="1"/>
    <col min="4361" max="4361" width="10" style="13"/>
    <col min="4362" max="4362" width="17.875" style="13" customWidth="1"/>
    <col min="4363" max="4610" width="10" style="13"/>
    <col min="4611" max="4611" width="23.25" style="13" customWidth="1"/>
    <col min="4612" max="4612" width="10" style="13"/>
    <col min="4613" max="4613" width="17.875" style="13" customWidth="1"/>
    <col min="4614" max="4614" width="2.125" style="13" customWidth="1"/>
    <col min="4615" max="4615" width="10" style="13"/>
    <col min="4616" max="4616" width="15.75" style="13" customWidth="1"/>
    <col min="4617" max="4617" width="10" style="13"/>
    <col min="4618" max="4618" width="17.875" style="13" customWidth="1"/>
    <col min="4619" max="4866" width="10" style="13"/>
    <col min="4867" max="4867" width="23.25" style="13" customWidth="1"/>
    <col min="4868" max="4868" width="10" style="13"/>
    <col min="4869" max="4869" width="17.875" style="13" customWidth="1"/>
    <col min="4870" max="4870" width="2.125" style="13" customWidth="1"/>
    <col min="4871" max="4871" width="10" style="13"/>
    <col min="4872" max="4872" width="15.75" style="13" customWidth="1"/>
    <col min="4873" max="4873" width="10" style="13"/>
    <col min="4874" max="4874" width="17.875" style="13" customWidth="1"/>
    <col min="4875" max="5122" width="10" style="13"/>
    <col min="5123" max="5123" width="23.25" style="13" customWidth="1"/>
    <col min="5124" max="5124" width="10" style="13"/>
    <col min="5125" max="5125" width="17.875" style="13" customWidth="1"/>
    <col min="5126" max="5126" width="2.125" style="13" customWidth="1"/>
    <col min="5127" max="5127" width="10" style="13"/>
    <col min="5128" max="5128" width="15.75" style="13" customWidth="1"/>
    <col min="5129" max="5129" width="10" style="13"/>
    <col min="5130" max="5130" width="17.875" style="13" customWidth="1"/>
    <col min="5131" max="5378" width="10" style="13"/>
    <col min="5379" max="5379" width="23.25" style="13" customWidth="1"/>
    <col min="5380" max="5380" width="10" style="13"/>
    <col min="5381" max="5381" width="17.875" style="13" customWidth="1"/>
    <col min="5382" max="5382" width="2.125" style="13" customWidth="1"/>
    <col min="5383" max="5383" width="10" style="13"/>
    <col min="5384" max="5384" width="15.75" style="13" customWidth="1"/>
    <col min="5385" max="5385" width="10" style="13"/>
    <col min="5386" max="5386" width="17.875" style="13" customWidth="1"/>
    <col min="5387" max="5634" width="10" style="13"/>
    <col min="5635" max="5635" width="23.25" style="13" customWidth="1"/>
    <col min="5636" max="5636" width="10" style="13"/>
    <col min="5637" max="5637" width="17.875" style="13" customWidth="1"/>
    <col min="5638" max="5638" width="2.125" style="13" customWidth="1"/>
    <col min="5639" max="5639" width="10" style="13"/>
    <col min="5640" max="5640" width="15.75" style="13" customWidth="1"/>
    <col min="5641" max="5641" width="10" style="13"/>
    <col min="5642" max="5642" width="17.875" style="13" customWidth="1"/>
    <col min="5643" max="5890" width="10" style="13"/>
    <col min="5891" max="5891" width="23.25" style="13" customWidth="1"/>
    <col min="5892" max="5892" width="10" style="13"/>
    <col min="5893" max="5893" width="17.875" style="13" customWidth="1"/>
    <col min="5894" max="5894" width="2.125" style="13" customWidth="1"/>
    <col min="5895" max="5895" width="10" style="13"/>
    <col min="5896" max="5896" width="15.75" style="13" customWidth="1"/>
    <col min="5897" max="5897" width="10" style="13"/>
    <col min="5898" max="5898" width="17.875" style="13" customWidth="1"/>
    <col min="5899" max="6146" width="10" style="13"/>
    <col min="6147" max="6147" width="23.25" style="13" customWidth="1"/>
    <col min="6148" max="6148" width="10" style="13"/>
    <col min="6149" max="6149" width="17.875" style="13" customWidth="1"/>
    <col min="6150" max="6150" width="2.125" style="13" customWidth="1"/>
    <col min="6151" max="6151" width="10" style="13"/>
    <col min="6152" max="6152" width="15.75" style="13" customWidth="1"/>
    <col min="6153" max="6153" width="10" style="13"/>
    <col min="6154" max="6154" width="17.875" style="13" customWidth="1"/>
    <col min="6155" max="6402" width="10" style="13"/>
    <col min="6403" max="6403" width="23.25" style="13" customWidth="1"/>
    <col min="6404" max="6404" width="10" style="13"/>
    <col min="6405" max="6405" width="17.875" style="13" customWidth="1"/>
    <col min="6406" max="6406" width="2.125" style="13" customWidth="1"/>
    <col min="6407" max="6407" width="10" style="13"/>
    <col min="6408" max="6408" width="15.75" style="13" customWidth="1"/>
    <col min="6409" max="6409" width="10" style="13"/>
    <col min="6410" max="6410" width="17.875" style="13" customWidth="1"/>
    <col min="6411" max="6658" width="10" style="13"/>
    <col min="6659" max="6659" width="23.25" style="13" customWidth="1"/>
    <col min="6660" max="6660" width="10" style="13"/>
    <col min="6661" max="6661" width="17.875" style="13" customWidth="1"/>
    <col min="6662" max="6662" width="2.125" style="13" customWidth="1"/>
    <col min="6663" max="6663" width="10" style="13"/>
    <col min="6664" max="6664" width="15.75" style="13" customWidth="1"/>
    <col min="6665" max="6665" width="10" style="13"/>
    <col min="6666" max="6666" width="17.875" style="13" customWidth="1"/>
    <col min="6667" max="6914" width="10" style="13"/>
    <col min="6915" max="6915" width="23.25" style="13" customWidth="1"/>
    <col min="6916" max="6916" width="10" style="13"/>
    <col min="6917" max="6917" width="17.875" style="13" customWidth="1"/>
    <col min="6918" max="6918" width="2.125" style="13" customWidth="1"/>
    <col min="6919" max="6919" width="10" style="13"/>
    <col min="6920" max="6920" width="15.75" style="13" customWidth="1"/>
    <col min="6921" max="6921" width="10" style="13"/>
    <col min="6922" max="6922" width="17.875" style="13" customWidth="1"/>
    <col min="6923" max="7170" width="10" style="13"/>
    <col min="7171" max="7171" width="23.25" style="13" customWidth="1"/>
    <col min="7172" max="7172" width="10" style="13"/>
    <col min="7173" max="7173" width="17.875" style="13" customWidth="1"/>
    <col min="7174" max="7174" width="2.125" style="13" customWidth="1"/>
    <col min="7175" max="7175" width="10" style="13"/>
    <col min="7176" max="7176" width="15.75" style="13" customWidth="1"/>
    <col min="7177" max="7177" width="10" style="13"/>
    <col min="7178" max="7178" width="17.875" style="13" customWidth="1"/>
    <col min="7179" max="7426" width="10" style="13"/>
    <col min="7427" max="7427" width="23.25" style="13" customWidth="1"/>
    <col min="7428" max="7428" width="10" style="13"/>
    <col min="7429" max="7429" width="17.875" style="13" customWidth="1"/>
    <col min="7430" max="7430" width="2.125" style="13" customWidth="1"/>
    <col min="7431" max="7431" width="10" style="13"/>
    <col min="7432" max="7432" width="15.75" style="13" customWidth="1"/>
    <col min="7433" max="7433" width="10" style="13"/>
    <col min="7434" max="7434" width="17.875" style="13" customWidth="1"/>
    <col min="7435" max="7682" width="10" style="13"/>
    <col min="7683" max="7683" width="23.25" style="13" customWidth="1"/>
    <col min="7684" max="7684" width="10" style="13"/>
    <col min="7685" max="7685" width="17.875" style="13" customWidth="1"/>
    <col min="7686" max="7686" width="2.125" style="13" customWidth="1"/>
    <col min="7687" max="7687" width="10" style="13"/>
    <col min="7688" max="7688" width="15.75" style="13" customWidth="1"/>
    <col min="7689" max="7689" width="10" style="13"/>
    <col min="7690" max="7690" width="17.875" style="13" customWidth="1"/>
    <col min="7691" max="7938" width="10" style="13"/>
    <col min="7939" max="7939" width="23.25" style="13" customWidth="1"/>
    <col min="7940" max="7940" width="10" style="13"/>
    <col min="7941" max="7941" width="17.875" style="13" customWidth="1"/>
    <col min="7942" max="7942" width="2.125" style="13" customWidth="1"/>
    <col min="7943" max="7943" width="10" style="13"/>
    <col min="7944" max="7944" width="15.75" style="13" customWidth="1"/>
    <col min="7945" max="7945" width="10" style="13"/>
    <col min="7946" max="7946" width="17.875" style="13" customWidth="1"/>
    <col min="7947" max="8194" width="10" style="13"/>
    <col min="8195" max="8195" width="23.25" style="13" customWidth="1"/>
    <col min="8196" max="8196" width="10" style="13"/>
    <col min="8197" max="8197" width="17.875" style="13" customWidth="1"/>
    <col min="8198" max="8198" width="2.125" style="13" customWidth="1"/>
    <col min="8199" max="8199" width="10" style="13"/>
    <col min="8200" max="8200" width="15.75" style="13" customWidth="1"/>
    <col min="8201" max="8201" width="10" style="13"/>
    <col min="8202" max="8202" width="17.875" style="13" customWidth="1"/>
    <col min="8203" max="8450" width="10" style="13"/>
    <col min="8451" max="8451" width="23.25" style="13" customWidth="1"/>
    <col min="8452" max="8452" width="10" style="13"/>
    <col min="8453" max="8453" width="17.875" style="13" customWidth="1"/>
    <col min="8454" max="8454" width="2.125" style="13" customWidth="1"/>
    <col min="8455" max="8455" width="10" style="13"/>
    <col min="8456" max="8456" width="15.75" style="13" customWidth="1"/>
    <col min="8457" max="8457" width="10" style="13"/>
    <col min="8458" max="8458" width="17.875" style="13" customWidth="1"/>
    <col min="8459" max="8706" width="10" style="13"/>
    <col min="8707" max="8707" width="23.25" style="13" customWidth="1"/>
    <col min="8708" max="8708" width="10" style="13"/>
    <col min="8709" max="8709" width="17.875" style="13" customWidth="1"/>
    <col min="8710" max="8710" width="2.125" style="13" customWidth="1"/>
    <col min="8711" max="8711" width="10" style="13"/>
    <col min="8712" max="8712" width="15.75" style="13" customWidth="1"/>
    <col min="8713" max="8713" width="10" style="13"/>
    <col min="8714" max="8714" width="17.875" style="13" customWidth="1"/>
    <col min="8715" max="8962" width="10" style="13"/>
    <col min="8963" max="8963" width="23.25" style="13" customWidth="1"/>
    <col min="8964" max="8964" width="10" style="13"/>
    <col min="8965" max="8965" width="17.875" style="13" customWidth="1"/>
    <col min="8966" max="8966" width="2.125" style="13" customWidth="1"/>
    <col min="8967" max="8967" width="10" style="13"/>
    <col min="8968" max="8968" width="15.75" style="13" customWidth="1"/>
    <col min="8969" max="8969" width="10" style="13"/>
    <col min="8970" max="8970" width="17.875" style="13" customWidth="1"/>
    <col min="8971" max="9218" width="10" style="13"/>
    <col min="9219" max="9219" width="23.25" style="13" customWidth="1"/>
    <col min="9220" max="9220" width="10" style="13"/>
    <col min="9221" max="9221" width="17.875" style="13" customWidth="1"/>
    <col min="9222" max="9222" width="2.125" style="13" customWidth="1"/>
    <col min="9223" max="9223" width="10" style="13"/>
    <col min="9224" max="9224" width="15.75" style="13" customWidth="1"/>
    <col min="9225" max="9225" width="10" style="13"/>
    <col min="9226" max="9226" width="17.875" style="13" customWidth="1"/>
    <col min="9227" max="9474" width="10" style="13"/>
    <col min="9475" max="9475" width="23.25" style="13" customWidth="1"/>
    <col min="9476" max="9476" width="10" style="13"/>
    <col min="9477" max="9477" width="17.875" style="13" customWidth="1"/>
    <col min="9478" max="9478" width="2.125" style="13" customWidth="1"/>
    <col min="9479" max="9479" width="10" style="13"/>
    <col min="9480" max="9480" width="15.75" style="13" customWidth="1"/>
    <col min="9481" max="9481" width="10" style="13"/>
    <col min="9482" max="9482" width="17.875" style="13" customWidth="1"/>
    <col min="9483" max="9730" width="10" style="13"/>
    <col min="9731" max="9731" width="23.25" style="13" customWidth="1"/>
    <col min="9732" max="9732" width="10" style="13"/>
    <col min="9733" max="9733" width="17.875" style="13" customWidth="1"/>
    <col min="9734" max="9734" width="2.125" style="13" customWidth="1"/>
    <col min="9735" max="9735" width="10" style="13"/>
    <col min="9736" max="9736" width="15.75" style="13" customWidth="1"/>
    <col min="9737" max="9737" width="10" style="13"/>
    <col min="9738" max="9738" width="17.875" style="13" customWidth="1"/>
    <col min="9739" max="9986" width="10" style="13"/>
    <col min="9987" max="9987" width="23.25" style="13" customWidth="1"/>
    <col min="9988" max="9988" width="10" style="13"/>
    <col min="9989" max="9989" width="17.875" style="13" customWidth="1"/>
    <col min="9990" max="9990" width="2.125" style="13" customWidth="1"/>
    <col min="9991" max="9991" width="10" style="13"/>
    <col min="9992" max="9992" width="15.75" style="13" customWidth="1"/>
    <col min="9993" max="9993" width="10" style="13"/>
    <col min="9994" max="9994" width="17.875" style="13" customWidth="1"/>
    <col min="9995" max="10242" width="10" style="13"/>
    <col min="10243" max="10243" width="23.25" style="13" customWidth="1"/>
    <col min="10244" max="10244" width="10" style="13"/>
    <col min="10245" max="10245" width="17.875" style="13" customWidth="1"/>
    <col min="10246" max="10246" width="2.125" style="13" customWidth="1"/>
    <col min="10247" max="10247" width="10" style="13"/>
    <col min="10248" max="10248" width="15.75" style="13" customWidth="1"/>
    <col min="10249" max="10249" width="10" style="13"/>
    <col min="10250" max="10250" width="17.875" style="13" customWidth="1"/>
    <col min="10251" max="10498" width="10" style="13"/>
    <col min="10499" max="10499" width="23.25" style="13" customWidth="1"/>
    <col min="10500" max="10500" width="10" style="13"/>
    <col min="10501" max="10501" width="17.875" style="13" customWidth="1"/>
    <col min="10502" max="10502" width="2.125" style="13" customWidth="1"/>
    <col min="10503" max="10503" width="10" style="13"/>
    <col min="10504" max="10504" width="15.75" style="13" customWidth="1"/>
    <col min="10505" max="10505" width="10" style="13"/>
    <col min="10506" max="10506" width="17.875" style="13" customWidth="1"/>
    <col min="10507" max="10754" width="10" style="13"/>
    <col min="10755" max="10755" width="23.25" style="13" customWidth="1"/>
    <col min="10756" max="10756" width="10" style="13"/>
    <col min="10757" max="10757" width="17.875" style="13" customWidth="1"/>
    <col min="10758" max="10758" width="2.125" style="13" customWidth="1"/>
    <col min="10759" max="10759" width="10" style="13"/>
    <col min="10760" max="10760" width="15.75" style="13" customWidth="1"/>
    <col min="10761" max="10761" width="10" style="13"/>
    <col min="10762" max="10762" width="17.875" style="13" customWidth="1"/>
    <col min="10763" max="11010" width="10" style="13"/>
    <col min="11011" max="11011" width="23.25" style="13" customWidth="1"/>
    <col min="11012" max="11012" width="10" style="13"/>
    <col min="11013" max="11013" width="17.875" style="13" customWidth="1"/>
    <col min="11014" max="11014" width="2.125" style="13" customWidth="1"/>
    <col min="11015" max="11015" width="10" style="13"/>
    <col min="11016" max="11016" width="15.75" style="13" customWidth="1"/>
    <col min="11017" max="11017" width="10" style="13"/>
    <col min="11018" max="11018" width="17.875" style="13" customWidth="1"/>
    <col min="11019" max="11266" width="10" style="13"/>
    <col min="11267" max="11267" width="23.25" style="13" customWidth="1"/>
    <col min="11268" max="11268" width="10" style="13"/>
    <col min="11269" max="11269" width="17.875" style="13" customWidth="1"/>
    <col min="11270" max="11270" width="2.125" style="13" customWidth="1"/>
    <col min="11271" max="11271" width="10" style="13"/>
    <col min="11272" max="11272" width="15.75" style="13" customWidth="1"/>
    <col min="11273" max="11273" width="10" style="13"/>
    <col min="11274" max="11274" width="17.875" style="13" customWidth="1"/>
    <col min="11275" max="11522" width="10" style="13"/>
    <col min="11523" max="11523" width="23.25" style="13" customWidth="1"/>
    <col min="11524" max="11524" width="10" style="13"/>
    <col min="11525" max="11525" width="17.875" style="13" customWidth="1"/>
    <col min="11526" max="11526" width="2.125" style="13" customWidth="1"/>
    <col min="11527" max="11527" width="10" style="13"/>
    <col min="11528" max="11528" width="15.75" style="13" customWidth="1"/>
    <col min="11529" max="11529" width="10" style="13"/>
    <col min="11530" max="11530" width="17.875" style="13" customWidth="1"/>
    <col min="11531" max="11778" width="10" style="13"/>
    <col min="11779" max="11779" width="23.25" style="13" customWidth="1"/>
    <col min="11780" max="11780" width="10" style="13"/>
    <col min="11781" max="11781" width="17.875" style="13" customWidth="1"/>
    <col min="11782" max="11782" width="2.125" style="13" customWidth="1"/>
    <col min="11783" max="11783" width="10" style="13"/>
    <col min="11784" max="11784" width="15.75" style="13" customWidth="1"/>
    <col min="11785" max="11785" width="10" style="13"/>
    <col min="11786" max="11786" width="17.875" style="13" customWidth="1"/>
    <col min="11787" max="12034" width="10" style="13"/>
    <col min="12035" max="12035" width="23.25" style="13" customWidth="1"/>
    <col min="12036" max="12036" width="10" style="13"/>
    <col min="12037" max="12037" width="17.875" style="13" customWidth="1"/>
    <col min="12038" max="12038" width="2.125" style="13" customWidth="1"/>
    <col min="12039" max="12039" width="10" style="13"/>
    <col min="12040" max="12040" width="15.75" style="13" customWidth="1"/>
    <col min="12041" max="12041" width="10" style="13"/>
    <col min="12042" max="12042" width="17.875" style="13" customWidth="1"/>
    <col min="12043" max="12290" width="10" style="13"/>
    <col min="12291" max="12291" width="23.25" style="13" customWidth="1"/>
    <col min="12292" max="12292" width="10" style="13"/>
    <col min="12293" max="12293" width="17.875" style="13" customWidth="1"/>
    <col min="12294" max="12294" width="2.125" style="13" customWidth="1"/>
    <col min="12295" max="12295" width="10" style="13"/>
    <col min="12296" max="12296" width="15.75" style="13" customWidth="1"/>
    <col min="12297" max="12297" width="10" style="13"/>
    <col min="12298" max="12298" width="17.875" style="13" customWidth="1"/>
    <col min="12299" max="12546" width="10" style="13"/>
    <col min="12547" max="12547" width="23.25" style="13" customWidth="1"/>
    <col min="12548" max="12548" width="10" style="13"/>
    <col min="12549" max="12549" width="17.875" style="13" customWidth="1"/>
    <col min="12550" max="12550" width="2.125" style="13" customWidth="1"/>
    <col min="12551" max="12551" width="10" style="13"/>
    <col min="12552" max="12552" width="15.75" style="13" customWidth="1"/>
    <col min="12553" max="12553" width="10" style="13"/>
    <col min="12554" max="12554" width="17.875" style="13" customWidth="1"/>
    <col min="12555" max="12802" width="10" style="13"/>
    <col min="12803" max="12803" width="23.25" style="13" customWidth="1"/>
    <col min="12804" max="12804" width="10" style="13"/>
    <col min="12805" max="12805" width="17.875" style="13" customWidth="1"/>
    <col min="12806" max="12806" width="2.125" style="13" customWidth="1"/>
    <col min="12807" max="12807" width="10" style="13"/>
    <col min="12808" max="12808" width="15.75" style="13" customWidth="1"/>
    <col min="12809" max="12809" width="10" style="13"/>
    <col min="12810" max="12810" width="17.875" style="13" customWidth="1"/>
    <col min="12811" max="13058" width="10" style="13"/>
    <col min="13059" max="13059" width="23.25" style="13" customWidth="1"/>
    <col min="13060" max="13060" width="10" style="13"/>
    <col min="13061" max="13061" width="17.875" style="13" customWidth="1"/>
    <col min="13062" max="13062" width="2.125" style="13" customWidth="1"/>
    <col min="13063" max="13063" width="10" style="13"/>
    <col min="13064" max="13064" width="15.75" style="13" customWidth="1"/>
    <col min="13065" max="13065" width="10" style="13"/>
    <col min="13066" max="13066" width="17.875" style="13" customWidth="1"/>
    <col min="13067" max="13314" width="10" style="13"/>
    <col min="13315" max="13315" width="23.25" style="13" customWidth="1"/>
    <col min="13316" max="13316" width="10" style="13"/>
    <col min="13317" max="13317" width="17.875" style="13" customWidth="1"/>
    <col min="13318" max="13318" width="2.125" style="13" customWidth="1"/>
    <col min="13319" max="13319" width="10" style="13"/>
    <col min="13320" max="13320" width="15.75" style="13" customWidth="1"/>
    <col min="13321" max="13321" width="10" style="13"/>
    <col min="13322" max="13322" width="17.875" style="13" customWidth="1"/>
    <col min="13323" max="13570" width="10" style="13"/>
    <col min="13571" max="13571" width="23.25" style="13" customWidth="1"/>
    <col min="13572" max="13572" width="10" style="13"/>
    <col min="13573" max="13573" width="17.875" style="13" customWidth="1"/>
    <col min="13574" max="13574" width="2.125" style="13" customWidth="1"/>
    <col min="13575" max="13575" width="10" style="13"/>
    <col min="13576" max="13576" width="15.75" style="13" customWidth="1"/>
    <col min="13577" max="13577" width="10" style="13"/>
    <col min="13578" max="13578" width="17.875" style="13" customWidth="1"/>
    <col min="13579" max="13826" width="10" style="13"/>
    <col min="13827" max="13827" width="23.25" style="13" customWidth="1"/>
    <col min="13828" max="13828" width="10" style="13"/>
    <col min="13829" max="13829" width="17.875" style="13" customWidth="1"/>
    <col min="13830" max="13830" width="2.125" style="13" customWidth="1"/>
    <col min="13831" max="13831" width="10" style="13"/>
    <col min="13832" max="13832" width="15.75" style="13" customWidth="1"/>
    <col min="13833" max="13833" width="10" style="13"/>
    <col min="13834" max="13834" width="17.875" style="13" customWidth="1"/>
    <col min="13835" max="14082" width="10" style="13"/>
    <col min="14083" max="14083" width="23.25" style="13" customWidth="1"/>
    <col min="14084" max="14084" width="10" style="13"/>
    <col min="14085" max="14085" width="17.875" style="13" customWidth="1"/>
    <col min="14086" max="14086" width="2.125" style="13" customWidth="1"/>
    <col min="14087" max="14087" width="10" style="13"/>
    <col min="14088" max="14088" width="15.75" style="13" customWidth="1"/>
    <col min="14089" max="14089" width="10" style="13"/>
    <col min="14090" max="14090" width="17.875" style="13" customWidth="1"/>
    <col min="14091" max="14338" width="10" style="13"/>
    <col min="14339" max="14339" width="23.25" style="13" customWidth="1"/>
    <col min="14340" max="14340" width="10" style="13"/>
    <col min="14341" max="14341" width="17.875" style="13" customWidth="1"/>
    <col min="14342" max="14342" width="2.125" style="13" customWidth="1"/>
    <col min="14343" max="14343" width="10" style="13"/>
    <col min="14344" max="14344" width="15.75" style="13" customWidth="1"/>
    <col min="14345" max="14345" width="10" style="13"/>
    <col min="14346" max="14346" width="17.875" style="13" customWidth="1"/>
    <col min="14347" max="14594" width="10" style="13"/>
    <col min="14595" max="14595" width="23.25" style="13" customWidth="1"/>
    <col min="14596" max="14596" width="10" style="13"/>
    <col min="14597" max="14597" width="17.875" style="13" customWidth="1"/>
    <col min="14598" max="14598" width="2.125" style="13" customWidth="1"/>
    <col min="14599" max="14599" width="10" style="13"/>
    <col min="14600" max="14600" width="15.75" style="13" customWidth="1"/>
    <col min="14601" max="14601" width="10" style="13"/>
    <col min="14602" max="14602" width="17.875" style="13" customWidth="1"/>
    <col min="14603" max="14850" width="10" style="13"/>
    <col min="14851" max="14851" width="23.25" style="13" customWidth="1"/>
    <col min="14852" max="14852" width="10" style="13"/>
    <col min="14853" max="14853" width="17.875" style="13" customWidth="1"/>
    <col min="14854" max="14854" width="2.125" style="13" customWidth="1"/>
    <col min="14855" max="14855" width="10" style="13"/>
    <col min="14856" max="14856" width="15.75" style="13" customWidth="1"/>
    <col min="14857" max="14857" width="10" style="13"/>
    <col min="14858" max="14858" width="17.875" style="13" customWidth="1"/>
    <col min="14859" max="15106" width="10" style="13"/>
    <col min="15107" max="15107" width="23.25" style="13" customWidth="1"/>
    <col min="15108" max="15108" width="10" style="13"/>
    <col min="15109" max="15109" width="17.875" style="13" customWidth="1"/>
    <col min="15110" max="15110" width="2.125" style="13" customWidth="1"/>
    <col min="15111" max="15111" width="10" style="13"/>
    <col min="15112" max="15112" width="15.75" style="13" customWidth="1"/>
    <col min="15113" max="15113" width="10" style="13"/>
    <col min="15114" max="15114" width="17.875" style="13" customWidth="1"/>
    <col min="15115" max="15362" width="10" style="13"/>
    <col min="15363" max="15363" width="23.25" style="13" customWidth="1"/>
    <col min="15364" max="15364" width="10" style="13"/>
    <col min="15365" max="15365" width="17.875" style="13" customWidth="1"/>
    <col min="15366" max="15366" width="2.125" style="13" customWidth="1"/>
    <col min="15367" max="15367" width="10" style="13"/>
    <col min="15368" max="15368" width="15.75" style="13" customWidth="1"/>
    <col min="15369" max="15369" width="10" style="13"/>
    <col min="15370" max="15370" width="17.875" style="13" customWidth="1"/>
    <col min="15371" max="15618" width="10" style="13"/>
    <col min="15619" max="15619" width="23.25" style="13" customWidth="1"/>
    <col min="15620" max="15620" width="10" style="13"/>
    <col min="15621" max="15621" width="17.875" style="13" customWidth="1"/>
    <col min="15622" max="15622" width="2.125" style="13" customWidth="1"/>
    <col min="15623" max="15623" width="10" style="13"/>
    <col min="15624" max="15624" width="15.75" style="13" customWidth="1"/>
    <col min="15625" max="15625" width="10" style="13"/>
    <col min="15626" max="15626" width="17.875" style="13" customWidth="1"/>
    <col min="15627" max="15874" width="10" style="13"/>
    <col min="15875" max="15875" width="23.25" style="13" customWidth="1"/>
    <col min="15876" max="15876" width="10" style="13"/>
    <col min="15877" max="15877" width="17.875" style="13" customWidth="1"/>
    <col min="15878" max="15878" width="2.125" style="13" customWidth="1"/>
    <col min="15879" max="15879" width="10" style="13"/>
    <col min="15880" max="15880" width="15.75" style="13" customWidth="1"/>
    <col min="15881" max="15881" width="10" style="13"/>
    <col min="15882" max="15882" width="17.875" style="13" customWidth="1"/>
    <col min="15883" max="16130" width="10" style="13"/>
    <col min="16131" max="16131" width="23.25" style="13" customWidth="1"/>
    <col min="16132" max="16132" width="10" style="13"/>
    <col min="16133" max="16133" width="17.875" style="13" customWidth="1"/>
    <col min="16134" max="16134" width="2.125" style="13" customWidth="1"/>
    <col min="16135" max="16135" width="10" style="13"/>
    <col min="16136" max="16136" width="15.75" style="13" customWidth="1"/>
    <col min="16137" max="16137" width="10" style="13"/>
    <col min="16138" max="16138" width="17.875" style="13" customWidth="1"/>
    <col min="16139" max="16384" width="10" style="13"/>
  </cols>
  <sheetData>
    <row r="1" spans="1:10" ht="21">
      <c r="B1" s="366" t="s">
        <v>468</v>
      </c>
      <c r="C1" s="367"/>
      <c r="D1" s="368"/>
      <c r="E1" s="367"/>
      <c r="F1" s="368"/>
      <c r="G1" s="368"/>
      <c r="H1" s="367"/>
      <c r="I1" s="368"/>
      <c r="J1" s="367"/>
    </row>
    <row r="2" spans="1:10">
      <c r="B2" s="368"/>
      <c r="C2" s="367"/>
      <c r="D2" s="368"/>
      <c r="E2" s="367"/>
      <c r="F2" s="368"/>
      <c r="G2" s="368"/>
      <c r="H2" s="367"/>
      <c r="I2" s="368"/>
      <c r="J2" s="367"/>
    </row>
    <row r="3" spans="1:10">
      <c r="A3" s="484"/>
      <c r="B3" s="484" t="s">
        <v>516</v>
      </c>
      <c r="G3" s="484" t="s">
        <v>427</v>
      </c>
    </row>
    <row r="4" spans="1:10">
      <c r="B4" s="30" t="s">
        <v>101</v>
      </c>
      <c r="C4" s="369" t="s">
        <v>102</v>
      </c>
      <c r="D4" s="30" t="s">
        <v>103</v>
      </c>
      <c r="E4" s="369" t="s">
        <v>104</v>
      </c>
      <c r="F4" s="370"/>
      <c r="G4" s="30" t="s">
        <v>101</v>
      </c>
      <c r="H4" s="369" t="s">
        <v>102</v>
      </c>
      <c r="I4" s="30" t="s">
        <v>103</v>
      </c>
      <c r="J4" s="369" t="s">
        <v>104</v>
      </c>
    </row>
    <row r="5" spans="1:10">
      <c r="A5" s="13">
        <v>1</v>
      </c>
      <c r="B5" s="371" t="s">
        <v>475</v>
      </c>
      <c r="C5" s="372">
        <v>324131</v>
      </c>
      <c r="D5" s="371" t="s">
        <v>169</v>
      </c>
      <c r="E5" s="373">
        <v>104102</v>
      </c>
      <c r="G5" s="371" t="s">
        <v>261</v>
      </c>
      <c r="H5" s="373">
        <v>215047</v>
      </c>
      <c r="I5" s="374" t="s">
        <v>169</v>
      </c>
      <c r="J5" s="373">
        <v>63755</v>
      </c>
    </row>
    <row r="6" spans="1:10">
      <c r="A6" s="13">
        <v>2</v>
      </c>
      <c r="B6" s="371" t="s">
        <v>249</v>
      </c>
      <c r="C6" s="372">
        <v>75039</v>
      </c>
      <c r="D6" s="371" t="s">
        <v>171</v>
      </c>
      <c r="E6" s="373">
        <v>87855</v>
      </c>
      <c r="G6" s="371" t="s">
        <v>250</v>
      </c>
      <c r="H6" s="373">
        <v>85240</v>
      </c>
      <c r="I6" s="374" t="s">
        <v>474</v>
      </c>
      <c r="J6" s="373">
        <v>23940</v>
      </c>
    </row>
    <row r="7" spans="1:10">
      <c r="A7" s="13">
        <v>3</v>
      </c>
      <c r="B7" s="371" t="s">
        <v>253</v>
      </c>
      <c r="C7" s="372">
        <v>69079</v>
      </c>
      <c r="D7" s="374" t="s">
        <v>170</v>
      </c>
      <c r="E7" s="373">
        <v>33152</v>
      </c>
      <c r="G7" s="371" t="s">
        <v>11</v>
      </c>
      <c r="H7" s="373">
        <v>50335</v>
      </c>
      <c r="I7" s="374" t="s">
        <v>165</v>
      </c>
      <c r="J7" s="373">
        <v>19733</v>
      </c>
    </row>
    <row r="8" spans="1:10">
      <c r="A8" s="13">
        <v>4</v>
      </c>
      <c r="B8" s="371" t="s">
        <v>250</v>
      </c>
      <c r="C8" s="372">
        <v>41982</v>
      </c>
      <c r="D8" s="374" t="s">
        <v>165</v>
      </c>
      <c r="E8" s="373">
        <v>26490</v>
      </c>
      <c r="G8" s="371" t="s">
        <v>249</v>
      </c>
      <c r="H8" s="373">
        <v>46031</v>
      </c>
      <c r="I8" s="374" t="s">
        <v>173</v>
      </c>
      <c r="J8" s="373">
        <v>4144</v>
      </c>
    </row>
    <row r="9" spans="1:10">
      <c r="A9" s="13">
        <v>5</v>
      </c>
      <c r="B9" s="371" t="s">
        <v>390</v>
      </c>
      <c r="C9" s="372">
        <v>41281</v>
      </c>
      <c r="D9" s="550"/>
      <c r="E9" s="373"/>
      <c r="G9" s="371" t="s">
        <v>475</v>
      </c>
      <c r="H9" s="373">
        <v>30920</v>
      </c>
      <c r="I9" s="371"/>
      <c r="J9" s="373"/>
    </row>
    <row r="10" spans="1:10">
      <c r="A10" s="13">
        <v>6</v>
      </c>
      <c r="B10" s="371" t="s">
        <v>236</v>
      </c>
      <c r="C10" s="372">
        <v>40485</v>
      </c>
      <c r="D10" s="551"/>
      <c r="E10" s="373"/>
      <c r="G10" s="371" t="s">
        <v>390</v>
      </c>
      <c r="H10" s="373">
        <v>8575</v>
      </c>
      <c r="I10" s="371"/>
      <c r="J10" s="373"/>
    </row>
    <row r="11" spans="1:10">
      <c r="A11" s="13">
        <v>7</v>
      </c>
      <c r="B11" s="371" t="s">
        <v>388</v>
      </c>
      <c r="C11" s="372">
        <v>31942</v>
      </c>
      <c r="D11" s="371"/>
      <c r="E11" s="373"/>
      <c r="G11" s="371" t="s">
        <v>517</v>
      </c>
      <c r="H11" s="373">
        <v>6503</v>
      </c>
      <c r="I11" s="371"/>
      <c r="J11" s="373"/>
    </row>
    <row r="12" spans="1:10">
      <c r="A12" s="13">
        <v>8</v>
      </c>
      <c r="B12" s="371" t="s">
        <v>243</v>
      </c>
      <c r="C12" s="372">
        <v>27160</v>
      </c>
      <c r="D12" s="371"/>
      <c r="E12" s="373"/>
      <c r="G12" s="371" t="s">
        <v>271</v>
      </c>
      <c r="H12" s="373">
        <v>5674</v>
      </c>
      <c r="I12" s="371"/>
      <c r="J12" s="373"/>
    </row>
    <row r="13" spans="1:10">
      <c r="A13" s="13">
        <v>9</v>
      </c>
      <c r="B13" s="371" t="s">
        <v>480</v>
      </c>
      <c r="C13" s="372">
        <v>26363</v>
      </c>
      <c r="D13" s="371"/>
      <c r="E13" s="373"/>
      <c r="G13" s="371" t="s">
        <v>483</v>
      </c>
      <c r="H13" s="373">
        <v>861</v>
      </c>
      <c r="I13" s="371"/>
      <c r="J13" s="373"/>
    </row>
    <row r="14" spans="1:10">
      <c r="A14" s="13">
        <v>10</v>
      </c>
      <c r="B14" s="371" t="s">
        <v>518</v>
      </c>
      <c r="C14" s="372">
        <v>20083</v>
      </c>
      <c r="D14" s="371"/>
      <c r="E14" s="373"/>
      <c r="G14" s="371" t="s">
        <v>307</v>
      </c>
      <c r="H14" s="373">
        <v>414</v>
      </c>
      <c r="I14" s="371"/>
      <c r="J14" s="373"/>
    </row>
    <row r="15" spans="1:10">
      <c r="B15" s="371" t="s">
        <v>105</v>
      </c>
      <c r="C15" s="373">
        <f>C16-SUM(C5:C14)</f>
        <v>52981</v>
      </c>
      <c r="D15" s="371" t="s">
        <v>105</v>
      </c>
      <c r="E15" s="373">
        <f>E16-SUM(E5:E14)</f>
        <v>0</v>
      </c>
      <c r="G15" s="485" t="s">
        <v>428</v>
      </c>
      <c r="H15" s="373">
        <f>H16-SUM(H5:H14)</f>
        <v>0</v>
      </c>
      <c r="I15" s="371" t="s">
        <v>105</v>
      </c>
      <c r="J15" s="373">
        <f>J16-SUM(J5:J14)</f>
        <v>0</v>
      </c>
    </row>
    <row r="16" spans="1:10">
      <c r="B16" s="371" t="s">
        <v>106</v>
      </c>
      <c r="C16" s="373">
        <v>750526</v>
      </c>
      <c r="D16" s="371" t="s">
        <v>106</v>
      </c>
      <c r="E16" s="373">
        <v>251599</v>
      </c>
      <c r="G16" s="371" t="s">
        <v>106</v>
      </c>
      <c r="H16" s="373">
        <v>449600</v>
      </c>
      <c r="I16" s="371" t="s">
        <v>106</v>
      </c>
      <c r="J16" s="373">
        <v>111572</v>
      </c>
    </row>
    <row r="18" spans="1:10">
      <c r="B18" s="484" t="s">
        <v>429</v>
      </c>
      <c r="G18" s="55" t="s">
        <v>430</v>
      </c>
    </row>
    <row r="19" spans="1:10">
      <c r="B19" s="30" t="s">
        <v>101</v>
      </c>
      <c r="C19" s="369" t="s">
        <v>102</v>
      </c>
      <c r="D19" s="30" t="s">
        <v>103</v>
      </c>
      <c r="E19" s="369" t="s">
        <v>104</v>
      </c>
      <c r="G19" s="30" t="s">
        <v>101</v>
      </c>
      <c r="H19" s="369" t="s">
        <v>102</v>
      </c>
      <c r="I19" s="30" t="s">
        <v>103</v>
      </c>
      <c r="J19" s="369" t="s">
        <v>104</v>
      </c>
    </row>
    <row r="20" spans="1:10">
      <c r="A20" s="13">
        <v>1</v>
      </c>
      <c r="B20" s="486" t="s">
        <v>250</v>
      </c>
      <c r="C20" s="373">
        <v>7560504</v>
      </c>
      <c r="D20" s="371" t="s">
        <v>243</v>
      </c>
      <c r="E20" s="373">
        <v>14955720</v>
      </c>
      <c r="G20" s="371" t="s">
        <v>250</v>
      </c>
      <c r="H20" s="373">
        <v>764009</v>
      </c>
      <c r="I20" s="371" t="s">
        <v>243</v>
      </c>
      <c r="J20" s="373">
        <v>2147847</v>
      </c>
    </row>
    <row r="21" spans="1:10">
      <c r="A21" s="13">
        <v>2</v>
      </c>
      <c r="B21" s="486" t="s">
        <v>249</v>
      </c>
      <c r="C21" s="373">
        <v>6760084</v>
      </c>
      <c r="D21" s="371" t="s">
        <v>480</v>
      </c>
      <c r="E21" s="373">
        <v>2090468</v>
      </c>
      <c r="G21" s="371" t="s">
        <v>10</v>
      </c>
      <c r="H21" s="373">
        <v>588206</v>
      </c>
      <c r="I21" s="371" t="s">
        <v>480</v>
      </c>
      <c r="J21" s="373">
        <v>54893</v>
      </c>
    </row>
    <row r="22" spans="1:10">
      <c r="A22" s="13">
        <v>3</v>
      </c>
      <c r="B22" s="486" t="s">
        <v>243</v>
      </c>
      <c r="C22" s="373">
        <v>3073608</v>
      </c>
      <c r="D22" s="371" t="s">
        <v>473</v>
      </c>
      <c r="E22" s="373">
        <v>869907</v>
      </c>
      <c r="G22" s="371" t="s">
        <v>249</v>
      </c>
      <c r="H22" s="373">
        <v>572999</v>
      </c>
      <c r="I22" s="371" t="s">
        <v>473</v>
      </c>
      <c r="J22" s="373">
        <v>23303</v>
      </c>
    </row>
    <row r="23" spans="1:10">
      <c r="A23" s="13">
        <v>4</v>
      </c>
      <c r="B23" s="486" t="s">
        <v>10</v>
      </c>
      <c r="C23" s="373">
        <v>2481446</v>
      </c>
      <c r="D23" s="371" t="s">
        <v>478</v>
      </c>
      <c r="E23" s="373">
        <v>389226</v>
      </c>
      <c r="G23" s="371" t="s">
        <v>475</v>
      </c>
      <c r="H23" s="373">
        <v>318331</v>
      </c>
      <c r="I23" s="371" t="s">
        <v>260</v>
      </c>
      <c r="J23" s="373">
        <v>6311</v>
      </c>
    </row>
    <row r="24" spans="1:10">
      <c r="A24" s="13">
        <v>5</v>
      </c>
      <c r="B24" s="486" t="s">
        <v>475</v>
      </c>
      <c r="C24" s="373">
        <v>2394101</v>
      </c>
      <c r="D24" s="371" t="s">
        <v>482</v>
      </c>
      <c r="E24" s="373">
        <v>225056</v>
      </c>
      <c r="G24" s="371" t="s">
        <v>9</v>
      </c>
      <c r="H24" s="373">
        <v>272172</v>
      </c>
      <c r="I24" s="371" t="s">
        <v>10</v>
      </c>
      <c r="J24" s="373">
        <v>5101</v>
      </c>
    </row>
    <row r="25" spans="1:10">
      <c r="A25" s="13">
        <v>6</v>
      </c>
      <c r="B25" s="486" t="s">
        <v>9</v>
      </c>
      <c r="C25" s="373">
        <v>1557380</v>
      </c>
      <c r="D25" s="371" t="s">
        <v>481</v>
      </c>
      <c r="E25" s="373">
        <v>139114</v>
      </c>
      <c r="G25" s="371" t="s">
        <v>243</v>
      </c>
      <c r="H25" s="373">
        <v>202041</v>
      </c>
      <c r="I25" s="371" t="s">
        <v>250</v>
      </c>
      <c r="J25" s="373">
        <v>3220</v>
      </c>
    </row>
    <row r="26" spans="1:10">
      <c r="A26" s="13">
        <v>7</v>
      </c>
      <c r="B26" s="486" t="s">
        <v>261</v>
      </c>
      <c r="C26" s="373">
        <v>1183934</v>
      </c>
      <c r="D26" s="371" t="s">
        <v>10</v>
      </c>
      <c r="E26" s="373">
        <v>132102</v>
      </c>
      <c r="G26" s="371" t="s">
        <v>476</v>
      </c>
      <c r="H26" s="373">
        <v>76218</v>
      </c>
      <c r="I26" s="371" t="s">
        <v>481</v>
      </c>
      <c r="J26" s="373">
        <v>2837</v>
      </c>
    </row>
    <row r="27" spans="1:10">
      <c r="A27" s="13">
        <v>8</v>
      </c>
      <c r="B27" s="486" t="s">
        <v>274</v>
      </c>
      <c r="C27" s="373">
        <v>750940</v>
      </c>
      <c r="D27" s="371" t="s">
        <v>250</v>
      </c>
      <c r="E27" s="373">
        <v>15270</v>
      </c>
      <c r="G27" s="371" t="s">
        <v>390</v>
      </c>
      <c r="H27" s="373">
        <v>69715</v>
      </c>
      <c r="I27" s="371" t="s">
        <v>476</v>
      </c>
      <c r="J27" s="373">
        <v>1594</v>
      </c>
    </row>
    <row r="28" spans="1:10">
      <c r="A28" s="13">
        <v>9</v>
      </c>
      <c r="B28" s="486" t="s">
        <v>262</v>
      </c>
      <c r="C28" s="373">
        <v>724737</v>
      </c>
      <c r="D28" s="371" t="s">
        <v>267</v>
      </c>
      <c r="E28" s="373">
        <v>13197</v>
      </c>
      <c r="G28" s="371" t="s">
        <v>478</v>
      </c>
      <c r="H28" s="373">
        <v>54479</v>
      </c>
      <c r="I28" s="371" t="s">
        <v>388</v>
      </c>
      <c r="J28" s="373">
        <v>1085</v>
      </c>
    </row>
    <row r="29" spans="1:10">
      <c r="A29" s="13">
        <v>10</v>
      </c>
      <c r="B29" s="486" t="s">
        <v>251</v>
      </c>
      <c r="C29" s="373">
        <v>717247</v>
      </c>
      <c r="D29" s="371" t="s">
        <v>475</v>
      </c>
      <c r="E29" s="373">
        <v>8639</v>
      </c>
      <c r="G29" s="371" t="s">
        <v>388</v>
      </c>
      <c r="H29" s="373">
        <v>39718</v>
      </c>
      <c r="I29" s="371" t="s">
        <v>484</v>
      </c>
      <c r="J29" s="373">
        <v>606</v>
      </c>
    </row>
    <row r="30" spans="1:10">
      <c r="B30" s="371" t="s">
        <v>105</v>
      </c>
      <c r="C30" s="373">
        <f>C31-SUM(C20:C29)</f>
        <v>7892470</v>
      </c>
      <c r="D30" s="371" t="s">
        <v>431</v>
      </c>
      <c r="E30" s="373">
        <f>E31-SUM(E20:E29)</f>
        <v>4043</v>
      </c>
      <c r="G30" s="371" t="s">
        <v>428</v>
      </c>
      <c r="H30" s="373">
        <f>H31-SUM(H20:H29)</f>
        <v>229741</v>
      </c>
      <c r="I30" s="371" t="s">
        <v>105</v>
      </c>
      <c r="J30" s="373">
        <f>J31-SUM(J20:J29)</f>
        <v>0</v>
      </c>
    </row>
    <row r="31" spans="1:10">
      <c r="B31" s="371" t="s">
        <v>106</v>
      </c>
      <c r="C31" s="373">
        <v>35096451</v>
      </c>
      <c r="D31" s="371" t="s">
        <v>106</v>
      </c>
      <c r="E31" s="373">
        <v>18842742</v>
      </c>
      <c r="G31" s="371" t="s">
        <v>106</v>
      </c>
      <c r="H31" s="373">
        <v>3187629</v>
      </c>
      <c r="I31" s="371" t="s">
        <v>106</v>
      </c>
      <c r="J31" s="373">
        <v>2246797</v>
      </c>
    </row>
    <row r="32" spans="1:10">
      <c r="B32" s="376"/>
      <c r="D32" s="376"/>
      <c r="G32" s="376"/>
      <c r="I32" s="376"/>
    </row>
    <row r="33" spans="1:10">
      <c r="B33" s="55" t="s">
        <v>432</v>
      </c>
      <c r="D33" s="376"/>
      <c r="G33" s="55" t="s">
        <v>433</v>
      </c>
      <c r="I33" s="376"/>
    </row>
    <row r="34" spans="1:10">
      <c r="B34" s="371" t="s">
        <v>101</v>
      </c>
      <c r="C34" s="373" t="s">
        <v>102</v>
      </c>
      <c r="D34" s="371" t="s">
        <v>103</v>
      </c>
      <c r="E34" s="369" t="s">
        <v>104</v>
      </c>
      <c r="G34" s="371" t="s">
        <v>101</v>
      </c>
      <c r="H34" s="373" t="s">
        <v>102</v>
      </c>
      <c r="I34" s="371" t="s">
        <v>103</v>
      </c>
      <c r="J34" s="369" t="s">
        <v>104</v>
      </c>
    </row>
    <row r="35" spans="1:10">
      <c r="A35" s="13">
        <v>1</v>
      </c>
      <c r="B35" s="371" t="s">
        <v>250</v>
      </c>
      <c r="C35" s="373">
        <v>401531</v>
      </c>
      <c r="D35" s="371" t="s">
        <v>184</v>
      </c>
      <c r="E35" s="373">
        <v>474341</v>
      </c>
      <c r="G35" s="371" t="s">
        <v>249</v>
      </c>
      <c r="H35" s="373">
        <v>1049059</v>
      </c>
      <c r="I35" s="371" t="s">
        <v>243</v>
      </c>
      <c r="J35" s="373">
        <v>82915</v>
      </c>
    </row>
    <row r="36" spans="1:10">
      <c r="A36" s="13">
        <v>2</v>
      </c>
      <c r="B36" s="371" t="s">
        <v>243</v>
      </c>
      <c r="C36" s="373">
        <v>118872</v>
      </c>
      <c r="D36" s="371" t="s">
        <v>189</v>
      </c>
      <c r="E36" s="373">
        <v>139401</v>
      </c>
      <c r="G36" s="371" t="s">
        <v>250</v>
      </c>
      <c r="H36" s="373">
        <v>935033</v>
      </c>
      <c r="I36" s="371" t="s">
        <v>388</v>
      </c>
      <c r="J36" s="373">
        <v>51419</v>
      </c>
    </row>
    <row r="37" spans="1:10">
      <c r="A37" s="13">
        <v>3</v>
      </c>
      <c r="B37" s="371" t="s">
        <v>519</v>
      </c>
      <c r="C37" s="373">
        <v>48709</v>
      </c>
      <c r="D37" s="371" t="s">
        <v>169</v>
      </c>
      <c r="E37" s="373">
        <v>98694</v>
      </c>
      <c r="G37" s="371" t="s">
        <v>476</v>
      </c>
      <c r="H37" s="373">
        <v>632260</v>
      </c>
      <c r="I37" s="371" t="s">
        <v>12</v>
      </c>
      <c r="J37" s="373">
        <v>24228</v>
      </c>
    </row>
    <row r="38" spans="1:10">
      <c r="A38" s="13">
        <v>4</v>
      </c>
      <c r="B38" s="371" t="s">
        <v>478</v>
      </c>
      <c r="C38" s="373">
        <v>45203</v>
      </c>
      <c r="D38" s="371" t="s">
        <v>474</v>
      </c>
      <c r="E38" s="373">
        <v>1530</v>
      </c>
      <c r="G38" s="371" t="s">
        <v>243</v>
      </c>
      <c r="H38" s="373">
        <v>456360</v>
      </c>
      <c r="I38" s="371" t="s">
        <v>11</v>
      </c>
      <c r="J38" s="373">
        <v>23302</v>
      </c>
    </row>
    <row r="39" spans="1:10">
      <c r="A39" s="13">
        <v>5</v>
      </c>
      <c r="B39" s="371" t="s">
        <v>267</v>
      </c>
      <c r="C39" s="373">
        <v>36022</v>
      </c>
      <c r="D39" s="371" t="s">
        <v>472</v>
      </c>
      <c r="E39" s="373">
        <v>223</v>
      </c>
      <c r="G39" s="371" t="s">
        <v>475</v>
      </c>
      <c r="H39" s="373">
        <v>439431</v>
      </c>
      <c r="I39" s="371" t="s">
        <v>10</v>
      </c>
      <c r="J39" s="373">
        <v>18871</v>
      </c>
    </row>
    <row r="40" spans="1:10">
      <c r="A40" s="13">
        <v>6</v>
      </c>
      <c r="B40" s="371" t="s">
        <v>10</v>
      </c>
      <c r="C40" s="373">
        <v>28562</v>
      </c>
      <c r="D40" s="371"/>
      <c r="E40" s="373"/>
      <c r="G40" s="371" t="s">
        <v>478</v>
      </c>
      <c r="H40" s="373">
        <v>411827</v>
      </c>
      <c r="I40" s="371" t="s">
        <v>475</v>
      </c>
      <c r="J40" s="373">
        <v>5515</v>
      </c>
    </row>
    <row r="41" spans="1:10">
      <c r="A41" s="13">
        <v>7</v>
      </c>
      <c r="B41" s="371" t="s">
        <v>475</v>
      </c>
      <c r="C41" s="373">
        <v>23430</v>
      </c>
      <c r="D41" s="371"/>
      <c r="E41" s="373"/>
      <c r="G41" s="371" t="s">
        <v>390</v>
      </c>
      <c r="H41" s="373">
        <v>239210</v>
      </c>
      <c r="I41" s="371" t="s">
        <v>476</v>
      </c>
      <c r="J41" s="373">
        <v>5419</v>
      </c>
    </row>
    <row r="42" spans="1:10">
      <c r="A42" s="13">
        <v>8</v>
      </c>
      <c r="B42" s="371" t="s">
        <v>249</v>
      </c>
      <c r="C42" s="373">
        <v>16672</v>
      </c>
      <c r="D42" s="371"/>
      <c r="E42" s="373"/>
      <c r="G42" s="371" t="s">
        <v>340</v>
      </c>
      <c r="H42" s="373">
        <v>168441</v>
      </c>
      <c r="I42" s="371" t="s">
        <v>481</v>
      </c>
      <c r="J42" s="373">
        <v>3857</v>
      </c>
    </row>
    <row r="43" spans="1:10">
      <c r="A43" s="13">
        <v>9</v>
      </c>
      <c r="B43" s="371" t="s">
        <v>390</v>
      </c>
      <c r="C43" s="373">
        <v>13994</v>
      </c>
      <c r="D43" s="371"/>
      <c r="E43" s="373"/>
      <c r="G43" s="371" t="s">
        <v>9</v>
      </c>
      <c r="H43" s="373">
        <v>137903</v>
      </c>
      <c r="I43" s="371" t="s">
        <v>250</v>
      </c>
      <c r="J43" s="373">
        <v>2550</v>
      </c>
    </row>
    <row r="44" spans="1:10">
      <c r="A44" s="13">
        <v>10</v>
      </c>
      <c r="B44" s="371" t="s">
        <v>485</v>
      </c>
      <c r="C44" s="373">
        <v>9468</v>
      </c>
      <c r="D44" s="371"/>
      <c r="E44" s="373"/>
      <c r="G44" s="371" t="s">
        <v>236</v>
      </c>
      <c r="H44" s="373">
        <v>65636</v>
      </c>
      <c r="I44" s="371" t="s">
        <v>473</v>
      </c>
      <c r="J44" s="373">
        <v>96</v>
      </c>
    </row>
    <row r="45" spans="1:10">
      <c r="B45" s="371" t="s">
        <v>105</v>
      </c>
      <c r="C45" s="373">
        <f>C46-SUM(C34:C44)</f>
        <v>25757</v>
      </c>
      <c r="D45" s="371" t="s">
        <v>434</v>
      </c>
      <c r="E45" s="373">
        <f>E46-SUM(E34:E44)</f>
        <v>0</v>
      </c>
      <c r="G45" s="371" t="s">
        <v>435</v>
      </c>
      <c r="H45" s="373">
        <f>H46-SUM(H34:H44)</f>
        <v>495473</v>
      </c>
      <c r="I45" s="371" t="s">
        <v>436</v>
      </c>
      <c r="J45" s="373">
        <f>J46-SUM(J34:J44)</f>
        <v>0</v>
      </c>
    </row>
    <row r="46" spans="1:10">
      <c r="B46" s="371" t="s">
        <v>106</v>
      </c>
      <c r="C46" s="373">
        <v>768220</v>
      </c>
      <c r="D46" s="371" t="s">
        <v>106</v>
      </c>
      <c r="E46" s="373">
        <v>714189</v>
      </c>
      <c r="G46" s="371" t="s">
        <v>106</v>
      </c>
      <c r="H46" s="373">
        <v>5030633</v>
      </c>
      <c r="I46" s="371" t="s">
        <v>106</v>
      </c>
      <c r="J46" s="373">
        <v>218172</v>
      </c>
    </row>
    <row r="47" spans="1:10">
      <c r="B47" s="376"/>
      <c r="D47" s="376"/>
      <c r="G47" s="376"/>
      <c r="I47" s="376"/>
    </row>
    <row r="48" spans="1:10">
      <c r="B48" s="55" t="s">
        <v>437</v>
      </c>
      <c r="G48" s="270" t="s">
        <v>438</v>
      </c>
    </row>
    <row r="49" spans="1:10">
      <c r="B49" s="30" t="s">
        <v>101</v>
      </c>
      <c r="C49" s="369" t="s">
        <v>102</v>
      </c>
      <c r="D49" s="30" t="s">
        <v>103</v>
      </c>
      <c r="E49" s="369" t="s">
        <v>104</v>
      </c>
      <c r="G49" s="30" t="s">
        <v>101</v>
      </c>
      <c r="H49" s="369" t="s">
        <v>102</v>
      </c>
      <c r="I49" s="30" t="s">
        <v>103</v>
      </c>
      <c r="J49" s="369" t="s">
        <v>104</v>
      </c>
    </row>
    <row r="50" spans="1:10">
      <c r="A50" s="13">
        <v>1</v>
      </c>
      <c r="B50" s="371" t="s">
        <v>260</v>
      </c>
      <c r="C50" s="373">
        <v>637232</v>
      </c>
      <c r="D50" s="371" t="s">
        <v>243</v>
      </c>
      <c r="E50" s="373">
        <v>1433852</v>
      </c>
      <c r="G50" s="374" t="s">
        <v>262</v>
      </c>
      <c r="H50" s="373">
        <v>35926</v>
      </c>
      <c r="I50" s="374" t="s">
        <v>472</v>
      </c>
      <c r="J50" s="373">
        <v>2837</v>
      </c>
    </row>
    <row r="51" spans="1:10">
      <c r="A51" s="13">
        <v>2</v>
      </c>
      <c r="B51" s="371" t="s">
        <v>250</v>
      </c>
      <c r="C51" s="373">
        <v>330315</v>
      </c>
      <c r="D51" s="371" t="s">
        <v>481</v>
      </c>
      <c r="E51" s="373">
        <v>250741</v>
      </c>
      <c r="G51" s="374" t="s">
        <v>250</v>
      </c>
      <c r="H51" s="373">
        <v>20625</v>
      </c>
      <c r="I51" s="374" t="s">
        <v>169</v>
      </c>
      <c r="J51" s="373">
        <v>2072</v>
      </c>
    </row>
    <row r="52" spans="1:10">
      <c r="A52" s="13">
        <v>3</v>
      </c>
      <c r="B52" s="371" t="s">
        <v>476</v>
      </c>
      <c r="C52" s="373">
        <v>281989</v>
      </c>
      <c r="D52" s="371" t="s">
        <v>484</v>
      </c>
      <c r="E52" s="373">
        <v>249825</v>
      </c>
      <c r="G52" s="374" t="s">
        <v>390</v>
      </c>
      <c r="H52" s="373">
        <v>7810</v>
      </c>
      <c r="I52" s="374" t="s">
        <v>28</v>
      </c>
      <c r="J52" s="373">
        <v>144</v>
      </c>
    </row>
    <row r="53" spans="1:10">
      <c r="A53" s="13">
        <v>4</v>
      </c>
      <c r="B53" s="371" t="s">
        <v>249</v>
      </c>
      <c r="C53" s="373">
        <v>275965</v>
      </c>
      <c r="D53" s="371" t="s">
        <v>477</v>
      </c>
      <c r="E53" s="373">
        <v>208607</v>
      </c>
      <c r="G53" s="374" t="s">
        <v>243</v>
      </c>
      <c r="H53" s="373">
        <v>6025</v>
      </c>
      <c r="I53" s="374"/>
      <c r="J53" s="373"/>
    </row>
    <row r="54" spans="1:10">
      <c r="A54" s="13">
        <v>5</v>
      </c>
      <c r="B54" s="371" t="s">
        <v>243</v>
      </c>
      <c r="C54" s="373">
        <v>244406</v>
      </c>
      <c r="D54" s="371" t="s">
        <v>475</v>
      </c>
      <c r="E54" s="373">
        <v>96111</v>
      </c>
      <c r="G54" s="374" t="s">
        <v>521</v>
      </c>
      <c r="H54" s="373">
        <v>4303</v>
      </c>
      <c r="I54" s="374"/>
      <c r="J54" s="373"/>
    </row>
    <row r="55" spans="1:10">
      <c r="A55" s="13">
        <v>6</v>
      </c>
      <c r="B55" s="371" t="s">
        <v>475</v>
      </c>
      <c r="C55" s="373">
        <v>215428</v>
      </c>
      <c r="D55" s="371" t="s">
        <v>485</v>
      </c>
      <c r="E55" s="373">
        <v>85272</v>
      </c>
      <c r="G55" s="374" t="s">
        <v>292</v>
      </c>
      <c r="H55" s="373">
        <v>1913</v>
      </c>
      <c r="I55" s="374"/>
      <c r="J55" s="373"/>
    </row>
    <row r="56" spans="1:10">
      <c r="A56" s="13">
        <v>7</v>
      </c>
      <c r="B56" s="371" t="s">
        <v>251</v>
      </c>
      <c r="C56" s="373">
        <v>156838</v>
      </c>
      <c r="D56" s="371" t="s">
        <v>388</v>
      </c>
      <c r="E56" s="373">
        <v>71884</v>
      </c>
      <c r="G56" s="374" t="s">
        <v>251</v>
      </c>
      <c r="H56" s="373">
        <v>1753</v>
      </c>
      <c r="I56" s="374"/>
      <c r="J56" s="373"/>
    </row>
    <row r="57" spans="1:10">
      <c r="A57" s="13">
        <v>8</v>
      </c>
      <c r="B57" s="371" t="s">
        <v>267</v>
      </c>
      <c r="C57" s="373">
        <v>134204</v>
      </c>
      <c r="D57" s="371" t="s">
        <v>12</v>
      </c>
      <c r="E57" s="373">
        <v>30826</v>
      </c>
      <c r="G57" s="374" t="s">
        <v>488</v>
      </c>
      <c r="H57" s="373">
        <v>414</v>
      </c>
      <c r="I57" s="374"/>
      <c r="J57" s="373"/>
    </row>
    <row r="58" spans="1:10">
      <c r="A58" s="13">
        <v>9</v>
      </c>
      <c r="B58" s="371" t="s">
        <v>390</v>
      </c>
      <c r="C58" s="373">
        <v>78769</v>
      </c>
      <c r="D58" s="371" t="s">
        <v>473</v>
      </c>
      <c r="E58" s="373">
        <v>14791</v>
      </c>
      <c r="G58" s="374" t="s">
        <v>479</v>
      </c>
      <c r="H58" s="373">
        <v>32</v>
      </c>
      <c r="I58" s="374"/>
      <c r="J58" s="373"/>
    </row>
    <row r="59" spans="1:10">
      <c r="A59" s="13">
        <v>10</v>
      </c>
      <c r="B59" s="371" t="s">
        <v>274</v>
      </c>
      <c r="C59" s="373">
        <v>56583</v>
      </c>
      <c r="D59" s="371" t="s">
        <v>520</v>
      </c>
      <c r="E59" s="373">
        <v>287</v>
      </c>
      <c r="G59" s="374"/>
      <c r="H59" s="373"/>
      <c r="I59" s="374"/>
      <c r="J59" s="373"/>
    </row>
    <row r="60" spans="1:10">
      <c r="B60" s="371" t="s">
        <v>439</v>
      </c>
      <c r="C60" s="373">
        <f>C61-SUM(C49:C59)</f>
        <v>381991</v>
      </c>
      <c r="D60" s="371" t="s">
        <v>105</v>
      </c>
      <c r="E60" s="373">
        <f>E61-SUM(E49:E59)</f>
        <v>223</v>
      </c>
      <c r="G60" s="374" t="s">
        <v>440</v>
      </c>
      <c r="H60" s="373">
        <f>H61-SUM(H49:H59)</f>
        <v>0</v>
      </c>
      <c r="I60" s="371" t="s">
        <v>105</v>
      </c>
      <c r="J60" s="373">
        <f>J61-SUM(J49:J59)</f>
        <v>0</v>
      </c>
    </row>
    <row r="61" spans="1:10">
      <c r="B61" s="371" t="s">
        <v>106</v>
      </c>
      <c r="C61" s="373">
        <v>2793720</v>
      </c>
      <c r="D61" s="371" t="s">
        <v>106</v>
      </c>
      <c r="E61" s="373">
        <v>2442419</v>
      </c>
      <c r="G61" s="371" t="s">
        <v>106</v>
      </c>
      <c r="H61" s="373">
        <v>78801</v>
      </c>
      <c r="I61" s="371" t="s">
        <v>106</v>
      </c>
      <c r="J61" s="373">
        <v>5053</v>
      </c>
    </row>
    <row r="63" spans="1:10">
      <c r="B63" s="484" t="s">
        <v>406</v>
      </c>
      <c r="G63" s="484" t="s">
        <v>441</v>
      </c>
    </row>
    <row r="64" spans="1:10">
      <c r="B64" s="30" t="s">
        <v>101</v>
      </c>
      <c r="C64" s="369" t="s">
        <v>102</v>
      </c>
      <c r="D64" s="30" t="s">
        <v>103</v>
      </c>
      <c r="E64" s="369" t="s">
        <v>104</v>
      </c>
      <c r="G64" s="30" t="s">
        <v>101</v>
      </c>
      <c r="H64" s="369" t="s">
        <v>102</v>
      </c>
      <c r="I64" s="30" t="s">
        <v>103</v>
      </c>
      <c r="J64" s="369" t="s">
        <v>104</v>
      </c>
    </row>
    <row r="65" spans="1:10">
      <c r="A65" s="13">
        <v>1</v>
      </c>
      <c r="B65" s="371" t="s">
        <v>388</v>
      </c>
      <c r="C65" s="373">
        <v>23398</v>
      </c>
      <c r="D65" s="371" t="s">
        <v>169</v>
      </c>
      <c r="E65" s="373">
        <v>35768</v>
      </c>
      <c r="G65" s="371" t="s">
        <v>250</v>
      </c>
      <c r="H65" s="373">
        <v>3932704</v>
      </c>
      <c r="I65" s="371" t="s">
        <v>388</v>
      </c>
      <c r="J65" s="373">
        <v>4572108</v>
      </c>
    </row>
    <row r="66" spans="1:10">
      <c r="A66" s="13">
        <v>2</v>
      </c>
      <c r="B66" s="371" t="s">
        <v>486</v>
      </c>
      <c r="C66" s="373">
        <v>16513</v>
      </c>
      <c r="D66" s="371" t="s">
        <v>522</v>
      </c>
      <c r="E66" s="373">
        <v>765</v>
      </c>
      <c r="G66" s="371" t="s">
        <v>243</v>
      </c>
      <c r="H66" s="373">
        <v>1583393</v>
      </c>
      <c r="I66" s="371" t="s">
        <v>243</v>
      </c>
      <c r="J66" s="373">
        <v>585112</v>
      </c>
    </row>
    <row r="67" spans="1:10">
      <c r="A67" s="13">
        <v>3</v>
      </c>
      <c r="B67" s="371" t="s">
        <v>475</v>
      </c>
      <c r="C67" s="373">
        <v>14027</v>
      </c>
      <c r="D67" s="371" t="s">
        <v>523</v>
      </c>
      <c r="E67" s="373">
        <v>96</v>
      </c>
      <c r="G67" s="371" t="s">
        <v>249</v>
      </c>
      <c r="H67" s="373">
        <v>1242877</v>
      </c>
      <c r="I67" s="371" t="s">
        <v>481</v>
      </c>
      <c r="J67" s="373">
        <v>525391</v>
      </c>
    </row>
    <row r="68" spans="1:10">
      <c r="A68" s="13">
        <v>4</v>
      </c>
      <c r="B68" s="371" t="s">
        <v>260</v>
      </c>
      <c r="C68" s="373">
        <v>7045</v>
      </c>
      <c r="D68" s="371" t="s">
        <v>28</v>
      </c>
      <c r="E68" s="373">
        <v>32</v>
      </c>
      <c r="G68" s="371" t="s">
        <v>478</v>
      </c>
      <c r="H68" s="373">
        <v>793402</v>
      </c>
      <c r="I68" s="371" t="s">
        <v>250</v>
      </c>
      <c r="J68" s="373">
        <v>56348</v>
      </c>
    </row>
    <row r="69" spans="1:10">
      <c r="A69" s="13">
        <v>5</v>
      </c>
      <c r="B69" s="371" t="s">
        <v>476</v>
      </c>
      <c r="C69" s="373">
        <v>6758</v>
      </c>
      <c r="D69" s="371"/>
      <c r="E69" s="373"/>
      <c r="G69" s="371" t="s">
        <v>475</v>
      </c>
      <c r="H69" s="373">
        <v>781544</v>
      </c>
      <c r="I69" s="371" t="s">
        <v>473</v>
      </c>
      <c r="J69" s="373">
        <v>36277</v>
      </c>
    </row>
    <row r="70" spans="1:10">
      <c r="A70" s="13">
        <v>6</v>
      </c>
      <c r="B70" s="371" t="s">
        <v>390</v>
      </c>
      <c r="C70" s="373">
        <v>1913</v>
      </c>
      <c r="D70" s="371"/>
      <c r="E70" s="373"/>
      <c r="G70" s="371" t="s">
        <v>9</v>
      </c>
      <c r="H70" s="373">
        <v>384063</v>
      </c>
      <c r="I70" s="371" t="s">
        <v>476</v>
      </c>
      <c r="J70" s="373">
        <v>28244</v>
      </c>
    </row>
    <row r="71" spans="1:10">
      <c r="A71" s="13">
        <v>7</v>
      </c>
      <c r="B71" s="371"/>
      <c r="C71" s="373"/>
      <c r="D71" s="371"/>
      <c r="E71" s="373"/>
      <c r="G71" s="371" t="s">
        <v>11</v>
      </c>
      <c r="H71" s="373">
        <v>269396</v>
      </c>
      <c r="I71" s="371" t="s">
        <v>9</v>
      </c>
      <c r="J71" s="373">
        <v>17374</v>
      </c>
    </row>
    <row r="72" spans="1:10">
      <c r="A72" s="13">
        <v>8</v>
      </c>
      <c r="B72" s="371"/>
      <c r="C72" s="373"/>
      <c r="D72" s="371"/>
      <c r="E72" s="373"/>
      <c r="G72" s="371" t="s">
        <v>251</v>
      </c>
      <c r="H72" s="373">
        <v>263500</v>
      </c>
      <c r="I72" s="371" t="s">
        <v>480</v>
      </c>
      <c r="J72" s="373">
        <v>13356</v>
      </c>
    </row>
    <row r="73" spans="1:10">
      <c r="A73" s="13">
        <v>9</v>
      </c>
      <c r="B73" s="371"/>
      <c r="C73" s="373"/>
      <c r="D73" s="371"/>
      <c r="E73" s="373"/>
      <c r="G73" s="371" t="s">
        <v>260</v>
      </c>
      <c r="H73" s="373">
        <v>253428</v>
      </c>
      <c r="I73" s="371" t="s">
        <v>10</v>
      </c>
      <c r="J73" s="373">
        <v>9851</v>
      </c>
    </row>
    <row r="74" spans="1:10">
      <c r="A74" s="13">
        <v>10</v>
      </c>
      <c r="B74" s="371"/>
      <c r="C74" s="373"/>
      <c r="D74" s="371"/>
      <c r="E74" s="373"/>
      <c r="G74" s="371" t="s">
        <v>480</v>
      </c>
      <c r="H74" s="373">
        <v>243832</v>
      </c>
      <c r="I74" s="371" t="s">
        <v>261</v>
      </c>
      <c r="J74" s="373">
        <v>7746</v>
      </c>
    </row>
    <row r="75" spans="1:10">
      <c r="B75" s="371" t="s">
        <v>105</v>
      </c>
      <c r="C75" s="373">
        <f>C76-SUM(C64:C74)</f>
        <v>0</v>
      </c>
      <c r="D75" s="371" t="s">
        <v>105</v>
      </c>
      <c r="E75" s="373">
        <f>E76-SUM(E64:E74)</f>
        <v>0</v>
      </c>
      <c r="G75" s="371" t="s">
        <v>105</v>
      </c>
      <c r="H75" s="373">
        <f>H76-SUM(H64:H74)</f>
        <v>1825185</v>
      </c>
      <c r="I75" s="371" t="s">
        <v>442</v>
      </c>
      <c r="J75" s="373">
        <f>J76-SUM(J64:J74)</f>
        <v>11431</v>
      </c>
    </row>
    <row r="76" spans="1:10">
      <c r="B76" s="371" t="s">
        <v>106</v>
      </c>
      <c r="C76" s="373">
        <v>69654</v>
      </c>
      <c r="D76" s="371" t="s">
        <v>106</v>
      </c>
      <c r="E76" s="373">
        <v>36661</v>
      </c>
      <c r="G76" s="371" t="s">
        <v>106</v>
      </c>
      <c r="H76" s="373">
        <v>11573324</v>
      </c>
      <c r="I76" s="371" t="s">
        <v>106</v>
      </c>
      <c r="J76" s="373">
        <v>5863238</v>
      </c>
    </row>
    <row r="78" spans="1:10">
      <c r="B78" s="55" t="s">
        <v>443</v>
      </c>
      <c r="G78" s="484" t="s">
        <v>444</v>
      </c>
    </row>
    <row r="79" spans="1:10">
      <c r="B79" s="30" t="s">
        <v>101</v>
      </c>
      <c r="C79" s="369" t="s">
        <v>102</v>
      </c>
      <c r="D79" s="30" t="s">
        <v>103</v>
      </c>
      <c r="E79" s="369" t="s">
        <v>104</v>
      </c>
      <c r="G79" s="30" t="s">
        <v>101</v>
      </c>
      <c r="H79" s="369" t="s">
        <v>102</v>
      </c>
      <c r="I79" s="30" t="s">
        <v>103</v>
      </c>
      <c r="J79" s="369" t="s">
        <v>104</v>
      </c>
    </row>
    <row r="80" spans="1:10">
      <c r="A80" s="13">
        <v>1</v>
      </c>
      <c r="B80" s="371" t="s">
        <v>250</v>
      </c>
      <c r="C80" s="373">
        <v>576792</v>
      </c>
      <c r="D80" s="371" t="s">
        <v>243</v>
      </c>
      <c r="E80" s="373">
        <v>253557</v>
      </c>
      <c r="G80" s="371" t="s">
        <v>250</v>
      </c>
      <c r="H80" s="373">
        <v>520241</v>
      </c>
      <c r="I80" s="371" t="s">
        <v>388</v>
      </c>
      <c r="J80" s="373">
        <v>35033</v>
      </c>
    </row>
    <row r="81" spans="1:10">
      <c r="A81" s="13">
        <v>2</v>
      </c>
      <c r="B81" s="371" t="s">
        <v>475</v>
      </c>
      <c r="C81" s="373">
        <v>383455</v>
      </c>
      <c r="D81" s="371" t="s">
        <v>10</v>
      </c>
      <c r="E81" s="373">
        <v>153620</v>
      </c>
      <c r="G81" s="371" t="s">
        <v>475</v>
      </c>
      <c r="H81" s="373">
        <v>468507</v>
      </c>
      <c r="I81" s="371" t="s">
        <v>243</v>
      </c>
      <c r="J81" s="373">
        <v>21805</v>
      </c>
    </row>
    <row r="82" spans="1:10">
      <c r="A82" s="13">
        <v>3</v>
      </c>
      <c r="B82" s="371" t="s">
        <v>476</v>
      </c>
      <c r="C82" s="373">
        <v>184093</v>
      </c>
      <c r="D82" s="371" t="s">
        <v>473</v>
      </c>
      <c r="E82" s="373">
        <v>17468</v>
      </c>
      <c r="G82" s="371" t="s">
        <v>476</v>
      </c>
      <c r="H82" s="373">
        <v>373127</v>
      </c>
      <c r="I82" s="371" t="s">
        <v>481</v>
      </c>
      <c r="J82" s="373">
        <v>17660</v>
      </c>
    </row>
    <row r="83" spans="1:10">
      <c r="A83" s="13">
        <v>4</v>
      </c>
      <c r="B83" s="371" t="s">
        <v>249</v>
      </c>
      <c r="C83" s="373">
        <v>125820</v>
      </c>
      <c r="D83" s="371" t="s">
        <v>480</v>
      </c>
      <c r="E83" s="373">
        <v>1019</v>
      </c>
      <c r="G83" s="371" t="s">
        <v>10</v>
      </c>
      <c r="H83" s="373">
        <v>237934</v>
      </c>
      <c r="I83" s="371" t="s">
        <v>12</v>
      </c>
      <c r="J83" s="373">
        <v>12305</v>
      </c>
    </row>
    <row r="84" spans="1:10">
      <c r="A84" s="13">
        <v>5</v>
      </c>
      <c r="B84" s="371" t="s">
        <v>6</v>
      </c>
      <c r="C84" s="373">
        <v>113166</v>
      </c>
      <c r="D84" s="371" t="s">
        <v>250</v>
      </c>
      <c r="E84" s="373">
        <v>128</v>
      </c>
      <c r="G84" s="371" t="s">
        <v>6</v>
      </c>
      <c r="H84" s="373">
        <v>200255</v>
      </c>
      <c r="I84" s="371" t="s">
        <v>473</v>
      </c>
      <c r="J84" s="373">
        <v>5608</v>
      </c>
    </row>
    <row r="85" spans="1:10">
      <c r="A85" s="13">
        <v>6</v>
      </c>
      <c r="B85" s="371" t="s">
        <v>10</v>
      </c>
      <c r="C85" s="373">
        <v>103348</v>
      </c>
      <c r="D85" s="371" t="s">
        <v>524</v>
      </c>
      <c r="E85" s="373">
        <v>32</v>
      </c>
      <c r="G85" s="371" t="s">
        <v>251</v>
      </c>
      <c r="H85" s="373">
        <v>194261</v>
      </c>
      <c r="I85" s="371" t="s">
        <v>475</v>
      </c>
      <c r="J85" s="373">
        <v>1243</v>
      </c>
    </row>
    <row r="86" spans="1:10">
      <c r="A86" s="13">
        <v>7</v>
      </c>
      <c r="B86" s="371" t="s">
        <v>243</v>
      </c>
      <c r="C86" s="373">
        <v>98565</v>
      </c>
      <c r="D86" s="371"/>
      <c r="E86" s="373"/>
      <c r="G86" s="371" t="s">
        <v>260</v>
      </c>
      <c r="H86" s="373">
        <v>97450</v>
      </c>
      <c r="I86" s="371" t="s">
        <v>250</v>
      </c>
      <c r="J86" s="373">
        <v>574</v>
      </c>
    </row>
    <row r="87" spans="1:10">
      <c r="A87" s="13">
        <v>8</v>
      </c>
      <c r="B87" s="371" t="s">
        <v>478</v>
      </c>
      <c r="C87" s="373">
        <v>50909</v>
      </c>
      <c r="D87" s="371"/>
      <c r="E87" s="373"/>
      <c r="G87" s="371" t="s">
        <v>249</v>
      </c>
      <c r="H87" s="373">
        <v>78227</v>
      </c>
      <c r="I87" s="371" t="s">
        <v>260</v>
      </c>
      <c r="J87" s="373">
        <v>542</v>
      </c>
    </row>
    <row r="88" spans="1:10">
      <c r="A88" s="13">
        <v>9</v>
      </c>
      <c r="B88" s="371" t="s">
        <v>388</v>
      </c>
      <c r="C88" s="373">
        <v>44915</v>
      </c>
      <c r="D88" s="371"/>
      <c r="E88" s="373"/>
      <c r="G88" s="371" t="s">
        <v>243</v>
      </c>
      <c r="H88" s="373">
        <v>72297</v>
      </c>
      <c r="I88" s="371" t="s">
        <v>480</v>
      </c>
      <c r="J88" s="373">
        <v>128</v>
      </c>
    </row>
    <row r="89" spans="1:10">
      <c r="A89" s="13">
        <v>10</v>
      </c>
      <c r="B89" s="371" t="s">
        <v>390</v>
      </c>
      <c r="C89" s="373">
        <v>28372</v>
      </c>
      <c r="D89" s="371"/>
      <c r="E89" s="373"/>
      <c r="G89" s="371" t="s">
        <v>271</v>
      </c>
      <c r="H89" s="373">
        <v>70513</v>
      </c>
      <c r="I89" s="371" t="s">
        <v>236</v>
      </c>
      <c r="J89" s="373">
        <v>26</v>
      </c>
    </row>
    <row r="90" spans="1:10">
      <c r="B90" s="371" t="s">
        <v>105</v>
      </c>
      <c r="C90" s="373">
        <f>C91-SUM(C80:C89)</f>
        <v>261489</v>
      </c>
      <c r="D90" s="371" t="s">
        <v>105</v>
      </c>
      <c r="E90" s="373">
        <f>E91-SUM(E79:E89)</f>
        <v>0</v>
      </c>
      <c r="G90" s="371" t="s">
        <v>445</v>
      </c>
      <c r="H90" s="373">
        <f>H91-SUM(H79:H89)</f>
        <v>458368</v>
      </c>
      <c r="I90" s="371" t="s">
        <v>105</v>
      </c>
      <c r="J90" s="373">
        <f>J91-SUM(J79:J89)</f>
        <v>0</v>
      </c>
    </row>
    <row r="91" spans="1:10">
      <c r="B91" s="371" t="s">
        <v>106</v>
      </c>
      <c r="C91" s="373">
        <v>1970924</v>
      </c>
      <c r="D91" s="371" t="s">
        <v>106</v>
      </c>
      <c r="E91" s="373">
        <v>425824</v>
      </c>
      <c r="G91" s="371" t="s">
        <v>106</v>
      </c>
      <c r="H91" s="373">
        <v>2771180</v>
      </c>
      <c r="I91" s="371" t="s">
        <v>106</v>
      </c>
      <c r="J91" s="373">
        <v>94924</v>
      </c>
    </row>
    <row r="93" spans="1:10">
      <c r="B93" s="484" t="s">
        <v>446</v>
      </c>
      <c r="G93" s="55" t="s">
        <v>407</v>
      </c>
    </row>
    <row r="94" spans="1:10">
      <c r="B94" s="30" t="s">
        <v>101</v>
      </c>
      <c r="C94" s="369" t="s">
        <v>102</v>
      </c>
      <c r="D94" s="30" t="s">
        <v>103</v>
      </c>
      <c r="E94" s="369" t="s">
        <v>104</v>
      </c>
      <c r="G94" s="30" t="s">
        <v>101</v>
      </c>
      <c r="H94" s="369" t="s">
        <v>102</v>
      </c>
      <c r="I94" s="30" t="s">
        <v>103</v>
      </c>
      <c r="J94" s="369" t="s">
        <v>104</v>
      </c>
    </row>
    <row r="95" spans="1:10">
      <c r="A95" s="13">
        <v>1</v>
      </c>
      <c r="B95" s="375" t="s">
        <v>250</v>
      </c>
      <c r="C95" s="373">
        <v>1413041</v>
      </c>
      <c r="D95" s="374" t="s">
        <v>388</v>
      </c>
      <c r="E95" s="373">
        <v>1724773</v>
      </c>
      <c r="G95" s="371" t="s">
        <v>249</v>
      </c>
      <c r="H95" s="373">
        <v>265668</v>
      </c>
      <c r="I95" s="371" t="s">
        <v>192</v>
      </c>
      <c r="J95" s="373">
        <v>251546</v>
      </c>
    </row>
    <row r="96" spans="1:10">
      <c r="A96" s="13">
        <v>2</v>
      </c>
      <c r="B96" s="375" t="s">
        <v>480</v>
      </c>
      <c r="C96" s="373">
        <v>637903</v>
      </c>
      <c r="D96" s="374" t="s">
        <v>481</v>
      </c>
      <c r="E96" s="373">
        <v>402230</v>
      </c>
      <c r="G96" s="371" t="s">
        <v>260</v>
      </c>
      <c r="H96" s="373">
        <v>86516</v>
      </c>
      <c r="I96" s="371" t="s">
        <v>522</v>
      </c>
      <c r="J96" s="373">
        <v>232773</v>
      </c>
    </row>
    <row r="97" spans="1:15">
      <c r="A97" s="13">
        <v>3</v>
      </c>
      <c r="B97" s="375" t="s">
        <v>249</v>
      </c>
      <c r="C97" s="373">
        <v>625855</v>
      </c>
      <c r="D97" s="374" t="s">
        <v>243</v>
      </c>
      <c r="E97" s="373">
        <v>124417</v>
      </c>
      <c r="G97" s="371" t="s">
        <v>250</v>
      </c>
      <c r="H97" s="373">
        <v>84476</v>
      </c>
      <c r="I97" s="371" t="s">
        <v>114</v>
      </c>
      <c r="J97" s="373">
        <v>93561</v>
      </c>
    </row>
    <row r="98" spans="1:15">
      <c r="A98" s="13">
        <v>4</v>
      </c>
      <c r="B98" s="375" t="s">
        <v>475</v>
      </c>
      <c r="C98" s="373">
        <v>570959</v>
      </c>
      <c r="D98" s="374" t="s">
        <v>253</v>
      </c>
      <c r="E98" s="373">
        <v>30666</v>
      </c>
      <c r="G98" s="371" t="s">
        <v>478</v>
      </c>
      <c r="H98" s="373">
        <v>83169</v>
      </c>
      <c r="I98" s="371" t="s">
        <v>525</v>
      </c>
      <c r="J98" s="373">
        <v>160</v>
      </c>
    </row>
    <row r="99" spans="1:15">
      <c r="A99" s="13">
        <v>5</v>
      </c>
      <c r="B99" s="375" t="s">
        <v>478</v>
      </c>
      <c r="C99" s="373">
        <v>475102</v>
      </c>
      <c r="D99" s="374" t="s">
        <v>9</v>
      </c>
      <c r="E99" s="373">
        <v>23175</v>
      </c>
      <c r="G99" s="371" t="s">
        <v>475</v>
      </c>
      <c r="H99" s="373">
        <v>82946</v>
      </c>
      <c r="I99" s="371"/>
      <c r="J99" s="373"/>
    </row>
    <row r="100" spans="1:15">
      <c r="A100" s="13">
        <v>6</v>
      </c>
      <c r="B100" s="375" t="s">
        <v>243</v>
      </c>
      <c r="C100" s="373">
        <v>417407</v>
      </c>
      <c r="D100" s="374" t="s">
        <v>473</v>
      </c>
      <c r="E100" s="373">
        <v>22569</v>
      </c>
      <c r="G100" s="371" t="s">
        <v>483</v>
      </c>
      <c r="H100" s="373">
        <v>75550</v>
      </c>
      <c r="I100" s="371"/>
      <c r="J100" s="373"/>
    </row>
    <row r="101" spans="1:15">
      <c r="A101" s="13">
        <v>7</v>
      </c>
      <c r="B101" s="375" t="s">
        <v>9</v>
      </c>
      <c r="C101" s="373">
        <v>339783</v>
      </c>
      <c r="D101" s="374" t="s">
        <v>10</v>
      </c>
      <c r="E101" s="373">
        <v>15493</v>
      </c>
      <c r="G101" s="371" t="s">
        <v>390</v>
      </c>
      <c r="H101" s="373">
        <v>73542</v>
      </c>
      <c r="I101" s="371"/>
      <c r="J101" s="373"/>
    </row>
    <row r="102" spans="1:15">
      <c r="A102" s="13">
        <v>8</v>
      </c>
      <c r="B102" s="375" t="s">
        <v>476</v>
      </c>
      <c r="C102" s="373">
        <v>276920</v>
      </c>
      <c r="D102" s="374" t="s">
        <v>487</v>
      </c>
      <c r="E102" s="373">
        <v>10265</v>
      </c>
      <c r="G102" s="371" t="s">
        <v>480</v>
      </c>
      <c r="H102" s="373">
        <v>56934</v>
      </c>
      <c r="I102" s="375"/>
      <c r="J102" s="373"/>
    </row>
    <row r="103" spans="1:15">
      <c r="A103" s="13">
        <v>9</v>
      </c>
      <c r="B103" s="375" t="s">
        <v>10</v>
      </c>
      <c r="C103" s="373">
        <v>152916</v>
      </c>
      <c r="D103" s="374" t="s">
        <v>250</v>
      </c>
      <c r="E103" s="373">
        <v>4686</v>
      </c>
      <c r="G103" s="371" t="s">
        <v>12</v>
      </c>
      <c r="H103" s="373">
        <v>50973</v>
      </c>
      <c r="I103" s="371"/>
      <c r="J103" s="373"/>
    </row>
    <row r="104" spans="1:15">
      <c r="A104" s="13">
        <v>10</v>
      </c>
      <c r="B104" s="375" t="s">
        <v>12</v>
      </c>
      <c r="C104" s="373">
        <v>141185</v>
      </c>
      <c r="D104" s="374" t="s">
        <v>12</v>
      </c>
      <c r="E104" s="373">
        <v>32</v>
      </c>
      <c r="G104" s="371" t="s">
        <v>476</v>
      </c>
      <c r="H104" s="373">
        <v>47243</v>
      </c>
      <c r="I104" s="371"/>
      <c r="J104" s="373"/>
    </row>
    <row r="105" spans="1:15">
      <c r="B105" s="371" t="s">
        <v>105</v>
      </c>
      <c r="C105" s="373">
        <f>C106-SUM(C94:C104)</f>
        <v>691008</v>
      </c>
      <c r="D105" s="371" t="s">
        <v>105</v>
      </c>
      <c r="E105" s="373">
        <f>E106-SUM(E94:E104)</f>
        <v>0</v>
      </c>
      <c r="G105" s="374" t="s">
        <v>440</v>
      </c>
      <c r="H105" s="373">
        <f>H106-SUM(H94:H104)</f>
        <v>308865</v>
      </c>
      <c r="I105" s="371" t="s">
        <v>105</v>
      </c>
      <c r="J105" s="373">
        <f>J106-SUM(J94:J104)</f>
        <v>0</v>
      </c>
    </row>
    <row r="106" spans="1:15">
      <c r="B106" s="371" t="s">
        <v>106</v>
      </c>
      <c r="C106" s="373">
        <v>5742079</v>
      </c>
      <c r="D106" s="371" t="s">
        <v>106</v>
      </c>
      <c r="E106" s="373">
        <v>2358306</v>
      </c>
      <c r="G106" s="371" t="s">
        <v>106</v>
      </c>
      <c r="H106" s="373">
        <v>1215882</v>
      </c>
      <c r="I106" s="371" t="s">
        <v>106</v>
      </c>
      <c r="J106" s="373">
        <v>578040</v>
      </c>
    </row>
    <row r="108" spans="1:15">
      <c r="B108" s="484" t="s">
        <v>447</v>
      </c>
      <c r="G108" s="270" t="s">
        <v>448</v>
      </c>
      <c r="L108" s="5"/>
      <c r="M108" s="5"/>
      <c r="N108" s="5"/>
      <c r="O108" s="5"/>
    </row>
    <row r="109" spans="1:15">
      <c r="B109" s="30" t="s">
        <v>101</v>
      </c>
      <c r="C109" s="369" t="s">
        <v>102</v>
      </c>
      <c r="D109" s="30" t="s">
        <v>103</v>
      </c>
      <c r="E109" s="369" t="s">
        <v>104</v>
      </c>
      <c r="G109" s="30" t="s">
        <v>101</v>
      </c>
      <c r="H109" s="369" t="s">
        <v>102</v>
      </c>
      <c r="I109" s="30" t="s">
        <v>103</v>
      </c>
      <c r="J109" s="369" t="s">
        <v>104</v>
      </c>
      <c r="L109" s="5"/>
      <c r="M109" s="5"/>
      <c r="N109" s="5"/>
      <c r="O109" s="5"/>
    </row>
    <row r="110" spans="1:15">
      <c r="A110" s="13">
        <v>1</v>
      </c>
      <c r="B110" s="485" t="s">
        <v>250</v>
      </c>
      <c r="C110" s="373">
        <v>1207333</v>
      </c>
      <c r="D110" s="371" t="s">
        <v>388</v>
      </c>
      <c r="E110" s="373">
        <v>1859923</v>
      </c>
      <c r="G110" s="371" t="s">
        <v>250</v>
      </c>
      <c r="H110" s="373">
        <v>1032291</v>
      </c>
      <c r="I110" s="374" t="s">
        <v>388</v>
      </c>
      <c r="J110" s="373">
        <v>697273</v>
      </c>
      <c r="L110" s="5"/>
      <c r="M110" s="5"/>
      <c r="N110" s="5"/>
      <c r="O110" s="5"/>
    </row>
    <row r="111" spans="1:15">
      <c r="A111" s="13">
        <v>2</v>
      </c>
      <c r="B111" s="485" t="s">
        <v>243</v>
      </c>
      <c r="C111" s="373">
        <v>950400</v>
      </c>
      <c r="D111" s="374" t="s">
        <v>114</v>
      </c>
      <c r="E111" s="373">
        <v>192349</v>
      </c>
      <c r="G111" s="371" t="s">
        <v>480</v>
      </c>
      <c r="H111" s="373">
        <v>745426</v>
      </c>
      <c r="I111" s="374" t="s">
        <v>485</v>
      </c>
      <c r="J111" s="373">
        <v>88522</v>
      </c>
      <c r="L111" s="5"/>
      <c r="M111" s="5"/>
      <c r="N111" s="5"/>
      <c r="O111" s="5"/>
    </row>
    <row r="112" spans="1:15">
      <c r="A112" s="13">
        <v>3</v>
      </c>
      <c r="B112" s="485" t="s">
        <v>478</v>
      </c>
      <c r="C112" s="373">
        <v>701881</v>
      </c>
      <c r="D112" s="374" t="s">
        <v>231</v>
      </c>
      <c r="E112" s="373">
        <v>178056</v>
      </c>
      <c r="G112" s="371" t="s">
        <v>475</v>
      </c>
      <c r="H112" s="373">
        <v>434938</v>
      </c>
      <c r="I112" s="374" t="s">
        <v>475</v>
      </c>
      <c r="J112" s="373">
        <v>26905</v>
      </c>
      <c r="L112" s="5"/>
      <c r="M112" s="5"/>
      <c r="N112" s="5"/>
      <c r="O112" s="5"/>
    </row>
    <row r="113" spans="1:15">
      <c r="A113" s="13">
        <v>4</v>
      </c>
      <c r="B113" s="485" t="s">
        <v>9</v>
      </c>
      <c r="C113" s="373">
        <v>592221</v>
      </c>
      <c r="D113" s="371" t="s">
        <v>473</v>
      </c>
      <c r="E113" s="373">
        <v>9818</v>
      </c>
      <c r="G113" s="371" t="s">
        <v>243</v>
      </c>
      <c r="H113" s="373">
        <v>386196</v>
      </c>
      <c r="I113" s="374" t="s">
        <v>243</v>
      </c>
      <c r="J113" s="373">
        <v>25854</v>
      </c>
      <c r="L113" s="5"/>
      <c r="M113" s="5"/>
      <c r="N113" s="5"/>
      <c r="O113" s="5"/>
    </row>
    <row r="114" spans="1:15">
      <c r="A114" s="13">
        <v>5</v>
      </c>
      <c r="B114" s="485" t="s">
        <v>249</v>
      </c>
      <c r="C114" s="373">
        <v>460854</v>
      </c>
      <c r="D114" s="371"/>
      <c r="E114" s="373"/>
      <c r="G114" s="371" t="s">
        <v>9</v>
      </c>
      <c r="H114" s="373">
        <v>304081</v>
      </c>
      <c r="I114" s="374" t="s">
        <v>473</v>
      </c>
      <c r="J114" s="373">
        <v>15997</v>
      </c>
      <c r="L114" s="5"/>
      <c r="M114" s="5"/>
      <c r="N114" s="5"/>
      <c r="O114" s="5"/>
    </row>
    <row r="115" spans="1:15">
      <c r="A115" s="13">
        <v>6</v>
      </c>
      <c r="B115" s="485" t="s">
        <v>475</v>
      </c>
      <c r="C115" s="373">
        <v>445075</v>
      </c>
      <c r="D115" s="371"/>
      <c r="E115" s="373"/>
      <c r="G115" s="371" t="s">
        <v>249</v>
      </c>
      <c r="H115" s="373">
        <v>294165</v>
      </c>
      <c r="I115" s="374" t="s">
        <v>260</v>
      </c>
      <c r="J115" s="373">
        <v>10488</v>
      </c>
      <c r="L115" s="5"/>
      <c r="M115" s="5"/>
      <c r="N115" s="5"/>
      <c r="O115" s="5"/>
    </row>
    <row r="116" spans="1:15">
      <c r="A116" s="13">
        <v>7</v>
      </c>
      <c r="B116" s="485" t="s">
        <v>10</v>
      </c>
      <c r="C116" s="373">
        <v>193974</v>
      </c>
      <c r="D116" s="371"/>
      <c r="E116" s="373"/>
      <c r="G116" s="371" t="s">
        <v>478</v>
      </c>
      <c r="H116" s="373">
        <v>272299</v>
      </c>
      <c r="I116" s="374" t="s">
        <v>262</v>
      </c>
      <c r="J116" s="373">
        <v>2423</v>
      </c>
      <c r="L116" s="5"/>
      <c r="M116" s="5"/>
      <c r="N116" s="5"/>
      <c r="O116" s="5"/>
    </row>
    <row r="117" spans="1:15">
      <c r="A117" s="13">
        <v>8</v>
      </c>
      <c r="B117" s="485" t="s">
        <v>274</v>
      </c>
      <c r="C117" s="373">
        <v>133024</v>
      </c>
      <c r="D117" s="371"/>
      <c r="E117" s="373"/>
      <c r="G117" s="371" t="s">
        <v>12</v>
      </c>
      <c r="H117" s="373">
        <v>205260</v>
      </c>
      <c r="I117" s="374" t="s">
        <v>251</v>
      </c>
      <c r="J117" s="373">
        <v>1594</v>
      </c>
      <c r="L117" s="5"/>
      <c r="M117" s="5"/>
      <c r="N117" s="5"/>
      <c r="O117" s="5"/>
    </row>
    <row r="118" spans="1:15">
      <c r="A118" s="13">
        <v>9</v>
      </c>
      <c r="B118" s="485" t="s">
        <v>480</v>
      </c>
      <c r="C118" s="373">
        <v>122888</v>
      </c>
      <c r="D118" s="371"/>
      <c r="E118" s="373"/>
      <c r="G118" s="371" t="s">
        <v>388</v>
      </c>
      <c r="H118" s="373">
        <v>162385</v>
      </c>
      <c r="I118" s="374" t="s">
        <v>10</v>
      </c>
      <c r="J118" s="373">
        <v>351</v>
      </c>
      <c r="L118" s="5"/>
      <c r="M118" s="5"/>
      <c r="N118" s="5"/>
      <c r="O118" s="5"/>
    </row>
    <row r="119" spans="1:15">
      <c r="A119" s="13">
        <v>10</v>
      </c>
      <c r="B119" s="485" t="s">
        <v>390</v>
      </c>
      <c r="C119" s="373">
        <v>82499</v>
      </c>
      <c r="D119" s="371"/>
      <c r="E119" s="373"/>
      <c r="G119" s="371" t="s">
        <v>10</v>
      </c>
      <c r="H119" s="373">
        <v>125375</v>
      </c>
      <c r="I119" s="374" t="s">
        <v>250</v>
      </c>
      <c r="J119" s="373">
        <v>128</v>
      </c>
      <c r="L119" s="5"/>
      <c r="M119" s="5"/>
      <c r="N119" s="5"/>
      <c r="O119" s="5"/>
    </row>
    <row r="120" spans="1:15">
      <c r="B120" s="371" t="s">
        <v>105</v>
      </c>
      <c r="C120" s="373">
        <f>C121-SUM(C109:C119)</f>
        <v>511891</v>
      </c>
      <c r="D120" s="371" t="s">
        <v>105</v>
      </c>
      <c r="E120" s="373">
        <f>E121-SUM(E109:E119)</f>
        <v>0</v>
      </c>
      <c r="G120" s="371" t="s">
        <v>440</v>
      </c>
      <c r="H120" s="373">
        <f>H121-SUM(H109:H119)</f>
        <v>707687</v>
      </c>
      <c r="I120" s="377" t="s">
        <v>105</v>
      </c>
      <c r="J120" s="373">
        <f>J121-SUM(J109:J119)</f>
        <v>0</v>
      </c>
      <c r="L120" s="5"/>
      <c r="M120" s="5"/>
      <c r="N120" s="5"/>
      <c r="O120" s="5"/>
    </row>
    <row r="121" spans="1:15">
      <c r="B121" s="371" t="s">
        <v>106</v>
      </c>
      <c r="C121" s="373">
        <v>5402040</v>
      </c>
      <c r="D121" s="371" t="s">
        <v>106</v>
      </c>
      <c r="E121" s="373">
        <v>2240146</v>
      </c>
      <c r="G121" s="371" t="s">
        <v>106</v>
      </c>
      <c r="H121" s="373">
        <v>4670103</v>
      </c>
      <c r="I121" s="371" t="s">
        <v>106</v>
      </c>
      <c r="J121" s="373">
        <v>869535</v>
      </c>
    </row>
    <row r="122" spans="1:15">
      <c r="G122" s="5"/>
      <c r="H122" s="97"/>
      <c r="I122" s="5"/>
      <c r="J122" s="97"/>
    </row>
    <row r="123" spans="1:15">
      <c r="B123" s="484" t="s">
        <v>449</v>
      </c>
      <c r="G123" s="55" t="s">
        <v>450</v>
      </c>
    </row>
    <row r="124" spans="1:15">
      <c r="B124" s="30" t="s">
        <v>101</v>
      </c>
      <c r="C124" s="369" t="s">
        <v>102</v>
      </c>
      <c r="D124" s="30" t="s">
        <v>103</v>
      </c>
      <c r="E124" s="369" t="s">
        <v>104</v>
      </c>
      <c r="G124" s="30" t="s">
        <v>101</v>
      </c>
      <c r="H124" s="369" t="s">
        <v>102</v>
      </c>
      <c r="I124" s="30" t="s">
        <v>103</v>
      </c>
      <c r="J124" s="369" t="s">
        <v>104</v>
      </c>
    </row>
    <row r="125" spans="1:15">
      <c r="A125" s="13">
        <v>1</v>
      </c>
      <c r="B125" s="371" t="s">
        <v>250</v>
      </c>
      <c r="C125" s="373">
        <v>212434</v>
      </c>
      <c r="D125" s="371" t="s">
        <v>182</v>
      </c>
      <c r="E125" s="373">
        <v>47083</v>
      </c>
      <c r="G125" s="371" t="s">
        <v>250</v>
      </c>
      <c r="H125" s="373">
        <v>671436</v>
      </c>
      <c r="I125" s="371" t="s">
        <v>243</v>
      </c>
      <c r="J125" s="373">
        <v>99062</v>
      </c>
    </row>
    <row r="126" spans="1:15">
      <c r="A126" s="13">
        <v>2</v>
      </c>
      <c r="B126" s="371" t="s">
        <v>9</v>
      </c>
      <c r="C126" s="373">
        <v>62895</v>
      </c>
      <c r="D126" s="371" t="s">
        <v>169</v>
      </c>
      <c r="E126" s="373">
        <v>2806</v>
      </c>
      <c r="G126" s="371" t="s">
        <v>243</v>
      </c>
      <c r="H126" s="373">
        <v>202457</v>
      </c>
      <c r="I126" s="371" t="s">
        <v>480</v>
      </c>
      <c r="J126" s="373">
        <v>23876</v>
      </c>
    </row>
    <row r="127" spans="1:15">
      <c r="A127" s="13">
        <v>3</v>
      </c>
      <c r="B127" s="371" t="s">
        <v>261</v>
      </c>
      <c r="C127" s="373">
        <v>17884</v>
      </c>
      <c r="D127" s="371"/>
      <c r="E127" s="373"/>
      <c r="G127" s="371" t="s">
        <v>260</v>
      </c>
      <c r="H127" s="373">
        <v>122856</v>
      </c>
      <c r="I127" s="371" t="s">
        <v>473</v>
      </c>
      <c r="J127" s="373">
        <v>22028</v>
      </c>
    </row>
    <row r="128" spans="1:15">
      <c r="A128" s="13">
        <v>4</v>
      </c>
      <c r="B128" s="371" t="s">
        <v>475</v>
      </c>
      <c r="C128" s="373">
        <v>17374</v>
      </c>
      <c r="D128" s="371"/>
      <c r="E128" s="373"/>
      <c r="G128" s="371" t="s">
        <v>11</v>
      </c>
      <c r="H128" s="373">
        <v>92094</v>
      </c>
      <c r="I128" s="371" t="s">
        <v>476</v>
      </c>
      <c r="J128" s="373">
        <v>18266</v>
      </c>
    </row>
    <row r="129" spans="1:15">
      <c r="A129" s="13">
        <v>5</v>
      </c>
      <c r="B129" s="371" t="s">
        <v>476</v>
      </c>
      <c r="C129" s="373">
        <v>17278</v>
      </c>
      <c r="D129" s="371"/>
      <c r="E129" s="373"/>
      <c r="G129" s="371" t="s">
        <v>274</v>
      </c>
      <c r="H129" s="373">
        <v>73446</v>
      </c>
      <c r="I129" s="371" t="s">
        <v>475</v>
      </c>
      <c r="J129" s="373">
        <v>9563</v>
      </c>
    </row>
    <row r="130" spans="1:15">
      <c r="A130" s="13">
        <v>6</v>
      </c>
      <c r="B130" s="371" t="s">
        <v>243</v>
      </c>
      <c r="C130" s="373">
        <v>17150</v>
      </c>
      <c r="D130" s="371"/>
      <c r="E130" s="373"/>
      <c r="G130" s="371" t="s">
        <v>10</v>
      </c>
      <c r="H130" s="373">
        <v>57124</v>
      </c>
      <c r="I130" s="371" t="s">
        <v>250</v>
      </c>
      <c r="J130" s="373">
        <v>1052</v>
      </c>
    </row>
    <row r="131" spans="1:15">
      <c r="A131" s="13">
        <v>7</v>
      </c>
      <c r="B131" s="371" t="s">
        <v>251</v>
      </c>
      <c r="C131" s="373">
        <v>10455</v>
      </c>
      <c r="D131" s="371"/>
      <c r="E131" s="373"/>
      <c r="G131" s="371" t="s">
        <v>9</v>
      </c>
      <c r="H131" s="373">
        <v>54766</v>
      </c>
      <c r="I131" s="371"/>
      <c r="J131" s="373"/>
    </row>
    <row r="132" spans="1:15">
      <c r="A132" s="13">
        <v>8</v>
      </c>
      <c r="B132" s="371" t="s">
        <v>236</v>
      </c>
      <c r="C132" s="373">
        <v>7969</v>
      </c>
      <c r="D132" s="371"/>
      <c r="E132" s="373"/>
      <c r="G132" s="371" t="s">
        <v>6</v>
      </c>
      <c r="H132" s="373">
        <v>50654</v>
      </c>
      <c r="I132" s="371"/>
      <c r="J132" s="373"/>
    </row>
    <row r="133" spans="1:15">
      <c r="A133" s="13">
        <v>9</v>
      </c>
      <c r="B133" s="371" t="s">
        <v>265</v>
      </c>
      <c r="C133" s="373">
        <v>4176</v>
      </c>
      <c r="D133" s="371"/>
      <c r="E133" s="373"/>
      <c r="G133" s="371" t="s">
        <v>249</v>
      </c>
      <c r="H133" s="373">
        <v>34524</v>
      </c>
      <c r="I133" s="371"/>
      <c r="J133" s="373"/>
    </row>
    <row r="134" spans="1:15">
      <c r="A134" s="13">
        <v>10</v>
      </c>
      <c r="B134" s="371" t="s">
        <v>253</v>
      </c>
      <c r="C134" s="373">
        <v>3347</v>
      </c>
      <c r="D134" s="94"/>
      <c r="E134" s="27"/>
      <c r="G134" s="371" t="s">
        <v>390</v>
      </c>
      <c r="H134" s="373">
        <v>31527</v>
      </c>
      <c r="I134" s="371"/>
      <c r="J134" s="373"/>
    </row>
    <row r="135" spans="1:15">
      <c r="B135" s="374" t="s">
        <v>440</v>
      </c>
      <c r="C135" s="373">
        <f>C136-SUM(C125:C134)</f>
        <v>14344</v>
      </c>
      <c r="D135" s="371" t="s">
        <v>105</v>
      </c>
      <c r="E135" s="373">
        <f>E136-SUM(E125:E134)</f>
        <v>0</v>
      </c>
      <c r="G135" s="371" t="s">
        <v>105</v>
      </c>
      <c r="H135" s="373">
        <f>H136-SUM(H125:H134)</f>
        <v>238476</v>
      </c>
      <c r="I135" s="371" t="s">
        <v>105</v>
      </c>
      <c r="J135" s="373">
        <f>J136-SUM(J125:J134)</f>
        <v>0</v>
      </c>
    </row>
    <row r="136" spans="1:15">
      <c r="B136" s="371" t="s">
        <v>106</v>
      </c>
      <c r="C136" s="373">
        <v>385306</v>
      </c>
      <c r="D136" s="371" t="s">
        <v>106</v>
      </c>
      <c r="E136" s="373">
        <v>49889</v>
      </c>
      <c r="G136" s="371" t="s">
        <v>106</v>
      </c>
      <c r="H136" s="373">
        <v>1629360</v>
      </c>
      <c r="I136" s="371" t="s">
        <v>106</v>
      </c>
      <c r="J136" s="373">
        <v>173847</v>
      </c>
    </row>
    <row r="138" spans="1:15">
      <c r="B138" s="55" t="s">
        <v>451</v>
      </c>
      <c r="G138" s="484" t="s">
        <v>452</v>
      </c>
      <c r="L138" s="5"/>
      <c r="M138" s="5"/>
      <c r="N138" s="5"/>
      <c r="O138" s="5"/>
    </row>
    <row r="139" spans="1:15">
      <c r="B139" s="30" t="s">
        <v>101</v>
      </c>
      <c r="C139" s="369" t="s">
        <v>102</v>
      </c>
      <c r="D139" s="30" t="s">
        <v>103</v>
      </c>
      <c r="E139" s="369" t="s">
        <v>104</v>
      </c>
      <c r="G139" s="30" t="s">
        <v>101</v>
      </c>
      <c r="H139" s="369" t="s">
        <v>102</v>
      </c>
      <c r="I139" s="30" t="s">
        <v>103</v>
      </c>
      <c r="J139" s="369" t="s">
        <v>104</v>
      </c>
      <c r="L139" s="5"/>
      <c r="M139" s="5"/>
      <c r="N139" s="5"/>
      <c r="O139" s="5"/>
    </row>
    <row r="140" spans="1:15">
      <c r="A140" s="13">
        <v>1</v>
      </c>
      <c r="B140" s="374" t="s">
        <v>249</v>
      </c>
      <c r="C140" s="373">
        <v>826809</v>
      </c>
      <c r="D140" s="374" t="s">
        <v>114</v>
      </c>
      <c r="E140" s="373">
        <v>594551</v>
      </c>
      <c r="G140" s="371" t="s">
        <v>250</v>
      </c>
      <c r="H140" s="373">
        <v>553077</v>
      </c>
      <c r="I140" s="371" t="s">
        <v>243</v>
      </c>
      <c r="J140" s="373">
        <v>748390</v>
      </c>
      <c r="L140" s="5"/>
      <c r="M140" s="5"/>
      <c r="N140" s="5"/>
      <c r="O140" s="5"/>
    </row>
    <row r="141" spans="1:15">
      <c r="A141" s="13">
        <v>2</v>
      </c>
      <c r="B141" s="374" t="s">
        <v>250</v>
      </c>
      <c r="C141" s="373">
        <v>742908</v>
      </c>
      <c r="D141" s="371" t="s">
        <v>473</v>
      </c>
      <c r="E141" s="373">
        <v>37553</v>
      </c>
      <c r="G141" s="371" t="s">
        <v>249</v>
      </c>
      <c r="H141" s="373">
        <v>342175</v>
      </c>
      <c r="I141" s="371" t="s">
        <v>480</v>
      </c>
      <c r="J141" s="373">
        <v>385272</v>
      </c>
      <c r="L141" s="5"/>
      <c r="M141" s="5"/>
      <c r="N141" s="5"/>
      <c r="O141" s="5"/>
    </row>
    <row r="142" spans="1:15">
      <c r="A142" s="13">
        <v>3</v>
      </c>
      <c r="B142" s="374" t="s">
        <v>9</v>
      </c>
      <c r="C142" s="373">
        <v>188653</v>
      </c>
      <c r="D142" s="371" t="s">
        <v>480</v>
      </c>
      <c r="E142" s="373">
        <v>9244</v>
      </c>
      <c r="G142" s="371" t="s">
        <v>243</v>
      </c>
      <c r="H142" s="373">
        <v>341280</v>
      </c>
      <c r="I142" s="371" t="s">
        <v>482</v>
      </c>
      <c r="J142" s="373">
        <v>140103</v>
      </c>
      <c r="L142" s="5"/>
      <c r="M142" s="5"/>
      <c r="N142" s="5"/>
      <c r="O142" s="5"/>
    </row>
    <row r="143" spans="1:15">
      <c r="A143" s="13">
        <v>4</v>
      </c>
      <c r="B143" s="374" t="s">
        <v>475</v>
      </c>
      <c r="C143" s="373">
        <v>161906</v>
      </c>
      <c r="D143" s="371" t="s">
        <v>485</v>
      </c>
      <c r="E143" s="373">
        <v>2136</v>
      </c>
      <c r="G143" s="371" t="s">
        <v>476</v>
      </c>
      <c r="H143" s="373">
        <v>307140</v>
      </c>
      <c r="I143" s="371" t="s">
        <v>473</v>
      </c>
      <c r="J143" s="373">
        <v>74019</v>
      </c>
      <c r="L143" s="5"/>
      <c r="M143" s="5"/>
      <c r="N143" s="5"/>
      <c r="O143" s="5"/>
    </row>
    <row r="144" spans="1:15">
      <c r="A144" s="13">
        <v>5</v>
      </c>
      <c r="B144" s="374" t="s">
        <v>274</v>
      </c>
      <c r="C144" s="373">
        <v>135799</v>
      </c>
      <c r="D144" s="371"/>
      <c r="E144" s="373"/>
      <c r="G144" s="371" t="s">
        <v>10</v>
      </c>
      <c r="H144" s="373">
        <v>239974</v>
      </c>
      <c r="I144" s="371" t="s">
        <v>10</v>
      </c>
      <c r="J144" s="373">
        <v>20625</v>
      </c>
      <c r="L144" s="5"/>
      <c r="M144" s="5"/>
      <c r="N144" s="5"/>
      <c r="O144" s="5"/>
    </row>
    <row r="145" spans="1:15">
      <c r="A145" s="13">
        <v>6</v>
      </c>
      <c r="B145" s="374" t="s">
        <v>260</v>
      </c>
      <c r="C145" s="373">
        <v>125725</v>
      </c>
      <c r="D145" s="371"/>
      <c r="E145" s="373"/>
      <c r="G145" s="371" t="s">
        <v>475</v>
      </c>
      <c r="H145" s="373">
        <v>188526</v>
      </c>
      <c r="I145" s="371" t="s">
        <v>476</v>
      </c>
      <c r="J145" s="373">
        <v>14345</v>
      </c>
      <c r="L145" s="5"/>
      <c r="M145" s="5"/>
      <c r="N145" s="5"/>
      <c r="O145" s="5"/>
    </row>
    <row r="146" spans="1:15">
      <c r="A146" s="13">
        <v>7</v>
      </c>
      <c r="B146" s="374" t="s">
        <v>477</v>
      </c>
      <c r="C146" s="373">
        <v>124387</v>
      </c>
      <c r="D146" s="371"/>
      <c r="E146" s="373"/>
      <c r="G146" s="371" t="s">
        <v>6</v>
      </c>
      <c r="H146" s="373">
        <v>184508</v>
      </c>
      <c r="I146" s="371" t="s">
        <v>250</v>
      </c>
      <c r="J146" s="373">
        <v>669</v>
      </c>
      <c r="L146" s="5"/>
      <c r="M146" s="5"/>
      <c r="N146" s="5"/>
      <c r="O146" s="5"/>
    </row>
    <row r="147" spans="1:15">
      <c r="A147" s="13">
        <v>8</v>
      </c>
      <c r="B147" s="374" t="s">
        <v>10</v>
      </c>
      <c r="C147" s="373">
        <v>94995</v>
      </c>
      <c r="D147" s="371"/>
      <c r="E147" s="373"/>
      <c r="G147" s="371" t="s">
        <v>9</v>
      </c>
      <c r="H147" s="373">
        <v>180077</v>
      </c>
      <c r="I147" s="371"/>
      <c r="J147" s="373"/>
      <c r="L147" s="5"/>
      <c r="M147" s="5"/>
      <c r="N147" s="5"/>
      <c r="O147" s="5"/>
    </row>
    <row r="148" spans="1:15">
      <c r="A148" s="13">
        <v>9</v>
      </c>
      <c r="B148" s="374" t="s">
        <v>478</v>
      </c>
      <c r="C148" s="373">
        <v>89321</v>
      </c>
      <c r="D148" s="371"/>
      <c r="E148" s="373"/>
      <c r="G148" s="371" t="s">
        <v>11</v>
      </c>
      <c r="H148" s="373">
        <v>106438</v>
      </c>
      <c r="I148" s="371"/>
      <c r="J148" s="373"/>
      <c r="L148" s="5"/>
      <c r="M148" s="5"/>
      <c r="N148" s="5"/>
      <c r="O148" s="5"/>
    </row>
    <row r="149" spans="1:15">
      <c r="A149" s="13">
        <v>10</v>
      </c>
      <c r="B149" s="374" t="s">
        <v>251</v>
      </c>
      <c r="C149" s="373">
        <v>74818</v>
      </c>
      <c r="D149" s="371"/>
      <c r="E149" s="373"/>
      <c r="G149" s="371" t="s">
        <v>260</v>
      </c>
      <c r="H149" s="373">
        <v>98374</v>
      </c>
      <c r="I149" s="371"/>
      <c r="J149" s="373"/>
      <c r="L149" s="5"/>
      <c r="M149" s="5"/>
      <c r="N149" s="5"/>
      <c r="O149" s="5"/>
    </row>
    <row r="150" spans="1:15">
      <c r="B150" s="371" t="s">
        <v>428</v>
      </c>
      <c r="C150" s="373">
        <f>C151-SUM(C139:C149)</f>
        <v>479119</v>
      </c>
      <c r="D150" s="371" t="s">
        <v>105</v>
      </c>
      <c r="E150" s="373">
        <f>E151-SUM(E140:E149)</f>
        <v>0</v>
      </c>
      <c r="G150" s="371" t="s">
        <v>428</v>
      </c>
      <c r="H150" s="373">
        <f>H151-SUM(H140:H149)</f>
        <v>639749</v>
      </c>
      <c r="I150" s="371" t="s">
        <v>105</v>
      </c>
      <c r="J150" s="373">
        <f>J151-SUM(J140:J149)</f>
        <v>0</v>
      </c>
      <c r="L150" s="5"/>
      <c r="M150" s="5"/>
      <c r="N150" s="5"/>
      <c r="O150" s="5"/>
    </row>
    <row r="151" spans="1:15">
      <c r="B151" s="371" t="s">
        <v>106</v>
      </c>
      <c r="C151" s="373">
        <v>3044440</v>
      </c>
      <c r="D151" s="371" t="s">
        <v>106</v>
      </c>
      <c r="E151" s="373">
        <v>643484</v>
      </c>
      <c r="G151" s="371" t="s">
        <v>106</v>
      </c>
      <c r="H151" s="373">
        <v>3181318</v>
      </c>
      <c r="I151" s="371" t="s">
        <v>106</v>
      </c>
      <c r="J151" s="373">
        <v>1383423</v>
      </c>
      <c r="L151" s="5"/>
      <c r="M151" s="5"/>
      <c r="N151" s="5"/>
      <c r="O151" s="5"/>
    </row>
    <row r="153" spans="1:15">
      <c r="B153" s="484" t="s">
        <v>453</v>
      </c>
      <c r="G153" s="484" t="s">
        <v>454</v>
      </c>
    </row>
    <row r="154" spans="1:15">
      <c r="B154" s="30" t="s">
        <v>101</v>
      </c>
      <c r="C154" s="369" t="s">
        <v>102</v>
      </c>
      <c r="D154" s="30" t="s">
        <v>103</v>
      </c>
      <c r="E154" s="369" t="s">
        <v>104</v>
      </c>
      <c r="G154" s="30" t="s">
        <v>101</v>
      </c>
      <c r="H154" s="369" t="s">
        <v>102</v>
      </c>
      <c r="I154" s="30" t="s">
        <v>103</v>
      </c>
      <c r="J154" s="369" t="s">
        <v>104</v>
      </c>
    </row>
    <row r="155" spans="1:15">
      <c r="A155" s="13">
        <v>1</v>
      </c>
      <c r="B155" s="371" t="s">
        <v>250</v>
      </c>
      <c r="C155" s="373">
        <v>903794</v>
      </c>
      <c r="D155" s="485" t="s">
        <v>484</v>
      </c>
      <c r="E155" s="373">
        <v>324102</v>
      </c>
      <c r="G155" s="371" t="s">
        <v>475</v>
      </c>
      <c r="H155" s="373">
        <v>85561</v>
      </c>
      <c r="I155" s="371" t="s">
        <v>243</v>
      </c>
      <c r="J155" s="373">
        <v>65689</v>
      </c>
    </row>
    <row r="156" spans="1:15">
      <c r="A156" s="13">
        <v>2</v>
      </c>
      <c r="B156" s="371" t="s">
        <v>475</v>
      </c>
      <c r="C156" s="373">
        <v>808446</v>
      </c>
      <c r="D156" s="485" t="s">
        <v>243</v>
      </c>
      <c r="E156" s="373">
        <v>277463</v>
      </c>
      <c r="G156" s="371" t="s">
        <v>487</v>
      </c>
      <c r="H156" s="373">
        <v>15174</v>
      </c>
      <c r="I156" s="371" t="s">
        <v>480</v>
      </c>
      <c r="J156" s="373">
        <v>16418</v>
      </c>
    </row>
    <row r="157" spans="1:15">
      <c r="A157" s="13">
        <v>3</v>
      </c>
      <c r="B157" s="371" t="s">
        <v>243</v>
      </c>
      <c r="C157" s="373">
        <v>526108</v>
      </c>
      <c r="D157" s="485" t="s">
        <v>480</v>
      </c>
      <c r="E157" s="373">
        <v>244278</v>
      </c>
      <c r="G157" s="371" t="s">
        <v>479</v>
      </c>
      <c r="H157" s="373">
        <v>14027</v>
      </c>
      <c r="I157" s="371" t="s">
        <v>250</v>
      </c>
      <c r="J157" s="373">
        <v>2359</v>
      </c>
    </row>
    <row r="158" spans="1:15">
      <c r="A158" s="13">
        <v>4</v>
      </c>
      <c r="B158" s="371" t="s">
        <v>390</v>
      </c>
      <c r="C158" s="373">
        <v>346989</v>
      </c>
      <c r="D158" s="485" t="s">
        <v>250</v>
      </c>
      <c r="E158" s="373">
        <v>237711</v>
      </c>
      <c r="G158" s="371" t="s">
        <v>250</v>
      </c>
      <c r="H158" s="373">
        <v>13294</v>
      </c>
      <c r="I158" s="371" t="s">
        <v>484</v>
      </c>
      <c r="J158" s="373">
        <v>2190</v>
      </c>
    </row>
    <row r="159" spans="1:15">
      <c r="A159" s="13">
        <v>5</v>
      </c>
      <c r="B159" s="371" t="s">
        <v>9</v>
      </c>
      <c r="C159" s="373">
        <v>209054</v>
      </c>
      <c r="D159" s="485" t="s">
        <v>485</v>
      </c>
      <c r="E159" s="373">
        <v>75773</v>
      </c>
      <c r="G159" s="371" t="s">
        <v>388</v>
      </c>
      <c r="H159" s="373">
        <v>12208</v>
      </c>
      <c r="I159" s="371" t="s">
        <v>388</v>
      </c>
      <c r="J159" s="373">
        <v>606</v>
      </c>
    </row>
    <row r="160" spans="1:15">
      <c r="A160" s="13">
        <v>6</v>
      </c>
      <c r="B160" s="371" t="s">
        <v>10</v>
      </c>
      <c r="C160" s="373">
        <v>208001</v>
      </c>
      <c r="D160" s="485" t="s">
        <v>10</v>
      </c>
      <c r="E160" s="373">
        <v>43640</v>
      </c>
      <c r="G160" s="371" t="s">
        <v>480</v>
      </c>
      <c r="H160" s="373">
        <v>10679</v>
      </c>
      <c r="I160" s="371" t="s">
        <v>485</v>
      </c>
      <c r="J160" s="373">
        <v>159</v>
      </c>
    </row>
    <row r="161" spans="1:10">
      <c r="A161" s="13">
        <v>7</v>
      </c>
      <c r="B161" s="371" t="s">
        <v>251</v>
      </c>
      <c r="C161" s="373">
        <v>174465</v>
      </c>
      <c r="D161" s="485" t="s">
        <v>388</v>
      </c>
      <c r="E161" s="373">
        <v>5802</v>
      </c>
      <c r="G161" s="371" t="s">
        <v>390</v>
      </c>
      <c r="H161" s="373">
        <v>10042</v>
      </c>
      <c r="I161" s="371"/>
      <c r="J161" s="373"/>
    </row>
    <row r="162" spans="1:10">
      <c r="A162" s="13">
        <v>8</v>
      </c>
      <c r="B162" s="371" t="s">
        <v>267</v>
      </c>
      <c r="C162" s="373">
        <v>173892</v>
      </c>
      <c r="D162" s="485" t="s">
        <v>473</v>
      </c>
      <c r="E162" s="373">
        <v>1212</v>
      </c>
      <c r="G162" s="371" t="s">
        <v>476</v>
      </c>
      <c r="H162" s="373">
        <v>5005</v>
      </c>
      <c r="I162" s="371"/>
      <c r="J162" s="373"/>
    </row>
    <row r="163" spans="1:10">
      <c r="A163" s="13">
        <v>9</v>
      </c>
      <c r="B163" s="371" t="s">
        <v>249</v>
      </c>
      <c r="C163" s="373">
        <v>170228</v>
      </c>
      <c r="D163" s="485" t="s">
        <v>488</v>
      </c>
      <c r="E163" s="373">
        <v>159</v>
      </c>
      <c r="G163" s="371" t="s">
        <v>340</v>
      </c>
      <c r="H163" s="373">
        <v>4718</v>
      </c>
      <c r="I163" s="371"/>
      <c r="J163" s="373"/>
    </row>
    <row r="164" spans="1:10">
      <c r="A164" s="13">
        <v>10</v>
      </c>
      <c r="B164" s="371" t="s">
        <v>261</v>
      </c>
      <c r="C164" s="373">
        <v>167995</v>
      </c>
      <c r="D164" s="485"/>
      <c r="E164" s="373"/>
      <c r="G164" s="371" t="s">
        <v>274</v>
      </c>
      <c r="H164" s="373">
        <v>4495</v>
      </c>
      <c r="I164" s="371"/>
      <c r="J164" s="373"/>
    </row>
    <row r="165" spans="1:10">
      <c r="B165" s="371" t="s">
        <v>455</v>
      </c>
      <c r="C165" s="373">
        <f>C166-SUM(C155:C164)</f>
        <v>1062226</v>
      </c>
      <c r="D165" s="371" t="s">
        <v>105</v>
      </c>
      <c r="E165" s="373">
        <f>E166-SUM(E155:E164)</f>
        <v>0</v>
      </c>
      <c r="G165" s="371" t="s">
        <v>105</v>
      </c>
      <c r="H165" s="373">
        <f>H166-SUM(H155:H164)</f>
        <v>24388</v>
      </c>
      <c r="I165" s="371" t="s">
        <v>105</v>
      </c>
      <c r="J165" s="373">
        <f>J166-SUM(J155:J164)</f>
        <v>0</v>
      </c>
    </row>
    <row r="166" spans="1:10">
      <c r="B166" s="371" t="s">
        <v>106</v>
      </c>
      <c r="C166" s="373">
        <v>4751198</v>
      </c>
      <c r="D166" s="371" t="s">
        <v>106</v>
      </c>
      <c r="E166" s="373">
        <v>1210140</v>
      </c>
      <c r="G166" s="371" t="s">
        <v>106</v>
      </c>
      <c r="H166" s="373">
        <v>199591</v>
      </c>
      <c r="I166" s="371" t="s">
        <v>106</v>
      </c>
      <c r="J166" s="373">
        <v>87421</v>
      </c>
    </row>
    <row r="167" spans="1:10" ht="12" customHeight="1">
      <c r="B167" s="376"/>
    </row>
    <row r="168" spans="1:10">
      <c r="B168" s="54" t="s">
        <v>456</v>
      </c>
      <c r="C168" s="97"/>
      <c r="D168" s="5"/>
      <c r="E168" s="97"/>
      <c r="F168" s="5"/>
      <c r="G168" s="5"/>
      <c r="H168" s="97"/>
      <c r="I168" s="5"/>
      <c r="J168" s="97"/>
    </row>
    <row r="169" spans="1:10">
      <c r="B169" s="5"/>
      <c r="C169" s="97"/>
      <c r="D169" s="5"/>
      <c r="E169" s="97"/>
      <c r="F169" s="5"/>
      <c r="G169" s="5"/>
      <c r="H169" s="97"/>
      <c r="I169" s="5"/>
      <c r="J169" s="97"/>
    </row>
    <row r="170" spans="1:10">
      <c r="B170" s="5"/>
      <c r="C170" s="97"/>
      <c r="D170" s="5"/>
      <c r="E170" s="97"/>
      <c r="F170" s="5"/>
      <c r="G170" s="5"/>
      <c r="H170" s="97"/>
      <c r="I170" s="5"/>
      <c r="J170" s="97"/>
    </row>
    <row r="171" spans="1:10">
      <c r="B171" s="5"/>
      <c r="C171" s="97"/>
      <c r="D171" s="5"/>
      <c r="E171" s="97"/>
      <c r="F171" s="5"/>
      <c r="G171" s="5"/>
      <c r="H171" s="97"/>
      <c r="I171" s="5"/>
      <c r="J171" s="97"/>
    </row>
    <row r="172" spans="1:10">
      <c r="B172" s="5"/>
      <c r="C172" s="97"/>
      <c r="D172" s="5"/>
      <c r="E172" s="97"/>
      <c r="F172" s="5"/>
      <c r="G172" s="5"/>
      <c r="H172" s="97"/>
      <c r="I172" s="5"/>
      <c r="J172" s="97"/>
    </row>
    <row r="173" spans="1:10">
      <c r="B173" s="5"/>
      <c r="C173" s="97"/>
      <c r="D173" s="5"/>
      <c r="E173" s="97"/>
      <c r="F173" s="5"/>
      <c r="G173" s="5"/>
      <c r="H173" s="97"/>
      <c r="I173" s="5"/>
      <c r="J173" s="97"/>
    </row>
    <row r="174" spans="1:10">
      <c r="B174" s="5"/>
      <c r="C174" s="97"/>
      <c r="D174" s="5"/>
      <c r="E174" s="97"/>
      <c r="F174" s="5"/>
      <c r="G174" s="5"/>
      <c r="H174" s="97"/>
      <c r="I174" s="5"/>
      <c r="J174" s="97"/>
    </row>
    <row r="175" spans="1:10">
      <c r="B175" s="5"/>
      <c r="C175" s="97"/>
      <c r="D175" s="5"/>
      <c r="E175" s="97"/>
      <c r="F175" s="5"/>
      <c r="G175" s="5"/>
      <c r="H175" s="97"/>
      <c r="I175" s="5"/>
      <c r="J175" s="97"/>
    </row>
    <row r="176" spans="1:10">
      <c r="B176" s="5"/>
      <c r="C176" s="97"/>
      <c r="D176" s="5"/>
      <c r="E176" s="97"/>
      <c r="F176" s="5"/>
      <c r="G176" s="5"/>
      <c r="H176" s="97"/>
      <c r="I176" s="5"/>
      <c r="J176" s="97"/>
    </row>
    <row r="177" spans="2:10">
      <c r="B177" s="5"/>
      <c r="C177" s="97"/>
      <c r="D177" s="5"/>
      <c r="E177" s="97"/>
      <c r="F177" s="5"/>
      <c r="G177" s="5"/>
      <c r="H177" s="97"/>
      <c r="I177" s="5"/>
      <c r="J177" s="97"/>
    </row>
    <row r="178" spans="2:10">
      <c r="B178" s="5"/>
      <c r="C178" s="97"/>
      <c r="D178" s="5"/>
      <c r="E178" s="97"/>
      <c r="F178" s="5"/>
      <c r="G178" s="5"/>
      <c r="H178" s="97"/>
      <c r="I178" s="5"/>
      <c r="J178" s="97"/>
    </row>
    <row r="179" spans="2:10">
      <c r="B179" s="5"/>
      <c r="C179" s="97"/>
      <c r="D179" s="5"/>
      <c r="E179" s="97"/>
      <c r="F179" s="5"/>
      <c r="G179" s="5"/>
      <c r="H179" s="97"/>
      <c r="I179" s="5"/>
      <c r="J179" s="97"/>
    </row>
  </sheetData>
  <phoneticPr fontId="4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zoomScaleNormal="100" workbookViewId="0">
      <selection activeCell="F8" sqref="F8"/>
    </sheetView>
  </sheetViews>
  <sheetFormatPr defaultRowHeight="16.5"/>
  <cols>
    <col min="1" max="1" width="7.125" style="5" customWidth="1"/>
    <col min="2" max="2" width="11.25" style="5" customWidth="1"/>
    <col min="3" max="3" width="12.375" style="59" customWidth="1"/>
    <col min="4" max="4" width="10" style="109" customWidth="1"/>
    <col min="5" max="5" width="13.25" style="5" customWidth="1"/>
    <col min="6" max="6" width="13.25" style="59" customWidth="1"/>
    <col min="7" max="7" width="11.125" style="109" customWidth="1"/>
    <col min="8" max="8" width="8.875" style="5"/>
    <col min="9" max="10" width="10.125" style="5" customWidth="1"/>
    <col min="11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19.5">
      <c r="A1" s="500" t="s">
        <v>495</v>
      </c>
      <c r="B1" s="129"/>
      <c r="C1" s="130"/>
      <c r="D1" s="131"/>
      <c r="E1" s="129"/>
      <c r="F1" s="130"/>
      <c r="G1" s="131"/>
    </row>
    <row r="3" spans="1:7" s="122" customFormat="1">
      <c r="A3" s="132" t="s">
        <v>417</v>
      </c>
      <c r="B3" s="133"/>
      <c r="C3" s="134"/>
      <c r="D3" s="135"/>
      <c r="E3" s="133"/>
      <c r="F3" s="136"/>
      <c r="G3" s="137"/>
    </row>
    <row r="4" spans="1:7">
      <c r="A4" s="138" t="s">
        <v>460</v>
      </c>
      <c r="B4" s="68"/>
      <c r="C4" s="139"/>
      <c r="D4" s="140"/>
      <c r="E4" s="68"/>
      <c r="F4" s="141"/>
      <c r="G4" s="142"/>
    </row>
    <row r="5" spans="1:7">
      <c r="A5" s="566" t="s">
        <v>51</v>
      </c>
      <c r="B5" s="143" t="s">
        <v>52</v>
      </c>
      <c r="C5" s="144"/>
      <c r="D5" s="145"/>
      <c r="E5" s="146" t="s">
        <v>53</v>
      </c>
      <c r="F5" s="144"/>
      <c r="G5" s="145"/>
    </row>
    <row r="6" spans="1:7">
      <c r="A6" s="567"/>
      <c r="B6" s="30" t="s">
        <v>458</v>
      </c>
      <c r="C6" s="147" t="s">
        <v>459</v>
      </c>
      <c r="D6" s="148" t="s">
        <v>418</v>
      </c>
      <c r="E6" s="30" t="s">
        <v>458</v>
      </c>
      <c r="F6" s="147" t="s">
        <v>459</v>
      </c>
      <c r="G6" s="148" t="s">
        <v>418</v>
      </c>
    </row>
    <row r="7" spans="1:7">
      <c r="A7" s="31">
        <v>1</v>
      </c>
      <c r="B7" s="378">
        <v>75072</v>
      </c>
      <c r="C7" s="384">
        <v>162493</v>
      </c>
      <c r="D7" s="493">
        <f>IFERROR((B7-C7)/C7,0)</f>
        <v>-0.53799855993796653</v>
      </c>
      <c r="E7" s="494">
        <v>84279913</v>
      </c>
      <c r="F7" s="384">
        <v>152006314</v>
      </c>
      <c r="G7" s="493">
        <f>IFERROR((E7-F7)/F7,0)</f>
        <v>-0.44554991972241365</v>
      </c>
    </row>
    <row r="8" spans="1:7">
      <c r="A8" s="31">
        <v>2</v>
      </c>
      <c r="B8" s="27">
        <v>71119</v>
      </c>
      <c r="C8" s="384">
        <v>115013</v>
      </c>
      <c r="D8" s="493">
        <f>IFERROR((B8-C8)/C8,0)</f>
        <v>-0.38164381417752774</v>
      </c>
      <c r="E8" s="494">
        <v>75549991</v>
      </c>
      <c r="F8" s="384">
        <v>109496132</v>
      </c>
      <c r="G8" s="493">
        <f>IFERROR((E8-F8)/F8,0)</f>
        <v>-0.31002137134853314</v>
      </c>
    </row>
    <row r="9" spans="1:7">
      <c r="A9" s="31">
        <v>3</v>
      </c>
      <c r="B9" s="378"/>
      <c r="C9" s="384"/>
      <c r="D9" s="493">
        <f t="shared" ref="D9:D18" si="0">IFERROR((B9-C9)/C9,0)</f>
        <v>0</v>
      </c>
      <c r="E9" s="494"/>
      <c r="F9" s="384"/>
      <c r="G9" s="493">
        <f t="shared" ref="G9:G18" si="1">IFERROR((E9-F9)/F9,0)</f>
        <v>0</v>
      </c>
    </row>
    <row r="10" spans="1:7">
      <c r="A10" s="31">
        <v>4</v>
      </c>
      <c r="B10" s="382"/>
      <c r="C10" s="381"/>
      <c r="D10" s="493">
        <f t="shared" si="0"/>
        <v>0</v>
      </c>
      <c r="E10" s="494"/>
      <c r="F10" s="381"/>
      <c r="G10" s="493">
        <f t="shared" si="1"/>
        <v>0</v>
      </c>
    </row>
    <row r="11" spans="1:7">
      <c r="A11" s="31">
        <v>5</v>
      </c>
      <c r="B11" s="378"/>
      <c r="C11" s="384"/>
      <c r="D11" s="493">
        <f t="shared" si="0"/>
        <v>0</v>
      </c>
      <c r="E11" s="494"/>
      <c r="F11" s="384"/>
      <c r="G11" s="493">
        <f t="shared" si="1"/>
        <v>0</v>
      </c>
    </row>
    <row r="12" spans="1:7">
      <c r="A12" s="31">
        <v>6</v>
      </c>
      <c r="B12" s="378"/>
      <c r="C12" s="384"/>
      <c r="D12" s="493">
        <f t="shared" si="0"/>
        <v>0</v>
      </c>
      <c r="E12" s="494"/>
      <c r="F12" s="384"/>
      <c r="G12" s="493">
        <f t="shared" si="1"/>
        <v>0</v>
      </c>
    </row>
    <row r="13" spans="1:7">
      <c r="A13" s="31">
        <v>7</v>
      </c>
      <c r="B13" s="378"/>
      <c r="C13" s="384"/>
      <c r="D13" s="493">
        <f t="shared" si="0"/>
        <v>0</v>
      </c>
      <c r="E13" s="494"/>
      <c r="F13" s="384"/>
      <c r="G13" s="493">
        <f t="shared" si="1"/>
        <v>0</v>
      </c>
    </row>
    <row r="14" spans="1:7">
      <c r="A14" s="31">
        <v>8</v>
      </c>
      <c r="B14" s="378"/>
      <c r="C14" s="384"/>
      <c r="D14" s="493">
        <f t="shared" si="0"/>
        <v>0</v>
      </c>
      <c r="E14" s="494"/>
      <c r="F14" s="384"/>
      <c r="G14" s="493">
        <f t="shared" si="1"/>
        <v>0</v>
      </c>
    </row>
    <row r="15" spans="1:7">
      <c r="A15" s="31">
        <v>9</v>
      </c>
      <c r="B15" s="27"/>
      <c r="C15" s="90"/>
      <c r="D15" s="493">
        <f t="shared" si="0"/>
        <v>0</v>
      </c>
      <c r="E15" s="494"/>
      <c r="F15" s="90"/>
      <c r="G15" s="493">
        <f t="shared" si="1"/>
        <v>0</v>
      </c>
    </row>
    <row r="16" spans="1:7">
      <c r="A16" s="31">
        <v>10</v>
      </c>
      <c r="B16" s="27"/>
      <c r="C16" s="90"/>
      <c r="D16" s="493">
        <f t="shared" si="0"/>
        <v>0</v>
      </c>
      <c r="E16" s="494"/>
      <c r="F16" s="90"/>
      <c r="G16" s="493">
        <f t="shared" si="1"/>
        <v>0</v>
      </c>
    </row>
    <row r="17" spans="1:7">
      <c r="A17" s="31">
        <v>11</v>
      </c>
      <c r="B17" s="27"/>
      <c r="C17" s="90"/>
      <c r="D17" s="493">
        <f t="shared" si="0"/>
        <v>0</v>
      </c>
      <c r="E17" s="494"/>
      <c r="F17" s="90"/>
      <c r="G17" s="493">
        <f t="shared" si="1"/>
        <v>0</v>
      </c>
    </row>
    <row r="18" spans="1:7">
      <c r="A18" s="31">
        <v>12</v>
      </c>
      <c r="B18" s="27"/>
      <c r="C18" s="90"/>
      <c r="D18" s="493">
        <f t="shared" si="0"/>
        <v>0</v>
      </c>
      <c r="E18" s="494"/>
      <c r="F18" s="90"/>
      <c r="G18" s="493">
        <f t="shared" si="1"/>
        <v>0</v>
      </c>
    </row>
    <row r="19" spans="1:7" s="115" customFormat="1">
      <c r="A19" s="32" t="s">
        <v>50</v>
      </c>
      <c r="B19" s="33">
        <f>SUM(B7:B18)</f>
        <v>146191</v>
      </c>
      <c r="C19" s="90">
        <f>SUM(C7:C18)</f>
        <v>277506</v>
      </c>
      <c r="D19" s="493">
        <f>(B19-C19)/C19</f>
        <v>-0.47319697592124133</v>
      </c>
      <c r="E19" s="33">
        <f>SUM(E7:E18)</f>
        <v>159829904</v>
      </c>
      <c r="F19" s="90">
        <f>SUM(F7:F18)</f>
        <v>261502446</v>
      </c>
      <c r="G19" s="149">
        <f>(E19-F19)/F19</f>
        <v>-0.38880149518754403</v>
      </c>
    </row>
    <row r="20" spans="1:7" s="115" customFormat="1">
      <c r="A20" s="38"/>
      <c r="B20" s="39"/>
      <c r="C20" s="495"/>
      <c r="D20" s="150"/>
      <c r="E20" s="39"/>
      <c r="F20" s="495"/>
      <c r="G20" s="150"/>
    </row>
    <row r="21" spans="1:7" ht="19.5">
      <c r="A21" s="1" t="s">
        <v>496</v>
      </c>
      <c r="B21" s="129"/>
      <c r="C21" s="130"/>
      <c r="D21" s="131"/>
      <c r="E21" s="129"/>
      <c r="F21" s="130"/>
      <c r="G21" s="131"/>
    </row>
    <row r="22" spans="1:7">
      <c r="B22" s="97"/>
      <c r="C22" s="151"/>
      <c r="D22" s="152"/>
      <c r="E22" s="97"/>
      <c r="F22" s="151"/>
      <c r="G22" s="152"/>
    </row>
    <row r="23" spans="1:7" s="122" customFormat="1">
      <c r="A23" s="153" t="s">
        <v>469</v>
      </c>
      <c r="B23" s="154"/>
      <c r="C23" s="155"/>
      <c r="D23" s="156"/>
      <c r="E23" s="154"/>
      <c r="F23" s="157"/>
      <c r="G23" s="158"/>
    </row>
    <row r="24" spans="1:7">
      <c r="A24" s="138" t="s">
        <v>461</v>
      </c>
      <c r="B24" s="159"/>
      <c r="C24" s="160"/>
      <c r="D24" s="161"/>
      <c r="E24" s="159"/>
      <c r="F24" s="162"/>
      <c r="G24" s="163"/>
    </row>
    <row r="25" spans="1:7">
      <c r="A25" s="566" t="s">
        <v>51</v>
      </c>
      <c r="B25" s="164" t="s">
        <v>52</v>
      </c>
      <c r="C25" s="165"/>
      <c r="D25" s="166"/>
      <c r="E25" s="167" t="s">
        <v>53</v>
      </c>
      <c r="F25" s="165"/>
      <c r="G25" s="166"/>
    </row>
    <row r="26" spans="1:7">
      <c r="A26" s="567"/>
      <c r="B26" s="30" t="s">
        <v>458</v>
      </c>
      <c r="C26" s="147" t="s">
        <v>459</v>
      </c>
      <c r="D26" s="148" t="s">
        <v>418</v>
      </c>
      <c r="E26" s="30" t="s">
        <v>458</v>
      </c>
      <c r="F26" s="147" t="s">
        <v>459</v>
      </c>
      <c r="G26" s="148" t="s">
        <v>418</v>
      </c>
    </row>
    <row r="27" spans="1:7">
      <c r="A27" s="31">
        <v>1</v>
      </c>
      <c r="B27" s="496">
        <v>1098</v>
      </c>
      <c r="C27" s="384">
        <v>1565</v>
      </c>
      <c r="D27" s="493">
        <f>IFERROR((B27-C27)/C27,0)</f>
        <v>-0.29840255591054315</v>
      </c>
      <c r="E27" s="494">
        <v>559193</v>
      </c>
      <c r="F27" s="384">
        <v>764739</v>
      </c>
      <c r="G27" s="493">
        <f>IFERROR((E27-F27)/F27,0)</f>
        <v>-0.26877928286644204</v>
      </c>
    </row>
    <row r="28" spans="1:7">
      <c r="A28" s="31">
        <v>2</v>
      </c>
      <c r="B28" s="27">
        <v>1715</v>
      </c>
      <c r="C28" s="384">
        <v>1930</v>
      </c>
      <c r="D28" s="493">
        <f>IFERROR((B28-C28)/C28,0)</f>
        <v>-0.11139896373056994</v>
      </c>
      <c r="E28" s="494">
        <v>415174</v>
      </c>
      <c r="F28" s="384">
        <v>1217458</v>
      </c>
      <c r="G28" s="493">
        <f t="shared" ref="G28:G29" si="2">IFERROR((E28-F28)/F28,0)</f>
        <v>-0.65898289715127745</v>
      </c>
    </row>
    <row r="29" spans="1:7">
      <c r="A29" s="31">
        <v>3</v>
      </c>
      <c r="B29" s="496"/>
      <c r="C29" s="384"/>
      <c r="D29" s="493">
        <f t="shared" ref="D29:D39" si="3">IFERROR((B29-C29)/C29,0)</f>
        <v>0</v>
      </c>
      <c r="E29" s="494"/>
      <c r="F29" s="384"/>
      <c r="G29" s="493">
        <f t="shared" si="2"/>
        <v>0</v>
      </c>
    </row>
    <row r="30" spans="1:7">
      <c r="A30" s="31">
        <v>4</v>
      </c>
      <c r="B30" s="496"/>
      <c r="C30" s="497"/>
      <c r="D30" s="493">
        <f t="shared" si="3"/>
        <v>0</v>
      </c>
      <c r="E30" s="383"/>
      <c r="F30" s="381"/>
      <c r="G30" s="493">
        <f t="shared" ref="G30:G39" si="4">IFERROR((E30-F30)/F30,0)</f>
        <v>0</v>
      </c>
    </row>
    <row r="31" spans="1:7">
      <c r="A31" s="31">
        <v>5</v>
      </c>
      <c r="B31" s="496"/>
      <c r="C31" s="384"/>
      <c r="D31" s="493">
        <f t="shared" si="3"/>
        <v>0</v>
      </c>
      <c r="E31" s="494"/>
      <c r="F31" s="384"/>
      <c r="G31" s="493">
        <f t="shared" si="4"/>
        <v>0</v>
      </c>
    </row>
    <row r="32" spans="1:7">
      <c r="A32" s="31">
        <v>6</v>
      </c>
      <c r="B32" s="496"/>
      <c r="C32" s="384"/>
      <c r="D32" s="493">
        <f t="shared" si="3"/>
        <v>0</v>
      </c>
      <c r="E32" s="494"/>
      <c r="F32" s="384"/>
      <c r="G32" s="493">
        <f t="shared" si="4"/>
        <v>0</v>
      </c>
    </row>
    <row r="33" spans="1:12">
      <c r="A33" s="31">
        <v>7</v>
      </c>
      <c r="B33" s="496"/>
      <c r="C33" s="384"/>
      <c r="D33" s="493">
        <f t="shared" si="3"/>
        <v>0</v>
      </c>
      <c r="E33" s="494"/>
      <c r="F33" s="384"/>
      <c r="G33" s="493">
        <f t="shared" si="4"/>
        <v>0</v>
      </c>
    </row>
    <row r="34" spans="1:12">
      <c r="A34" s="31">
        <v>8</v>
      </c>
      <c r="B34" s="496"/>
      <c r="C34" s="384"/>
      <c r="D34" s="493">
        <f t="shared" si="3"/>
        <v>0</v>
      </c>
      <c r="E34" s="494"/>
      <c r="F34" s="384"/>
      <c r="G34" s="493">
        <f t="shared" si="4"/>
        <v>0</v>
      </c>
    </row>
    <row r="35" spans="1:12">
      <c r="A35" s="31">
        <v>9</v>
      </c>
      <c r="B35" s="498"/>
      <c r="C35" s="90"/>
      <c r="D35" s="493">
        <f t="shared" si="3"/>
        <v>0</v>
      </c>
      <c r="E35" s="27"/>
      <c r="F35" s="90"/>
      <c r="G35" s="493">
        <f t="shared" si="4"/>
        <v>0</v>
      </c>
    </row>
    <row r="36" spans="1:12">
      <c r="A36" s="31">
        <v>10</v>
      </c>
      <c r="B36" s="498"/>
      <c r="C36" s="90"/>
      <c r="D36" s="493">
        <f t="shared" si="3"/>
        <v>0</v>
      </c>
      <c r="E36" s="27"/>
      <c r="F36" s="90"/>
      <c r="G36" s="493">
        <f t="shared" si="4"/>
        <v>0</v>
      </c>
    </row>
    <row r="37" spans="1:12">
      <c r="A37" s="31">
        <v>11</v>
      </c>
      <c r="B37" s="498"/>
      <c r="C37" s="90"/>
      <c r="D37" s="493">
        <f t="shared" si="3"/>
        <v>0</v>
      </c>
      <c r="E37" s="27"/>
      <c r="F37" s="90"/>
      <c r="G37" s="493">
        <f t="shared" si="4"/>
        <v>0</v>
      </c>
      <c r="I37" s="489"/>
      <c r="J37" s="489"/>
      <c r="K37" s="489"/>
      <c r="L37" s="489"/>
    </row>
    <row r="38" spans="1:12">
      <c r="A38" s="31">
        <v>12</v>
      </c>
      <c r="B38" s="33"/>
      <c r="C38" s="90"/>
      <c r="D38" s="493">
        <f t="shared" si="3"/>
        <v>0</v>
      </c>
      <c r="E38" s="33"/>
      <c r="F38" s="90"/>
      <c r="G38" s="493">
        <f t="shared" si="4"/>
        <v>0</v>
      </c>
      <c r="I38" s="489"/>
      <c r="J38" s="489"/>
      <c r="K38" s="489"/>
      <c r="L38" s="489"/>
    </row>
    <row r="39" spans="1:12" s="115" customFormat="1">
      <c r="A39" s="32" t="s">
        <v>50</v>
      </c>
      <c r="B39" s="33">
        <f>SUM(B27:B38)</f>
        <v>2813</v>
      </c>
      <c r="C39" s="90">
        <f>SUM(C27:C38)</f>
        <v>3495</v>
      </c>
      <c r="D39" s="493">
        <f t="shared" si="3"/>
        <v>-0.19513590844062947</v>
      </c>
      <c r="E39" s="33">
        <f>SUM(E27:E38)</f>
        <v>974367</v>
      </c>
      <c r="F39" s="90">
        <f>SUM(F27:F38)</f>
        <v>1982197</v>
      </c>
      <c r="G39" s="493">
        <f t="shared" si="4"/>
        <v>-0.50844088655163944</v>
      </c>
    </row>
    <row r="40" spans="1:12" s="115" customFormat="1">
      <c r="A40" s="38"/>
      <c r="B40" s="39"/>
      <c r="C40" s="495"/>
      <c r="D40" s="150"/>
      <c r="E40" s="39"/>
      <c r="F40" s="495"/>
      <c r="G40" s="168"/>
    </row>
    <row r="41" spans="1:12" s="13" customFormat="1">
      <c r="A41" s="55" t="s">
        <v>419</v>
      </c>
      <c r="C41" s="169"/>
      <c r="D41" s="170"/>
      <c r="F41" s="169"/>
      <c r="G41" s="170"/>
    </row>
  </sheetData>
  <mergeCells count="2">
    <mergeCell ref="A5:A6"/>
    <mergeCell ref="A25:A26"/>
  </mergeCells>
  <phoneticPr fontId="3" type="noConversion"/>
  <conditionalFormatting sqref="B7:C9 B11:C14">
    <cfRule type="cellIs" dxfId="81" priority="11" operator="lessThan">
      <formula>0</formula>
    </cfRule>
  </conditionalFormatting>
  <conditionalFormatting sqref="B27:C29 B30 B31:C34">
    <cfRule type="cellIs" dxfId="80" priority="8" operator="lessThan">
      <formula>0</formula>
    </cfRule>
    <cfRule type="cellIs" dxfId="79" priority="9" operator="lessThan">
      <formula>0</formula>
    </cfRule>
  </conditionalFormatting>
  <conditionalFormatting sqref="E10:E18">
    <cfRule type="cellIs" dxfId="78" priority="1" operator="lessThan">
      <formula>0</formula>
    </cfRule>
  </conditionalFormatting>
  <conditionalFormatting sqref="E7:F9 F11:F14">
    <cfRule type="cellIs" dxfId="77" priority="10" operator="lessThan">
      <formula>0</formula>
    </cfRule>
  </conditionalFormatting>
  <conditionalFormatting sqref="E27:F29">
    <cfRule type="cellIs" dxfId="76" priority="6" operator="lessThan">
      <formula>0</formula>
    </cfRule>
    <cfRule type="cellIs" dxfId="75" priority="7" operator="lessThan">
      <formula>0</formula>
    </cfRule>
  </conditionalFormatting>
  <conditionalFormatting sqref="E31:F34">
    <cfRule type="cellIs" dxfId="74" priority="2" operator="lessThan">
      <formula>0</formula>
    </cfRule>
    <cfRule type="cellIs" dxfId="73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4"/>
  <sheetViews>
    <sheetView topLeftCell="A58" workbookViewId="0">
      <selection activeCell="A69" sqref="A69"/>
    </sheetView>
  </sheetViews>
  <sheetFormatPr defaultRowHeight="16.5"/>
  <cols>
    <col min="1" max="1" width="16.875" style="5" customWidth="1"/>
    <col min="2" max="2" width="13.5" style="5" customWidth="1"/>
    <col min="3" max="3" width="12.625" style="59" customWidth="1"/>
    <col min="4" max="4" width="13.75" style="60" customWidth="1"/>
    <col min="5" max="5" width="15" style="5" customWidth="1"/>
    <col min="6" max="6" width="15.125" style="59" customWidth="1"/>
    <col min="7" max="7" width="12.25" style="60" customWidth="1"/>
    <col min="8" max="9" width="12.5" style="5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19.5">
      <c r="A1" s="1" t="s">
        <v>497</v>
      </c>
      <c r="B1" s="1"/>
      <c r="C1" s="57"/>
      <c r="D1" s="58"/>
      <c r="E1" s="1"/>
      <c r="F1" s="57"/>
      <c r="G1" s="58"/>
    </row>
    <row r="2" spans="1:10">
      <c r="G2" s="61"/>
    </row>
    <row r="3" spans="1:10">
      <c r="A3" s="62" t="s">
        <v>107</v>
      </c>
      <c r="B3" s="63"/>
      <c r="C3" s="64"/>
      <c r="D3" s="65"/>
      <c r="E3" s="63"/>
      <c r="F3" s="66"/>
      <c r="G3" s="67"/>
      <c r="H3" s="68"/>
      <c r="I3" s="68"/>
      <c r="J3" s="69"/>
    </row>
    <row r="4" spans="1:10">
      <c r="A4" s="70" t="s">
        <v>498</v>
      </c>
      <c r="B4" s="8" t="s">
        <v>463</v>
      </c>
      <c r="C4" s="71" t="s">
        <v>464</v>
      </c>
      <c r="D4" s="72" t="s">
        <v>159</v>
      </c>
      <c r="E4" s="8" t="s">
        <v>463</v>
      </c>
      <c r="F4" s="546" t="s">
        <v>464</v>
      </c>
      <c r="G4" s="74" t="s">
        <v>160</v>
      </c>
      <c r="H4" s="8" t="s">
        <v>463</v>
      </c>
      <c r="I4" s="71" t="s">
        <v>464</v>
      </c>
      <c r="J4" s="75" t="s">
        <v>160</v>
      </c>
    </row>
    <row r="5" spans="1:10">
      <c r="A5" s="14"/>
      <c r="B5" s="8" t="s">
        <v>32</v>
      </c>
      <c r="C5" s="76" t="s">
        <v>32</v>
      </c>
      <c r="D5" s="451" t="s">
        <v>1</v>
      </c>
      <c r="E5" s="77" t="s">
        <v>33</v>
      </c>
      <c r="F5" s="547" t="s">
        <v>33</v>
      </c>
      <c r="G5" s="451" t="s">
        <v>1</v>
      </c>
      <c r="H5" s="78" t="s">
        <v>108</v>
      </c>
      <c r="I5" s="79" t="s">
        <v>109</v>
      </c>
      <c r="J5" s="451" t="s">
        <v>1</v>
      </c>
    </row>
    <row r="6" spans="1:10">
      <c r="A6" s="80" t="s">
        <v>4</v>
      </c>
      <c r="B6" s="17"/>
      <c r="C6" s="81"/>
      <c r="D6" s="82"/>
      <c r="E6" s="17"/>
      <c r="F6" s="548"/>
      <c r="G6" s="82"/>
      <c r="H6" s="83"/>
      <c r="I6" s="84"/>
      <c r="J6" s="82"/>
    </row>
    <row r="7" spans="1:10">
      <c r="A7" s="80" t="s">
        <v>5</v>
      </c>
      <c r="B7" s="22">
        <f>SUM(B8:B10)</f>
        <v>52830</v>
      </c>
      <c r="C7" s="85">
        <f>SUM(C8:C10)</f>
        <v>93572</v>
      </c>
      <c r="D7" s="516">
        <f>IF(C7,(B7-C7)/C7,0)</f>
        <v>-0.43540802804257683</v>
      </c>
      <c r="E7" s="22">
        <f>SUM(E8:E10)</f>
        <v>51632659</v>
      </c>
      <c r="F7" s="85">
        <f>SUM(F8:F10)</f>
        <v>95982121</v>
      </c>
      <c r="G7" s="516">
        <f>IF(F7,(E7-F7)/F7,0)</f>
        <v>-0.46205961629041309</v>
      </c>
      <c r="H7" s="87">
        <f>IF(B7,E7/B7,0)</f>
        <v>977.33596441415864</v>
      </c>
      <c r="I7" s="88">
        <f>IF(C7,F7/C7,0)</f>
        <v>1025.7568610268029</v>
      </c>
      <c r="J7" s="516">
        <f>IF(I7,(H7-I7)/I7,0)</f>
        <v>-4.7205042883333936E-2</v>
      </c>
    </row>
    <row r="8" spans="1:10">
      <c r="A8" s="455" t="s">
        <v>201</v>
      </c>
      <c r="B8" s="28">
        <f>整車!E8</f>
        <v>47233</v>
      </c>
      <c r="C8" s="89">
        <f>VLOOKUP(A8,[5]進出口值表查詢結果!$A$10:$C$71,3,0)</f>
        <v>82925</v>
      </c>
      <c r="D8" s="516">
        <f t="shared" ref="D8:D67" si="0">IF(C8,(B8-C8)/C8,0)</f>
        <v>-0.43041302381670182</v>
      </c>
      <c r="E8" s="27">
        <f>整車!G8</f>
        <v>43912705</v>
      </c>
      <c r="F8" s="89">
        <f>VLOOKUP(A8,[5]進出口值表查詢結果!$A$10:$C$71,2,0)</f>
        <v>82148852</v>
      </c>
      <c r="G8" s="516">
        <f t="shared" ref="G8:G67" si="1">IF(F8,(E8-F8)/F8,0)</f>
        <v>-0.46544955978204056</v>
      </c>
      <c r="H8" s="87">
        <f t="shared" ref="H8:H10" si="2">IF(B8,E8/B8,0)</f>
        <v>929.70391463595365</v>
      </c>
      <c r="I8" s="88">
        <f t="shared" ref="I8:I10" si="3">IF(C8,F8/C8,0)</f>
        <v>990.64036177268611</v>
      </c>
      <c r="J8" s="516">
        <f t="shared" ref="J8:J67" si="4">IF(I8,(H8-I8)/I8,0)</f>
        <v>-6.1512178877600618E-2</v>
      </c>
    </row>
    <row r="9" spans="1:10">
      <c r="A9" s="456" t="s">
        <v>6</v>
      </c>
      <c r="B9" s="28">
        <f>整車!E9</f>
        <v>4868</v>
      </c>
      <c r="C9" s="89">
        <f>VLOOKUP(A9,[5]進出口值表查詢結果!$A$10:$C$71,3,0)</f>
        <v>8651</v>
      </c>
      <c r="D9" s="516">
        <f t="shared" si="0"/>
        <v>-0.43729048664894232</v>
      </c>
      <c r="E9" s="27">
        <f>整車!G9</f>
        <v>7035526</v>
      </c>
      <c r="F9" s="89">
        <f>VLOOKUP(A9,[5]進出口值表查詢結果!$A$10:$C$71,2,0)</f>
        <v>10959609</v>
      </c>
      <c r="G9" s="516">
        <f t="shared" si="1"/>
        <v>-0.35804954355579655</v>
      </c>
      <c r="H9" s="87">
        <f t="shared" si="2"/>
        <v>1445.2600657354149</v>
      </c>
      <c r="I9" s="88">
        <f t="shared" si="3"/>
        <v>1266.8603629638192</v>
      </c>
      <c r="J9" s="516">
        <f t="shared" si="4"/>
        <v>0.14082033662670579</v>
      </c>
    </row>
    <row r="10" spans="1:10">
      <c r="A10" s="456" t="s">
        <v>7</v>
      </c>
      <c r="B10" s="28">
        <f>整車!E10</f>
        <v>729</v>
      </c>
      <c r="C10" s="89">
        <f>VLOOKUP(A10,[5]進出口值表查詢結果!$A$10:$C$71,3,0)</f>
        <v>1996</v>
      </c>
      <c r="D10" s="516">
        <f t="shared" si="0"/>
        <v>-0.63476953907815636</v>
      </c>
      <c r="E10" s="27">
        <f>整車!G10</f>
        <v>684428</v>
      </c>
      <c r="F10" s="89">
        <f>VLOOKUP(A10,[5]進出口值表查詢結果!$A$10:$C$71,2,0)</f>
        <v>2873660</v>
      </c>
      <c r="G10" s="516">
        <f t="shared" si="1"/>
        <v>-0.76182707766402424</v>
      </c>
      <c r="H10" s="87">
        <f t="shared" si="2"/>
        <v>938.85871056241422</v>
      </c>
      <c r="I10" s="88">
        <f t="shared" si="3"/>
        <v>1439.7094188376755</v>
      </c>
      <c r="J10" s="516">
        <f t="shared" si="4"/>
        <v>-0.34788319206775381</v>
      </c>
    </row>
    <row r="11" spans="1:10">
      <c r="A11" s="30"/>
      <c r="B11" s="28"/>
      <c r="C11" s="90"/>
      <c r="D11" s="516"/>
      <c r="E11" s="27"/>
      <c r="F11" s="90"/>
      <c r="G11" s="516"/>
      <c r="H11" s="87"/>
      <c r="I11" s="88"/>
      <c r="J11" s="516"/>
    </row>
    <row r="12" spans="1:10">
      <c r="A12" s="32" t="s">
        <v>8</v>
      </c>
      <c r="B12" s="33">
        <f>SUM(B13:B39)</f>
        <v>43276</v>
      </c>
      <c r="C12" s="91">
        <f>SUM(C13:C39)</f>
        <v>89143</v>
      </c>
      <c r="D12" s="516">
        <f t="shared" si="0"/>
        <v>-0.5145328292743121</v>
      </c>
      <c r="E12" s="33">
        <f>SUM(E13:E39)</f>
        <v>49234931</v>
      </c>
      <c r="F12" s="91">
        <f>SUM(F13:F39)</f>
        <v>77232539</v>
      </c>
      <c r="G12" s="516">
        <f t="shared" si="1"/>
        <v>-0.36251052163389319</v>
      </c>
      <c r="H12" s="87">
        <f t="shared" ref="H12:H66" si="5">IF(B12,E12/B12,0)</f>
        <v>1137.6959746741843</v>
      </c>
      <c r="I12" s="88">
        <f t="shared" ref="I12:I66" si="6">IF(C12,F12/C12,0)</f>
        <v>866.3892734146259</v>
      </c>
      <c r="J12" s="516">
        <f t="shared" si="4"/>
        <v>0.31314642226614892</v>
      </c>
    </row>
    <row r="13" spans="1:10">
      <c r="A13" s="455" t="s">
        <v>202</v>
      </c>
      <c r="B13" s="27">
        <f>整車!E13</f>
        <v>16022</v>
      </c>
      <c r="C13" s="89">
        <f>VLOOKUP(A13,[5]進出口值表查詢結果!$A$10:$C$71,3,0)</f>
        <v>32518</v>
      </c>
      <c r="D13" s="516">
        <f t="shared" si="0"/>
        <v>-0.50728827111138441</v>
      </c>
      <c r="E13" s="27">
        <f>整車!G13</f>
        <v>26672998</v>
      </c>
      <c r="F13" s="89">
        <f>VLOOKUP(A13,[5]進出口值表查詢結果!$A$10:$C$71,2,0)</f>
        <v>37617060</v>
      </c>
      <c r="G13" s="516">
        <f t="shared" si="1"/>
        <v>-0.29093347539653552</v>
      </c>
      <c r="H13" s="87">
        <f t="shared" si="5"/>
        <v>1664.7733116964175</v>
      </c>
      <c r="I13" s="88">
        <f t="shared" si="6"/>
        <v>1156.8073067224307</v>
      </c>
      <c r="J13" s="516">
        <f t="shared" si="4"/>
        <v>0.43911030127671075</v>
      </c>
    </row>
    <row r="14" spans="1:10">
      <c r="A14" s="455" t="s">
        <v>203</v>
      </c>
      <c r="B14" s="27">
        <f>整車!E14</f>
        <v>10776</v>
      </c>
      <c r="C14" s="89">
        <f>VLOOKUP(A14,[5]進出口值表查詢結果!$A$10:$C$71,3,0)</f>
        <v>21364</v>
      </c>
      <c r="D14" s="516">
        <f t="shared" si="0"/>
        <v>-0.49560007489234226</v>
      </c>
      <c r="E14" s="27">
        <f>整車!G14</f>
        <v>8244241</v>
      </c>
      <c r="F14" s="89">
        <f>VLOOKUP(A14,[5]進出口值表查詢結果!$A$10:$C$71,2,0)</f>
        <v>10806376</v>
      </c>
      <c r="G14" s="516">
        <f t="shared" si="1"/>
        <v>-0.23709474850773285</v>
      </c>
      <c r="H14" s="87">
        <f t="shared" si="5"/>
        <v>765.05577208611726</v>
      </c>
      <c r="I14" s="88">
        <f t="shared" si="6"/>
        <v>505.82175622542593</v>
      </c>
      <c r="J14" s="516">
        <f t="shared" si="4"/>
        <v>0.51250072317008122</v>
      </c>
    </row>
    <row r="15" spans="1:10">
      <c r="A15" s="456" t="s">
        <v>9</v>
      </c>
      <c r="B15" s="27">
        <f>整車!E15</f>
        <v>1731</v>
      </c>
      <c r="C15" s="89">
        <f>VLOOKUP(A15,[5]進出口值表查詢結果!$A$10:$C$71,3,0)</f>
        <v>5106</v>
      </c>
      <c r="D15" s="516">
        <f t="shared" si="0"/>
        <v>-0.66098707403055235</v>
      </c>
      <c r="E15" s="27">
        <f>整車!G15</f>
        <v>2852767</v>
      </c>
      <c r="F15" s="89">
        <f>VLOOKUP(A15,[5]進出口值表查詢結果!$A$10:$C$71,2,0)</f>
        <v>4422853</v>
      </c>
      <c r="G15" s="516">
        <f t="shared" si="1"/>
        <v>-0.3549939371713236</v>
      </c>
      <c r="H15" s="87">
        <f t="shared" si="5"/>
        <v>1648.0456383593298</v>
      </c>
      <c r="I15" s="88">
        <f t="shared" si="6"/>
        <v>866.20701135918523</v>
      </c>
      <c r="J15" s="516">
        <f t="shared" si="4"/>
        <v>0.90260020612548919</v>
      </c>
    </row>
    <row r="16" spans="1:10">
      <c r="A16" s="455" t="s">
        <v>204</v>
      </c>
      <c r="B16" s="27">
        <f>整車!E16</f>
        <v>1332</v>
      </c>
      <c r="C16" s="89">
        <f>VLOOKUP(A16,[5]進出口值表查詢結果!$A$10:$C$71,3,0)</f>
        <v>9122</v>
      </c>
      <c r="D16" s="516">
        <f t="shared" si="0"/>
        <v>-0.85397939048454286</v>
      </c>
      <c r="E16" s="27">
        <f>整車!G16</f>
        <v>2523924</v>
      </c>
      <c r="F16" s="89">
        <f>VLOOKUP(A16,[5]進出口值表查詢結果!$A$10:$C$71,2,0)</f>
        <v>7036457</v>
      </c>
      <c r="G16" s="516">
        <f t="shared" si="1"/>
        <v>-0.64130755009232632</v>
      </c>
      <c r="H16" s="87">
        <f t="shared" si="5"/>
        <v>1894.8378378378379</v>
      </c>
      <c r="I16" s="88">
        <f t="shared" si="6"/>
        <v>771.37217715413283</v>
      </c>
      <c r="J16" s="516">
        <f t="shared" si="4"/>
        <v>1.4564508468902402</v>
      </c>
    </row>
    <row r="17" spans="1:10">
      <c r="A17" s="456" t="s">
        <v>10</v>
      </c>
      <c r="B17" s="27">
        <f>整車!E17</f>
        <v>1682</v>
      </c>
      <c r="C17" s="89">
        <f>VLOOKUP(A17,[5]進出口值表查詢結果!$A$10:$C$71,3,0)</f>
        <v>2759</v>
      </c>
      <c r="D17" s="516">
        <f t="shared" si="0"/>
        <v>-0.39035882566147156</v>
      </c>
      <c r="E17" s="27">
        <f>整車!G17</f>
        <v>2884073</v>
      </c>
      <c r="F17" s="89">
        <f>VLOOKUP(A17,[5]進出口值表查詢結果!$A$10:$C$71,2,0)</f>
        <v>5018191</v>
      </c>
      <c r="G17" s="516">
        <f t="shared" si="1"/>
        <v>-0.42527635954868998</v>
      </c>
      <c r="H17" s="87">
        <f t="shared" si="5"/>
        <v>1714.6688466111771</v>
      </c>
      <c r="I17" s="88">
        <f t="shared" si="6"/>
        <v>1818.844146429866</v>
      </c>
      <c r="J17" s="516">
        <f t="shared" si="4"/>
        <v>-5.7275550532007002E-2</v>
      </c>
    </row>
    <row r="18" spans="1:10">
      <c r="A18" s="456" t="s">
        <v>11</v>
      </c>
      <c r="B18" s="27">
        <f>整車!E18</f>
        <v>1949</v>
      </c>
      <c r="C18" s="89">
        <f>VLOOKUP(A18,[5]進出口值表查詢結果!$A$10:$C$71,3,0)</f>
        <v>3204</v>
      </c>
      <c r="D18" s="516">
        <f t="shared" si="0"/>
        <v>-0.39169787765293385</v>
      </c>
      <c r="E18" s="27">
        <f>整車!G18</f>
        <v>1623560</v>
      </c>
      <c r="F18" s="89">
        <f>VLOOKUP(A18,[5]進出口值表查詢結果!$A$10:$C$71,2,0)</f>
        <v>6439513</v>
      </c>
      <c r="G18" s="516">
        <f t="shared" si="1"/>
        <v>-0.74787534398952216</v>
      </c>
      <c r="H18" s="87">
        <f t="shared" si="5"/>
        <v>833.02206259620323</v>
      </c>
      <c r="I18" s="88">
        <f t="shared" si="6"/>
        <v>2009.8355181023721</v>
      </c>
      <c r="J18" s="516">
        <f t="shared" si="4"/>
        <v>-0.58552724584013804</v>
      </c>
    </row>
    <row r="19" spans="1:10">
      <c r="A19" s="455" t="s">
        <v>205</v>
      </c>
      <c r="B19" s="27">
        <f>整車!E19</f>
        <v>2427</v>
      </c>
      <c r="C19" s="89">
        <f>VLOOKUP(A19,[5]進出口值表查詢結果!$A$10:$C$71,3,0)</f>
        <v>1721</v>
      </c>
      <c r="D19" s="516">
        <f t="shared" si="0"/>
        <v>0.41022661243463104</v>
      </c>
      <c r="E19" s="27">
        <f>整車!G19</f>
        <v>188013</v>
      </c>
      <c r="F19" s="89">
        <f>VLOOKUP(A19,[5]進出口值表查詢結果!$A$10:$C$71,2,0)</f>
        <v>681400</v>
      </c>
      <c r="G19" s="516">
        <f t="shared" si="1"/>
        <v>-0.72407836806574699</v>
      </c>
      <c r="H19" s="87">
        <f t="shared" si="5"/>
        <v>77.467243510506805</v>
      </c>
      <c r="I19" s="88">
        <f t="shared" si="6"/>
        <v>395.9325973271354</v>
      </c>
      <c r="J19" s="516">
        <f t="shared" si="4"/>
        <v>-0.80434234505197799</v>
      </c>
    </row>
    <row r="20" spans="1:10">
      <c r="A20" s="456" t="s">
        <v>206</v>
      </c>
      <c r="B20" s="27">
        <f>整車!E20</f>
        <v>3</v>
      </c>
      <c r="C20" s="89">
        <v>0</v>
      </c>
      <c r="D20" s="516">
        <f t="shared" si="0"/>
        <v>0</v>
      </c>
      <c r="E20" s="27">
        <f>整車!G20</f>
        <v>7294</v>
      </c>
      <c r="F20" s="89">
        <f>_xlfn.IFNA(VLOOKUP(A20,[3]出同!$C$3:$H$107,3,0),-[4]整車!$B$22)</f>
        <v>0</v>
      </c>
      <c r="G20" s="516">
        <f t="shared" si="1"/>
        <v>0</v>
      </c>
      <c r="H20" s="87">
        <f t="shared" si="5"/>
        <v>2431.3333333333335</v>
      </c>
      <c r="I20" s="88">
        <f t="shared" si="6"/>
        <v>0</v>
      </c>
      <c r="J20" s="516">
        <f t="shared" si="4"/>
        <v>0</v>
      </c>
    </row>
    <row r="21" spans="1:10">
      <c r="A21" s="455" t="s">
        <v>207</v>
      </c>
      <c r="B21" s="27">
        <f>整車!E21</f>
        <v>0</v>
      </c>
      <c r="C21" s="89">
        <f>VLOOKUP(A21,[5]進出口值表查詢結果!$A$10:$C$71,3,0)</f>
        <v>359</v>
      </c>
      <c r="D21" s="516">
        <f t="shared" si="0"/>
        <v>-1</v>
      </c>
      <c r="E21" s="27">
        <f>整車!G21</f>
        <v>0</v>
      </c>
      <c r="F21" s="89">
        <f>VLOOKUP(A21,[5]進出口值表查詢結果!$A$10:$C$71,2,0)</f>
        <v>100346</v>
      </c>
      <c r="G21" s="516">
        <f t="shared" si="1"/>
        <v>-1</v>
      </c>
      <c r="H21" s="87">
        <f t="shared" si="5"/>
        <v>0</v>
      </c>
      <c r="I21" s="88">
        <f t="shared" si="6"/>
        <v>279.51532033426184</v>
      </c>
      <c r="J21" s="516">
        <f t="shared" si="4"/>
        <v>-1</v>
      </c>
    </row>
    <row r="22" spans="1:10">
      <c r="A22" s="456" t="s">
        <v>13</v>
      </c>
      <c r="B22" s="27">
        <f>整車!E22</f>
        <v>0</v>
      </c>
      <c r="C22" s="89">
        <v>0</v>
      </c>
      <c r="D22" s="516">
        <f t="shared" si="0"/>
        <v>0</v>
      </c>
      <c r="E22" s="27">
        <f>整車!G22</f>
        <v>0</v>
      </c>
      <c r="F22" s="89">
        <f>_xlfn.IFNA(VLOOKUP(A22,[3]出同!$C$3:$H$107,3,0),-[4]整車!$B$22)</f>
        <v>0</v>
      </c>
      <c r="G22" s="516">
        <f t="shared" si="1"/>
        <v>0</v>
      </c>
      <c r="H22" s="87">
        <f t="shared" si="5"/>
        <v>0</v>
      </c>
      <c r="I22" s="88">
        <f t="shared" si="6"/>
        <v>0</v>
      </c>
      <c r="J22" s="516">
        <f t="shared" si="4"/>
        <v>0</v>
      </c>
    </row>
    <row r="23" spans="1:10">
      <c r="A23" s="456" t="s">
        <v>14</v>
      </c>
      <c r="B23" s="27">
        <f>整車!E23</f>
        <v>0</v>
      </c>
      <c r="C23" s="89">
        <f>VLOOKUP(A23,[5]進出口值表查詢結果!$A$10:$C$71,3,0)</f>
        <v>2</v>
      </c>
      <c r="D23" s="516">
        <f t="shared" si="0"/>
        <v>-1</v>
      </c>
      <c r="E23" s="27">
        <f>整車!G23</f>
        <v>0</v>
      </c>
      <c r="F23" s="89">
        <f>VLOOKUP(A23,[5]進出口值表查詢結果!$A$10:$C$71,2,0)</f>
        <v>7582</v>
      </c>
      <c r="G23" s="516">
        <f t="shared" si="1"/>
        <v>-1</v>
      </c>
      <c r="H23" s="87">
        <f t="shared" si="5"/>
        <v>0</v>
      </c>
      <c r="I23" s="88">
        <f t="shared" si="6"/>
        <v>3791</v>
      </c>
      <c r="J23" s="516">
        <f t="shared" si="4"/>
        <v>-1</v>
      </c>
    </row>
    <row r="24" spans="1:10">
      <c r="A24" s="456" t="s">
        <v>15</v>
      </c>
      <c r="B24" s="27">
        <f>整車!E24</f>
        <v>1</v>
      </c>
      <c r="C24" s="89">
        <f>VLOOKUP(A24,[5]進出口值表查詢結果!$A$10:$C$71,3,0)</f>
        <v>29</v>
      </c>
      <c r="D24" s="516">
        <f t="shared" si="0"/>
        <v>-0.96551724137931039</v>
      </c>
      <c r="E24" s="27">
        <f>整車!G24</f>
        <v>611</v>
      </c>
      <c r="F24" s="89">
        <f>VLOOKUP(A24,[5]進出口值表查詢結果!$A$10:$C$71,2,0)</f>
        <v>73725</v>
      </c>
      <c r="G24" s="516">
        <f t="shared" si="1"/>
        <v>-0.99171244489657506</v>
      </c>
      <c r="H24" s="87">
        <f t="shared" si="5"/>
        <v>611</v>
      </c>
      <c r="I24" s="88">
        <f t="shared" si="6"/>
        <v>2542.2413793103447</v>
      </c>
      <c r="J24" s="516">
        <f t="shared" si="4"/>
        <v>-0.75966090200067815</v>
      </c>
    </row>
    <row r="25" spans="1:10">
      <c r="A25" s="455" t="s">
        <v>208</v>
      </c>
      <c r="B25" s="27">
        <f>整車!E25</f>
        <v>4026</v>
      </c>
      <c r="C25" s="89">
        <f>VLOOKUP(A25,[5]進出口值表查詢結果!$A$10:$C$71,3,0)</f>
        <v>5116</v>
      </c>
      <c r="D25" s="516">
        <f t="shared" si="0"/>
        <v>-0.2130570758405004</v>
      </c>
      <c r="E25" s="27">
        <f>整車!G25</f>
        <v>1666161</v>
      </c>
      <c r="F25" s="89">
        <f>VLOOKUP(A25,[5]進出口值表查詢結果!$A$10:$C$71,2,0)</f>
        <v>764582</v>
      </c>
      <c r="G25" s="516">
        <f t="shared" si="1"/>
        <v>1.1791789500668339</v>
      </c>
      <c r="H25" s="87">
        <f t="shared" si="5"/>
        <v>413.85022354694485</v>
      </c>
      <c r="I25" s="88">
        <f t="shared" si="6"/>
        <v>149.44917904612979</v>
      </c>
      <c r="J25" s="516">
        <f t="shared" si="4"/>
        <v>1.7691702703780232</v>
      </c>
    </row>
    <row r="26" spans="1:10">
      <c r="A26" s="455" t="s">
        <v>209</v>
      </c>
      <c r="B26" s="27">
        <f>整車!E26</f>
        <v>9</v>
      </c>
      <c r="C26" s="89">
        <f>VLOOKUP(A26,[5]進出口值表查詢結果!$A$10:$C$71,3,0)</f>
        <v>893</v>
      </c>
      <c r="D26" s="516">
        <f t="shared" si="0"/>
        <v>-0.98992161254199329</v>
      </c>
      <c r="E26" s="27">
        <f>整車!G26</f>
        <v>3570</v>
      </c>
      <c r="F26" s="89">
        <f>VLOOKUP(A26,[5]進出口值表查詢結果!$A$10:$C$71,2,0)</f>
        <v>424085</v>
      </c>
      <c r="G26" s="516">
        <f t="shared" si="1"/>
        <v>-0.99158187627480343</v>
      </c>
      <c r="H26" s="87">
        <f t="shared" si="5"/>
        <v>396.66666666666669</v>
      </c>
      <c r="I26" s="88">
        <f t="shared" si="6"/>
        <v>474.89921612541991</v>
      </c>
      <c r="J26" s="516">
        <f t="shared" si="4"/>
        <v>-0.16473505704438174</v>
      </c>
    </row>
    <row r="27" spans="1:10">
      <c r="A27" s="457" t="s">
        <v>210</v>
      </c>
      <c r="B27" s="27">
        <f>整車!E27</f>
        <v>933</v>
      </c>
      <c r="C27" s="89">
        <f>VLOOKUP(A27,[5]進出口值表查詢結果!$A$10:$C$71,3,0)</f>
        <v>3691</v>
      </c>
      <c r="D27" s="516">
        <f t="shared" si="0"/>
        <v>-0.74722297480357625</v>
      </c>
      <c r="E27" s="27">
        <f>整車!G27</f>
        <v>785023</v>
      </c>
      <c r="F27" s="89">
        <f>VLOOKUP(A27,[5]進出口值表查詢結果!$A$10:$C$71,2,0)</f>
        <v>2038918</v>
      </c>
      <c r="G27" s="516">
        <f t="shared" si="1"/>
        <v>-0.61498059264766902</v>
      </c>
      <c r="H27" s="87">
        <f t="shared" si="5"/>
        <v>841.39657020364416</v>
      </c>
      <c r="I27" s="88">
        <f t="shared" si="6"/>
        <v>552.40260092115955</v>
      </c>
      <c r="J27" s="516">
        <f t="shared" si="4"/>
        <v>0.52315823423092578</v>
      </c>
    </row>
    <row r="28" spans="1:10">
      <c r="A28" s="457" t="s">
        <v>211</v>
      </c>
      <c r="B28" s="27">
        <f>整車!E28</f>
        <v>1351</v>
      </c>
      <c r="C28" s="89">
        <f>VLOOKUP(A28,[5]進出口值表查詢結果!$A$10:$C$71,3,0)</f>
        <v>1697</v>
      </c>
      <c r="D28" s="516">
        <f t="shared" si="0"/>
        <v>-0.20388921626399528</v>
      </c>
      <c r="E28" s="27">
        <f>整車!G28</f>
        <v>1059734</v>
      </c>
      <c r="F28" s="89">
        <f>VLOOKUP(A28,[5]進出口值表查詢結果!$A$10:$C$71,2,0)</f>
        <v>1059948</v>
      </c>
      <c r="G28" s="516">
        <f t="shared" si="1"/>
        <v>-2.0189669681908924E-4</v>
      </c>
      <c r="H28" s="87">
        <f t="shared" si="5"/>
        <v>784.40710584752037</v>
      </c>
      <c r="I28" s="88">
        <f t="shared" si="6"/>
        <v>624.6010606953447</v>
      </c>
      <c r="J28" s="516">
        <f t="shared" si="4"/>
        <v>0.25585298394189349</v>
      </c>
    </row>
    <row r="29" spans="1:10">
      <c r="A29" s="456" t="s">
        <v>212</v>
      </c>
      <c r="B29" s="27">
        <f>整車!E29</f>
        <v>250</v>
      </c>
      <c r="C29" s="89">
        <f>VLOOKUP(A29,[5]進出口值表查詢結果!$A$10:$C$71,3,0)</f>
        <v>467</v>
      </c>
      <c r="D29" s="516">
        <f t="shared" si="0"/>
        <v>-0.46466809421841543</v>
      </c>
      <c r="E29" s="27">
        <f>整車!G29</f>
        <v>190660</v>
      </c>
      <c r="F29" s="89">
        <f>VLOOKUP(A29,[5]進出口值表查詢結果!$A$10:$C$71,2,0)</f>
        <v>236602</v>
      </c>
      <c r="G29" s="516">
        <f t="shared" si="1"/>
        <v>-0.19417418280487908</v>
      </c>
      <c r="H29" s="87">
        <f t="shared" si="5"/>
        <v>762.64</v>
      </c>
      <c r="I29" s="88">
        <f t="shared" si="6"/>
        <v>506.64239828693792</v>
      </c>
      <c r="J29" s="516">
        <f t="shared" si="4"/>
        <v>0.50528262652048583</v>
      </c>
    </row>
    <row r="30" spans="1:10">
      <c r="A30" s="456" t="s">
        <v>213</v>
      </c>
      <c r="B30" s="27">
        <f>整車!E30</f>
        <v>0</v>
      </c>
      <c r="C30" s="89">
        <v>0</v>
      </c>
      <c r="D30" s="516">
        <f t="shared" si="0"/>
        <v>0</v>
      </c>
      <c r="E30" s="27">
        <f>整車!G30</f>
        <v>0</v>
      </c>
      <c r="F30" s="89">
        <v>0</v>
      </c>
      <c r="G30" s="516">
        <f t="shared" si="1"/>
        <v>0</v>
      </c>
      <c r="H30" s="87">
        <f t="shared" si="5"/>
        <v>0</v>
      </c>
      <c r="I30" s="88">
        <f t="shared" si="6"/>
        <v>0</v>
      </c>
      <c r="J30" s="516">
        <f t="shared" si="4"/>
        <v>0</v>
      </c>
    </row>
    <row r="31" spans="1:10">
      <c r="A31" s="456" t="s">
        <v>16</v>
      </c>
      <c r="B31" s="27">
        <f>整車!E31</f>
        <v>364</v>
      </c>
      <c r="C31" s="89">
        <f>VLOOKUP(A31,[5]進出口值表查詢結果!$A$10:$C$71,3,0)</f>
        <v>182</v>
      </c>
      <c r="D31" s="516">
        <f t="shared" si="0"/>
        <v>1</v>
      </c>
      <c r="E31" s="390">
        <f>整車!G31</f>
        <v>454288</v>
      </c>
      <c r="F31" s="89">
        <f>VLOOKUP(A31,[5]進出口值表查詢結果!$A$10:$C$71,2,0)</f>
        <v>213117</v>
      </c>
      <c r="G31" s="516">
        <f t="shared" si="1"/>
        <v>1.1316366127526194</v>
      </c>
      <c r="H31" s="87">
        <f t="shared" si="5"/>
        <v>1248.0439560439561</v>
      </c>
      <c r="I31" s="88">
        <f t="shared" si="6"/>
        <v>1170.9725274725274</v>
      </c>
      <c r="J31" s="516">
        <f t="shared" si="4"/>
        <v>6.581830637630981E-2</v>
      </c>
    </row>
    <row r="32" spans="1:10">
      <c r="A32" s="456" t="s">
        <v>17</v>
      </c>
      <c r="B32" s="27">
        <f>整車!E32</f>
        <v>0</v>
      </c>
      <c r="C32" s="89">
        <v>0</v>
      </c>
      <c r="D32" s="516">
        <f t="shared" si="0"/>
        <v>0</v>
      </c>
      <c r="E32" s="27">
        <f>整車!G32</f>
        <v>0</v>
      </c>
      <c r="F32" s="89">
        <v>0</v>
      </c>
      <c r="G32" s="516">
        <f t="shared" si="1"/>
        <v>0</v>
      </c>
      <c r="H32" s="87">
        <f t="shared" si="5"/>
        <v>0</v>
      </c>
      <c r="I32" s="88">
        <f t="shared" si="6"/>
        <v>0</v>
      </c>
      <c r="J32" s="516">
        <f t="shared" si="4"/>
        <v>0</v>
      </c>
    </row>
    <row r="33" spans="1:10">
      <c r="A33" s="456" t="s">
        <v>214</v>
      </c>
      <c r="B33" s="27">
        <f>整車!E33</f>
        <v>292</v>
      </c>
      <c r="C33" s="89">
        <f>VLOOKUP(A33,[5]進出口值表查詢結果!$A$10:$C$71,3,0)</f>
        <v>464</v>
      </c>
      <c r="D33" s="516">
        <f t="shared" si="0"/>
        <v>-0.37068965517241381</v>
      </c>
      <c r="E33" s="27">
        <f>整車!G33</f>
        <v>60855</v>
      </c>
      <c r="F33" s="89">
        <f>VLOOKUP(A33,[5]進出口值表查詢結果!$A$10:$C$71,2,0)</f>
        <v>180553</v>
      </c>
      <c r="G33" s="516">
        <f t="shared" si="1"/>
        <v>-0.66295215255354378</v>
      </c>
      <c r="H33" s="87">
        <f t="shared" si="5"/>
        <v>208.40753424657535</v>
      </c>
      <c r="I33" s="88">
        <f t="shared" si="6"/>
        <v>389.12284482758622</v>
      </c>
      <c r="J33" s="516">
        <f t="shared" si="4"/>
        <v>-0.46441711912617922</v>
      </c>
    </row>
    <row r="34" spans="1:10">
      <c r="A34" s="456" t="s">
        <v>215</v>
      </c>
      <c r="B34" s="27">
        <f>整車!E34</f>
        <v>0</v>
      </c>
      <c r="C34" s="89">
        <v>0</v>
      </c>
      <c r="D34" s="516">
        <f t="shared" si="0"/>
        <v>0</v>
      </c>
      <c r="E34" s="27">
        <f>整車!G34</f>
        <v>0</v>
      </c>
      <c r="F34" s="89">
        <v>0</v>
      </c>
      <c r="G34" s="516">
        <f t="shared" si="1"/>
        <v>0</v>
      </c>
      <c r="H34" s="87">
        <f t="shared" si="5"/>
        <v>0</v>
      </c>
      <c r="I34" s="88">
        <f t="shared" si="6"/>
        <v>0</v>
      </c>
      <c r="J34" s="516">
        <f t="shared" si="4"/>
        <v>0</v>
      </c>
    </row>
    <row r="35" spans="1:10">
      <c r="A35" s="456" t="s">
        <v>216</v>
      </c>
      <c r="B35" s="27">
        <f>整車!E35</f>
        <v>0</v>
      </c>
      <c r="C35" s="89">
        <f>VLOOKUP(A35,[5]進出口值表查詢結果!$A$10:$C$71,3,0)</f>
        <v>126</v>
      </c>
      <c r="D35" s="516">
        <f t="shared" si="0"/>
        <v>-1</v>
      </c>
      <c r="E35" s="27">
        <f>整車!G35</f>
        <v>0</v>
      </c>
      <c r="F35" s="89">
        <f>VLOOKUP(A35,[5]進出口值表查詢結果!$A$10:$C$71,2,0)</f>
        <v>45446</v>
      </c>
      <c r="G35" s="516">
        <f t="shared" si="1"/>
        <v>-1</v>
      </c>
      <c r="H35" s="87">
        <f t="shared" si="5"/>
        <v>0</v>
      </c>
      <c r="I35" s="88">
        <f t="shared" si="6"/>
        <v>360.6825396825397</v>
      </c>
      <c r="J35" s="516">
        <f t="shared" si="4"/>
        <v>-1</v>
      </c>
    </row>
    <row r="36" spans="1:10">
      <c r="A36" s="456" t="s">
        <v>217</v>
      </c>
      <c r="B36" s="27">
        <f>整車!E36</f>
        <v>128</v>
      </c>
      <c r="C36" s="89">
        <v>0</v>
      </c>
      <c r="D36" s="516">
        <f t="shared" si="0"/>
        <v>0</v>
      </c>
      <c r="E36" s="27">
        <f>整車!G36</f>
        <v>17159</v>
      </c>
      <c r="F36" s="89">
        <f>_xlfn.IFNA(VLOOKUP(A36,[3]出同!$C$3:$H$107,3,0),-[4]整車!$B$22)</f>
        <v>0</v>
      </c>
      <c r="G36" s="516">
        <f t="shared" si="1"/>
        <v>0</v>
      </c>
      <c r="H36" s="87">
        <f t="shared" si="5"/>
        <v>134.0546875</v>
      </c>
      <c r="I36" s="88">
        <f t="shared" si="6"/>
        <v>0</v>
      </c>
      <c r="J36" s="516">
        <f t="shared" si="4"/>
        <v>0</v>
      </c>
    </row>
    <row r="37" spans="1:10">
      <c r="A37" s="456" t="s">
        <v>218</v>
      </c>
      <c r="B37" s="27">
        <f>整車!E37</f>
        <v>0</v>
      </c>
      <c r="C37" s="89">
        <v>0</v>
      </c>
      <c r="D37" s="516">
        <f t="shared" si="0"/>
        <v>0</v>
      </c>
      <c r="E37" s="27">
        <f>整車!G37</f>
        <v>0</v>
      </c>
      <c r="F37" s="89">
        <v>0</v>
      </c>
      <c r="G37" s="516">
        <f t="shared" si="1"/>
        <v>0</v>
      </c>
      <c r="H37" s="87">
        <f t="shared" si="5"/>
        <v>0</v>
      </c>
      <c r="I37" s="88">
        <f t="shared" si="6"/>
        <v>0</v>
      </c>
      <c r="J37" s="516">
        <f t="shared" si="4"/>
        <v>0</v>
      </c>
    </row>
    <row r="38" spans="1:10">
      <c r="A38" s="456" t="s">
        <v>219</v>
      </c>
      <c r="B38" s="27">
        <f>整車!E38</f>
        <v>0</v>
      </c>
      <c r="C38" s="89">
        <v>0</v>
      </c>
      <c r="D38" s="516">
        <f t="shared" si="0"/>
        <v>0</v>
      </c>
      <c r="E38" s="27">
        <f>整車!G38</f>
        <v>0</v>
      </c>
      <c r="F38" s="89">
        <v>0</v>
      </c>
      <c r="G38" s="516">
        <f t="shared" si="1"/>
        <v>0</v>
      </c>
      <c r="H38" s="87">
        <f t="shared" si="5"/>
        <v>0</v>
      </c>
      <c r="I38" s="88">
        <f t="shared" si="6"/>
        <v>0</v>
      </c>
      <c r="J38" s="516">
        <f t="shared" si="4"/>
        <v>0</v>
      </c>
    </row>
    <row r="39" spans="1:10">
      <c r="A39" s="456" t="s">
        <v>18</v>
      </c>
      <c r="B39" s="27">
        <f>整車!E39</f>
        <v>0</v>
      </c>
      <c r="C39" s="89">
        <f>VLOOKUP(A39,[5]進出口值表查詢結果!$A$10:$C$71,3,0)</f>
        <v>323</v>
      </c>
      <c r="D39" s="516">
        <f t="shared" si="0"/>
        <v>-1</v>
      </c>
      <c r="E39" s="27">
        <f>整車!G39</f>
        <v>0</v>
      </c>
      <c r="F39" s="89">
        <f>VLOOKUP(A39,[5]進出口值表查詢結果!$A$10:$C$71,2,0)</f>
        <v>65785</v>
      </c>
      <c r="G39" s="516">
        <f t="shared" si="1"/>
        <v>-1</v>
      </c>
      <c r="H39" s="87">
        <f t="shared" si="5"/>
        <v>0</v>
      </c>
      <c r="I39" s="88">
        <f t="shared" si="6"/>
        <v>203.6687306501548</v>
      </c>
      <c r="J39" s="516">
        <f t="shared" si="4"/>
        <v>-1</v>
      </c>
    </row>
    <row r="40" spans="1:10">
      <c r="A40" s="30"/>
      <c r="B40" s="27"/>
      <c r="C40" s="90"/>
      <c r="D40" s="516"/>
      <c r="E40" s="27"/>
      <c r="F40" s="90"/>
      <c r="G40" s="516"/>
      <c r="H40" s="87"/>
      <c r="I40" s="88"/>
      <c r="J40" s="516"/>
    </row>
    <row r="41" spans="1:10" ht="16.149999999999999" customHeight="1">
      <c r="A41" s="36" t="s">
        <v>19</v>
      </c>
      <c r="B41" s="33">
        <f>SUM(B42:B45)</f>
        <v>6892</v>
      </c>
      <c r="C41" s="91">
        <f>SUM(C42:C45)</f>
        <v>12105</v>
      </c>
      <c r="D41" s="516">
        <f t="shared" si="0"/>
        <v>-0.43064849235852953</v>
      </c>
      <c r="E41" s="33">
        <f>SUM(E42:E45)</f>
        <v>6750809</v>
      </c>
      <c r="F41" s="91">
        <f>SUM(F42:F45)</f>
        <v>6865433</v>
      </c>
      <c r="G41" s="516">
        <f t="shared" si="1"/>
        <v>-1.6695815107364679E-2</v>
      </c>
      <c r="H41" s="87">
        <f t="shared" si="5"/>
        <v>979.5137840975043</v>
      </c>
      <c r="I41" s="88">
        <f t="shared" si="6"/>
        <v>567.15679471292856</v>
      </c>
      <c r="J41" s="516">
        <f t="shared" si="4"/>
        <v>0.72705994749352143</v>
      </c>
    </row>
    <row r="42" spans="1:10">
      <c r="A42" s="455" t="s">
        <v>220</v>
      </c>
      <c r="B42" s="27">
        <f>整車!E42</f>
        <v>2308</v>
      </c>
      <c r="C42" s="89">
        <f>VLOOKUP(A42,[5]進出口值表查詢結果!$A$10:$C$71,3,0)</f>
        <v>2832</v>
      </c>
      <c r="D42" s="516">
        <f t="shared" si="0"/>
        <v>-0.18502824858757061</v>
      </c>
      <c r="E42" s="27">
        <f>整車!G42</f>
        <v>3671924</v>
      </c>
      <c r="F42" s="89">
        <f>VLOOKUP(A42,[5]進出口值表查詢結果!$A$10:$C$71,2,0)</f>
        <v>3880548</v>
      </c>
      <c r="G42" s="516">
        <f t="shared" si="1"/>
        <v>-5.3761479048835367E-2</v>
      </c>
      <c r="H42" s="87">
        <f t="shared" si="5"/>
        <v>1590.9549393414211</v>
      </c>
      <c r="I42" s="88">
        <f t="shared" si="6"/>
        <v>1370.25</v>
      </c>
      <c r="J42" s="516">
        <f t="shared" si="4"/>
        <v>0.16106910369744287</v>
      </c>
    </row>
    <row r="43" spans="1:10">
      <c r="A43" s="455" t="s">
        <v>221</v>
      </c>
      <c r="B43" s="27">
        <f>整車!E43</f>
        <v>4580</v>
      </c>
      <c r="C43" s="89">
        <f>VLOOKUP(A43,[5]進出口值表查詢結果!$A$10:$C$71,3,0)</f>
        <v>9273</v>
      </c>
      <c r="D43" s="516">
        <f t="shared" si="0"/>
        <v>-0.50609295805025345</v>
      </c>
      <c r="E43" s="27">
        <f>整車!G43</f>
        <v>3072350</v>
      </c>
      <c r="F43" s="89">
        <f>VLOOKUP(A43,[5]進出口值表查詢結果!$A$10:$C$71,2,0)</f>
        <v>2984885</v>
      </c>
      <c r="G43" s="516">
        <f t="shared" si="1"/>
        <v>2.9302636449980483E-2</v>
      </c>
      <c r="H43" s="87">
        <f t="shared" si="5"/>
        <v>670.81877729257644</v>
      </c>
      <c r="I43" s="88">
        <f t="shared" si="6"/>
        <v>321.88989539523345</v>
      </c>
      <c r="J43" s="516">
        <f t="shared" si="4"/>
        <v>1.084000730960845</v>
      </c>
    </row>
    <row r="44" spans="1:10">
      <c r="A44" s="455" t="s">
        <v>222</v>
      </c>
      <c r="B44" s="27">
        <f>整車!E44</f>
        <v>4</v>
      </c>
      <c r="C44" s="89">
        <v>0</v>
      </c>
      <c r="D44" s="516">
        <f t="shared" si="0"/>
        <v>0</v>
      </c>
      <c r="E44" s="27">
        <f>整車!G44</f>
        <v>6535</v>
      </c>
      <c r="F44" s="89">
        <v>0</v>
      </c>
      <c r="G44" s="516">
        <f t="shared" si="1"/>
        <v>0</v>
      </c>
      <c r="H44" s="87">
        <f t="shared" si="5"/>
        <v>1633.75</v>
      </c>
      <c r="I44" s="88">
        <f t="shared" si="6"/>
        <v>0</v>
      </c>
      <c r="J44" s="516">
        <f t="shared" si="4"/>
        <v>0</v>
      </c>
    </row>
    <row r="45" spans="1:10">
      <c r="A45" s="30" t="s">
        <v>20</v>
      </c>
      <c r="B45" s="27">
        <f>整車!E45</f>
        <v>0</v>
      </c>
      <c r="C45" s="89">
        <v>0</v>
      </c>
      <c r="D45" s="516">
        <f t="shared" si="0"/>
        <v>0</v>
      </c>
      <c r="E45" s="27">
        <f>整車!G45</f>
        <v>0</v>
      </c>
      <c r="F45" s="89">
        <v>0</v>
      </c>
      <c r="G45" s="516">
        <f t="shared" si="1"/>
        <v>0</v>
      </c>
      <c r="H45" s="87">
        <f t="shared" si="5"/>
        <v>0</v>
      </c>
      <c r="I45" s="88">
        <f t="shared" si="6"/>
        <v>0</v>
      </c>
      <c r="J45" s="516">
        <f t="shared" si="4"/>
        <v>0</v>
      </c>
    </row>
    <row r="46" spans="1:10" ht="17.45" customHeight="1">
      <c r="A46" s="30"/>
      <c r="B46" s="27"/>
      <c r="C46" s="90"/>
      <c r="D46" s="516"/>
      <c r="E46" s="27"/>
      <c r="F46" s="90"/>
      <c r="G46" s="516"/>
      <c r="H46" s="87"/>
      <c r="I46" s="88"/>
      <c r="J46" s="516"/>
    </row>
    <row r="47" spans="1:10">
      <c r="A47" s="36" t="s">
        <v>21</v>
      </c>
      <c r="B47" s="33">
        <f>SUM(B48:B65)</f>
        <v>41073</v>
      </c>
      <c r="C47" s="91">
        <f>SUM(C48:C65)</f>
        <v>76854</v>
      </c>
      <c r="D47" s="516">
        <f t="shared" si="0"/>
        <v>-0.46557108283238346</v>
      </c>
      <c r="E47" s="33">
        <f>SUM(E48:E65)</f>
        <v>49204992</v>
      </c>
      <c r="F47" s="91">
        <f>SUM(F48:F65)</f>
        <v>73652928</v>
      </c>
      <c r="G47" s="516">
        <f t="shared" si="1"/>
        <v>-0.33193433939245431</v>
      </c>
      <c r="H47" s="87">
        <f t="shared" si="5"/>
        <v>1197.9887517347163</v>
      </c>
      <c r="I47" s="88">
        <f t="shared" si="6"/>
        <v>958.34866109766574</v>
      </c>
      <c r="J47" s="516">
        <f t="shared" si="4"/>
        <v>0.25005522558206894</v>
      </c>
    </row>
    <row r="48" spans="1:10">
      <c r="A48" s="487" t="s">
        <v>163</v>
      </c>
      <c r="B48" s="27">
        <f>整車!E48</f>
        <v>7748</v>
      </c>
      <c r="C48" s="89">
        <f>VLOOKUP(A48,[5]進出口值表查詢結果!$A$10:$C$71,3,0)</f>
        <v>17818</v>
      </c>
      <c r="D48" s="516">
        <f t="shared" si="0"/>
        <v>-0.56515882815130769</v>
      </c>
      <c r="E48" s="27">
        <f>整車!G48</f>
        <v>8973117</v>
      </c>
      <c r="F48" s="89">
        <f>VLOOKUP(A48,[5]進出口值表查詢結果!$A$10:$C$71,2,0)</f>
        <v>13648463</v>
      </c>
      <c r="G48" s="516">
        <f t="shared" si="1"/>
        <v>-0.34255476239339183</v>
      </c>
      <c r="H48" s="87">
        <f t="shared" si="5"/>
        <v>1158.1204181724315</v>
      </c>
      <c r="I48" s="88">
        <f t="shared" si="6"/>
        <v>765.99298462229206</v>
      </c>
      <c r="J48" s="516">
        <f t="shared" si="4"/>
        <v>0.51192039799619815</v>
      </c>
    </row>
    <row r="49" spans="1:10">
      <c r="A49" s="455" t="s">
        <v>223</v>
      </c>
      <c r="B49" s="27">
        <f>整車!E49</f>
        <v>5659</v>
      </c>
      <c r="C49" s="89">
        <f>VLOOKUP(A49,[5]進出口值表查詢結果!$A$10:$C$71,3,0)</f>
        <v>9935</v>
      </c>
      <c r="D49" s="516">
        <f t="shared" si="0"/>
        <v>-0.43039758429793656</v>
      </c>
      <c r="E49" s="27">
        <f>整車!G49</f>
        <v>4968611</v>
      </c>
      <c r="F49" s="89">
        <f>VLOOKUP(A49,[5]進出口值表查詢結果!$A$10:$C$71,2,0)</f>
        <v>8527599</v>
      </c>
      <c r="G49" s="516">
        <f t="shared" si="1"/>
        <v>-0.4173493617605612</v>
      </c>
      <c r="H49" s="87">
        <f t="shared" si="5"/>
        <v>878.00159038699417</v>
      </c>
      <c r="I49" s="88">
        <f t="shared" si="6"/>
        <v>858.33910417715151</v>
      </c>
      <c r="J49" s="516">
        <f t="shared" si="4"/>
        <v>2.2907596909140165E-2</v>
      </c>
    </row>
    <row r="50" spans="1:10">
      <c r="A50" s="292" t="s">
        <v>224</v>
      </c>
      <c r="B50" s="27">
        <f>整車!E50</f>
        <v>460</v>
      </c>
      <c r="C50" s="89">
        <f>VLOOKUP(A50,[5]進出口值表查詢結果!$A$10:$C$71,3,0)</f>
        <v>202</v>
      </c>
      <c r="D50" s="516">
        <f t="shared" si="0"/>
        <v>1.2772277227722773</v>
      </c>
      <c r="E50" s="27">
        <f>整車!G50</f>
        <v>267796</v>
      </c>
      <c r="F50" s="89">
        <f>VLOOKUP(A50,[5]進出口值表查詢結果!$A$10:$C$71,2,0)</f>
        <v>160984</v>
      </c>
      <c r="G50" s="516">
        <f t="shared" si="1"/>
        <v>0.66349450877105798</v>
      </c>
      <c r="H50" s="87">
        <f t="shared" si="5"/>
        <v>582.1652173913044</v>
      </c>
      <c r="I50" s="88">
        <f t="shared" si="6"/>
        <v>796.95049504950498</v>
      </c>
      <c r="J50" s="516">
        <f t="shared" si="4"/>
        <v>-0.26950893310488322</v>
      </c>
    </row>
    <row r="51" spans="1:10">
      <c r="A51" s="455" t="s">
        <v>225</v>
      </c>
      <c r="B51" s="27">
        <f>整車!E51</f>
        <v>500</v>
      </c>
      <c r="C51" s="89">
        <f>VLOOKUP(A51,[5]進出口值表查詢結果!$A$10:$C$71,3,0)</f>
        <v>1219</v>
      </c>
      <c r="D51" s="516">
        <f t="shared" si="0"/>
        <v>-0.5898277276456112</v>
      </c>
      <c r="E51" s="27">
        <f>整車!G51</f>
        <v>715142</v>
      </c>
      <c r="F51" s="89">
        <f>VLOOKUP(A51,[5]進出口值表查詢結果!$A$10:$C$71,2,0)</f>
        <v>1906715</v>
      </c>
      <c r="G51" s="516">
        <f t="shared" si="1"/>
        <v>-0.62493503224131552</v>
      </c>
      <c r="H51" s="87">
        <f t="shared" si="5"/>
        <v>1430.2840000000001</v>
      </c>
      <c r="I51" s="88">
        <f t="shared" si="6"/>
        <v>1564.163248564397</v>
      </c>
      <c r="J51" s="516">
        <f t="shared" si="4"/>
        <v>-8.5591608604327254E-2</v>
      </c>
    </row>
    <row r="52" spans="1:10">
      <c r="A52" s="456" t="s">
        <v>22</v>
      </c>
      <c r="B52" s="27">
        <f>整車!E52</f>
        <v>182</v>
      </c>
      <c r="C52" s="89">
        <f>VLOOKUP(A52,[5]進出口值表查詢結果!$A$10:$C$71,3,0)</f>
        <v>1</v>
      </c>
      <c r="D52" s="516">
        <f t="shared" si="0"/>
        <v>181</v>
      </c>
      <c r="E52" s="27">
        <f>整車!G52</f>
        <v>265585</v>
      </c>
      <c r="F52" s="89">
        <f>VLOOKUP(A52,[5]進出口值表查詢結果!$A$10:$C$71,2,0)</f>
        <v>3562</v>
      </c>
      <c r="G52" s="516">
        <f t="shared" si="1"/>
        <v>73.560640089837165</v>
      </c>
      <c r="H52" s="87">
        <f t="shared" si="5"/>
        <v>1459.2582417582419</v>
      </c>
      <c r="I52" s="88">
        <f t="shared" si="6"/>
        <v>3562</v>
      </c>
      <c r="J52" s="516">
        <f t="shared" si="4"/>
        <v>-0.59032615335254301</v>
      </c>
    </row>
    <row r="53" spans="1:10">
      <c r="A53" s="455" t="s">
        <v>226</v>
      </c>
      <c r="B53" s="27">
        <f>整車!E53</f>
        <v>402</v>
      </c>
      <c r="C53" s="89">
        <f>VLOOKUP(A53,[5]進出口值表查詢結果!$A$10:$C$71,3,0)</f>
        <v>1161</v>
      </c>
      <c r="D53" s="516">
        <f t="shared" si="0"/>
        <v>-0.65374677002583981</v>
      </c>
      <c r="E53" s="27">
        <f>整車!G53</f>
        <v>511227</v>
      </c>
      <c r="F53" s="89">
        <f>VLOOKUP(A53,[5]進出口值表查詢結果!$A$10:$C$71,2,0)</f>
        <v>1731272</v>
      </c>
      <c r="G53" s="516">
        <f t="shared" si="1"/>
        <v>-0.7047101784121732</v>
      </c>
      <c r="H53" s="87">
        <f t="shared" si="5"/>
        <v>1271.7089552238806</v>
      </c>
      <c r="I53" s="88">
        <f t="shared" si="6"/>
        <v>1491.1903531438415</v>
      </c>
      <c r="J53" s="516">
        <f t="shared" si="4"/>
        <v>-0.14718536601127649</v>
      </c>
    </row>
    <row r="54" spans="1:10">
      <c r="A54" s="456" t="s">
        <v>227</v>
      </c>
      <c r="B54" s="27">
        <f>整車!E54</f>
        <v>4349</v>
      </c>
      <c r="C54" s="89">
        <f>VLOOKUP(A54,[5]進出口值表查詢結果!$A$10:$C$71,3,0)</f>
        <v>10520</v>
      </c>
      <c r="D54" s="516">
        <f t="shared" si="0"/>
        <v>-0.58659695817490498</v>
      </c>
      <c r="E54" s="27">
        <f>整車!G54</f>
        <v>4914234</v>
      </c>
      <c r="F54" s="89">
        <f>VLOOKUP(A54,[5]進出口值表查詢結果!$A$10:$C$71,2,0)</f>
        <v>15305572</v>
      </c>
      <c r="G54" s="516">
        <f t="shared" si="1"/>
        <v>-0.67892516529274438</v>
      </c>
      <c r="H54" s="87">
        <f t="shared" si="5"/>
        <v>1129.9687284433203</v>
      </c>
      <c r="I54" s="88">
        <f t="shared" si="6"/>
        <v>1454.9022813688214</v>
      </c>
      <c r="J54" s="516">
        <f t="shared" si="4"/>
        <v>-0.22333702894450932</v>
      </c>
    </row>
    <row r="55" spans="1:10">
      <c r="A55" s="456" t="s">
        <v>23</v>
      </c>
      <c r="B55" s="27">
        <f>整車!E55</f>
        <v>0</v>
      </c>
      <c r="C55" s="89">
        <f>VLOOKUP(A55,[5]進出口值表查詢結果!$A$10:$C$71,3,0)</f>
        <v>987</v>
      </c>
      <c r="D55" s="516">
        <f t="shared" si="0"/>
        <v>-1</v>
      </c>
      <c r="E55" s="27">
        <f>整車!G55</f>
        <v>0</v>
      </c>
      <c r="F55" s="89">
        <f>VLOOKUP(A55,[5]進出口值表查詢結果!$A$10:$C$71,2,0)</f>
        <v>1152690</v>
      </c>
      <c r="G55" s="516">
        <f t="shared" si="1"/>
        <v>-1</v>
      </c>
      <c r="H55" s="87">
        <f t="shared" si="5"/>
        <v>0</v>
      </c>
      <c r="I55" s="88">
        <f t="shared" si="6"/>
        <v>1167.872340425532</v>
      </c>
      <c r="J55" s="516">
        <f t="shared" si="4"/>
        <v>-1</v>
      </c>
    </row>
    <row r="56" spans="1:10">
      <c r="A56" s="456" t="s">
        <v>228</v>
      </c>
      <c r="B56" s="27">
        <f>整車!E56</f>
        <v>17578</v>
      </c>
      <c r="C56" s="89">
        <f>VLOOKUP(A56,[5]進出口值表查詢結果!$A$10:$C$71,3,0)</f>
        <v>21171</v>
      </c>
      <c r="D56" s="516">
        <f t="shared" si="0"/>
        <v>-0.16971328704359737</v>
      </c>
      <c r="E56" s="27">
        <f>整車!G56</f>
        <v>22288368</v>
      </c>
      <c r="F56" s="89">
        <f>VLOOKUP(A56,[5]進出口值表查詢結果!$A$10:$C$71,2,0)</f>
        <v>15183200</v>
      </c>
      <c r="G56" s="516">
        <f t="shared" si="1"/>
        <v>0.46796248485167818</v>
      </c>
      <c r="H56" s="87">
        <f t="shared" si="5"/>
        <v>1267.9695073387188</v>
      </c>
      <c r="I56" s="88">
        <f t="shared" si="6"/>
        <v>717.16971328704358</v>
      </c>
      <c r="J56" s="516">
        <f t="shared" si="4"/>
        <v>0.76801876019995896</v>
      </c>
    </row>
    <row r="57" spans="1:10">
      <c r="A57" s="458" t="s">
        <v>229</v>
      </c>
      <c r="B57" s="27">
        <f>整車!E57</f>
        <v>1518</v>
      </c>
      <c r="C57" s="89">
        <f>VLOOKUP(A57,[5]進出口值表查詢結果!$A$10:$C$71,3,0)</f>
        <v>8224</v>
      </c>
      <c r="D57" s="516">
        <f t="shared" si="0"/>
        <v>-0.81541828793774318</v>
      </c>
      <c r="E57" s="27">
        <f>整車!G57</f>
        <v>2654382</v>
      </c>
      <c r="F57" s="89">
        <f>VLOOKUP(A57,[5]進出口值表查詢結果!$A$10:$C$71,2,0)</f>
        <v>8024396</v>
      </c>
      <c r="G57" s="516">
        <f t="shared" si="1"/>
        <v>-0.66921099108269333</v>
      </c>
      <c r="H57" s="87">
        <f t="shared" si="5"/>
        <v>1748.604743083004</v>
      </c>
      <c r="I57" s="88">
        <f t="shared" si="6"/>
        <v>975.72908560311282</v>
      </c>
      <c r="J57" s="516">
        <f t="shared" si="4"/>
        <v>0.79210066491167996</v>
      </c>
    </row>
    <row r="58" spans="1:10">
      <c r="A58" s="456" t="s">
        <v>24</v>
      </c>
      <c r="B58" s="27">
        <f>整車!E58</f>
        <v>1126</v>
      </c>
      <c r="C58" s="89">
        <f>VLOOKUP(A58,[5]進出口值表查詢結果!$A$10:$C$71,3,0)</f>
        <v>482</v>
      </c>
      <c r="D58" s="516">
        <f t="shared" si="0"/>
        <v>1.3360995850622406</v>
      </c>
      <c r="E58" s="27">
        <f>整車!G58</f>
        <v>1214600</v>
      </c>
      <c r="F58" s="89">
        <f>VLOOKUP(A58,[5]進出口值表查詢結果!$A$10:$C$71,2,0)</f>
        <v>220197</v>
      </c>
      <c r="G58" s="516">
        <f t="shared" si="1"/>
        <v>4.5159697906874303</v>
      </c>
      <c r="H58" s="87">
        <f t="shared" si="5"/>
        <v>1078.6856127886324</v>
      </c>
      <c r="I58" s="88">
        <f t="shared" si="6"/>
        <v>456.84024896265561</v>
      </c>
      <c r="J58" s="516">
        <f t="shared" si="4"/>
        <v>1.361187778962115</v>
      </c>
    </row>
    <row r="59" spans="1:10">
      <c r="A59" s="456" t="s">
        <v>25</v>
      </c>
      <c r="B59" s="27">
        <f>整車!E59</f>
        <v>90</v>
      </c>
      <c r="C59" s="89">
        <f>VLOOKUP(A59,[5]進出口值表查詢結果!$A$10:$C$71,3,0)</f>
        <v>119</v>
      </c>
      <c r="D59" s="516">
        <f t="shared" si="0"/>
        <v>-0.24369747899159663</v>
      </c>
      <c r="E59" s="27">
        <f>整車!G59</f>
        <v>16677</v>
      </c>
      <c r="F59" s="89">
        <f>VLOOKUP(A59,[5]進出口值表查詢結果!$A$10:$C$71,2,0)</f>
        <v>44021</v>
      </c>
      <c r="G59" s="516">
        <f t="shared" si="1"/>
        <v>-0.62115808364189817</v>
      </c>
      <c r="H59" s="87">
        <f t="shared" si="5"/>
        <v>185.3</v>
      </c>
      <c r="I59" s="88">
        <f t="shared" si="6"/>
        <v>369.92436974789916</v>
      </c>
      <c r="J59" s="516">
        <f t="shared" si="4"/>
        <v>-0.49908679948206536</v>
      </c>
    </row>
    <row r="60" spans="1:10">
      <c r="A60" s="456" t="s">
        <v>26</v>
      </c>
      <c r="B60" s="27">
        <f>整車!E60</f>
        <v>446</v>
      </c>
      <c r="C60" s="89">
        <f>VLOOKUP(A60,[5]進出口值表查詢結果!$A$10:$C$71,3,0)</f>
        <v>2200</v>
      </c>
      <c r="D60" s="516">
        <f t="shared" si="0"/>
        <v>-0.79727272727272724</v>
      </c>
      <c r="E60" s="27">
        <f>整車!G60</f>
        <v>607846</v>
      </c>
      <c r="F60" s="89">
        <f>VLOOKUP(A60,[5]進出口值表查詢結果!$A$10:$C$71,2,0)</f>
        <v>3278045</v>
      </c>
      <c r="G60" s="516">
        <f t="shared" si="1"/>
        <v>-0.81457057483957662</v>
      </c>
      <c r="H60" s="87">
        <f t="shared" si="5"/>
        <v>1362.8834080717488</v>
      </c>
      <c r="I60" s="88">
        <f t="shared" si="6"/>
        <v>1490.0204545454546</v>
      </c>
      <c r="J60" s="516">
        <f t="shared" si="4"/>
        <v>-8.5325705486701001E-2</v>
      </c>
    </row>
    <row r="61" spans="1:10">
      <c r="A61" s="457" t="s">
        <v>230</v>
      </c>
      <c r="B61" s="27">
        <f>整車!E61</f>
        <v>306</v>
      </c>
      <c r="C61" s="89">
        <f>VLOOKUP(A61,[5]進出口值表查詢結果!$A$10:$C$71,3,0)</f>
        <v>949</v>
      </c>
      <c r="D61" s="516">
        <f t="shared" si="0"/>
        <v>-0.67755532139093788</v>
      </c>
      <c r="E61" s="27">
        <f>整車!G61</f>
        <v>642620</v>
      </c>
      <c r="F61" s="89">
        <f>VLOOKUP(A61,[5]進出口值表查詢結果!$A$10:$C$71,2,0)</f>
        <v>1964451</v>
      </c>
      <c r="G61" s="516">
        <f t="shared" si="1"/>
        <v>-0.67287552603755452</v>
      </c>
      <c r="H61" s="87">
        <f t="shared" si="5"/>
        <v>2100.0653594771243</v>
      </c>
      <c r="I61" s="88">
        <f t="shared" si="6"/>
        <v>2070.0221285563753</v>
      </c>
      <c r="J61" s="516">
        <f t="shared" si="4"/>
        <v>1.4513482975035167E-2</v>
      </c>
    </row>
    <row r="62" spans="1:10">
      <c r="A62" s="456" t="s">
        <v>27</v>
      </c>
      <c r="B62" s="27">
        <f>整車!E62</f>
        <v>342</v>
      </c>
      <c r="C62" s="89">
        <f>VLOOKUP(A62,[5]進出口值表查詢結果!$A$10:$C$71,3,0)</f>
        <v>674</v>
      </c>
      <c r="D62" s="516">
        <f t="shared" si="0"/>
        <v>-0.49258160237388726</v>
      </c>
      <c r="E62" s="27">
        <f>整車!G62</f>
        <v>532628</v>
      </c>
      <c r="F62" s="89">
        <f>VLOOKUP(A62,[5]進出口值表查詢結果!$A$10:$C$71,2,0)</f>
        <v>1274020</v>
      </c>
      <c r="G62" s="516">
        <f t="shared" si="1"/>
        <v>-0.58193120987111657</v>
      </c>
      <c r="H62" s="87">
        <f t="shared" si="5"/>
        <v>1557.3918128654971</v>
      </c>
      <c r="I62" s="88">
        <f t="shared" si="6"/>
        <v>1890.2373887240356</v>
      </c>
      <c r="J62" s="516">
        <f t="shared" si="4"/>
        <v>-0.17608665337173274</v>
      </c>
    </row>
    <row r="63" spans="1:10">
      <c r="A63" s="295" t="s">
        <v>231</v>
      </c>
      <c r="B63" s="27">
        <f>整車!E63</f>
        <v>32</v>
      </c>
      <c r="C63" s="89">
        <f>VLOOKUP(A63,[5]進出口值表查詢結果!$A$10:$C$71,3,0)</f>
        <v>21</v>
      </c>
      <c r="D63" s="516">
        <f t="shared" si="0"/>
        <v>0.52380952380952384</v>
      </c>
      <c r="E63" s="27">
        <f>整車!G63</f>
        <v>17756</v>
      </c>
      <c r="F63" s="89">
        <f>VLOOKUP(A63,[5]進出口值表查詢結果!$A$10:$C$71,2,0)</f>
        <v>71196</v>
      </c>
      <c r="G63" s="516">
        <f t="shared" si="1"/>
        <v>-0.75060396651497274</v>
      </c>
      <c r="H63" s="87">
        <f t="shared" si="5"/>
        <v>554.875</v>
      </c>
      <c r="I63" s="88">
        <f t="shared" si="6"/>
        <v>3390.2857142857142</v>
      </c>
      <c r="J63" s="516">
        <f t="shared" si="4"/>
        <v>-0.83633385302545082</v>
      </c>
    </row>
    <row r="64" spans="1:10">
      <c r="A64" s="456" t="s">
        <v>28</v>
      </c>
      <c r="B64" s="27">
        <f>整車!E64</f>
        <v>125</v>
      </c>
      <c r="C64" s="89">
        <f>VLOOKUP(A64,[5]進出口值表查詢結果!$A$10:$C$71,3,0)</f>
        <v>304</v>
      </c>
      <c r="D64" s="516">
        <f t="shared" si="0"/>
        <v>-0.58881578947368418</v>
      </c>
      <c r="E64" s="27">
        <f>整車!G64</f>
        <v>240413</v>
      </c>
      <c r="F64" s="89">
        <f>VLOOKUP(A64,[5]進出口值表查詢結果!$A$10:$C$71,2,0)</f>
        <v>586858</v>
      </c>
      <c r="G64" s="516">
        <f t="shared" si="1"/>
        <v>-0.59033871907684654</v>
      </c>
      <c r="H64" s="87">
        <f t="shared" si="5"/>
        <v>1923.3040000000001</v>
      </c>
      <c r="I64" s="88">
        <f t="shared" si="6"/>
        <v>1930.453947368421</v>
      </c>
      <c r="J64" s="516">
        <f t="shared" si="4"/>
        <v>-3.7037647948907058E-3</v>
      </c>
    </row>
    <row r="65" spans="1:10">
      <c r="A65" s="295" t="s">
        <v>232</v>
      </c>
      <c r="B65" s="27">
        <f>整車!E65</f>
        <v>210</v>
      </c>
      <c r="C65" s="89">
        <f>VLOOKUP(A65,[5]進出口值表查詢結果!$A$10:$C$71,3,0)</f>
        <v>867</v>
      </c>
      <c r="D65" s="516">
        <f t="shared" si="0"/>
        <v>-0.75778546712802763</v>
      </c>
      <c r="E65" s="27">
        <f>整車!G65</f>
        <v>373990</v>
      </c>
      <c r="F65" s="89">
        <f>VLOOKUP(A65,[5]進出口值表查詢結果!$A$10:$C$71,2,0)</f>
        <v>569687</v>
      </c>
      <c r="G65" s="516">
        <f t="shared" si="1"/>
        <v>-0.34351670303166476</v>
      </c>
      <c r="H65" s="87">
        <f t="shared" si="5"/>
        <v>1780.9047619047619</v>
      </c>
      <c r="I65" s="88">
        <f t="shared" si="6"/>
        <v>657.07843137254906</v>
      </c>
      <c r="J65" s="516">
        <f t="shared" si="4"/>
        <v>1.7103381831978413</v>
      </c>
    </row>
    <row r="66" spans="1:10">
      <c r="A66" s="30" t="s">
        <v>29</v>
      </c>
      <c r="B66" s="27">
        <f>B67-B47-B41-B12-B7</f>
        <v>2120</v>
      </c>
      <c r="C66" s="90">
        <f>C67-C47-C41-C12-C7</f>
        <v>5832</v>
      </c>
      <c r="D66" s="516">
        <f t="shared" si="0"/>
        <v>-0.63648834019204392</v>
      </c>
      <c r="E66" s="27">
        <f>E67-E47-E41-E12-E7</f>
        <v>3006513</v>
      </c>
      <c r="F66" s="90">
        <f>F67-F47-F41-F12-F7</f>
        <v>7769425</v>
      </c>
      <c r="G66" s="516">
        <f t="shared" si="1"/>
        <v>-0.61303275338908603</v>
      </c>
      <c r="H66" s="87">
        <f t="shared" si="5"/>
        <v>1418.1665094339623</v>
      </c>
      <c r="I66" s="88">
        <f t="shared" si="6"/>
        <v>1332.2059327846364</v>
      </c>
      <c r="J66" s="516">
        <f t="shared" si="4"/>
        <v>6.4524991620212441E-2</v>
      </c>
    </row>
    <row r="67" spans="1:10">
      <c r="A67" s="32" t="s">
        <v>404</v>
      </c>
      <c r="B67" s="33">
        <f>整車!E67</f>
        <v>146191</v>
      </c>
      <c r="C67" s="89">
        <f>VLOOKUP(A67,[5]進出口值表查詢結果!$A$10:$C$71,3,0)</f>
        <v>277506</v>
      </c>
      <c r="D67" s="516">
        <f t="shared" si="0"/>
        <v>-0.47319697592124133</v>
      </c>
      <c r="E67" s="33">
        <f>整車!G67</f>
        <v>159829904</v>
      </c>
      <c r="F67" s="89">
        <f>VLOOKUP(A67,[5]進出口值表查詢結果!$A$10:$C$71,2,0)</f>
        <v>261502446</v>
      </c>
      <c r="G67" s="516">
        <f t="shared" si="1"/>
        <v>-0.38880149518754403</v>
      </c>
      <c r="H67" s="87">
        <f t="shared" ref="H67:I67" si="7">E67/B67</f>
        <v>1093.2951002455691</v>
      </c>
      <c r="I67" s="88">
        <f t="shared" si="7"/>
        <v>942.33078203714513</v>
      </c>
      <c r="J67" s="516">
        <f t="shared" si="4"/>
        <v>0.16020310604952007</v>
      </c>
    </row>
    <row r="68" spans="1:10">
      <c r="A68" s="96"/>
      <c r="B68" s="97"/>
      <c r="C68" s="98"/>
      <c r="D68" s="99"/>
      <c r="E68" s="97"/>
      <c r="F68" s="98"/>
      <c r="G68" s="100"/>
      <c r="H68" s="94"/>
      <c r="I68" s="94"/>
      <c r="J68" s="95"/>
    </row>
    <row r="69" spans="1:10">
      <c r="A69" s="101" t="s">
        <v>153</v>
      </c>
      <c r="B69" s="102"/>
      <c r="C69" s="103"/>
      <c r="D69" s="104"/>
      <c r="E69" s="102"/>
      <c r="F69" s="103"/>
      <c r="G69" s="105"/>
      <c r="H69" s="94"/>
      <c r="I69" s="94"/>
      <c r="J69" s="95"/>
    </row>
    <row r="70" spans="1:10">
      <c r="A70" s="70" t="s">
        <v>462</v>
      </c>
      <c r="B70" s="8" t="s">
        <v>463</v>
      </c>
      <c r="C70" s="71" t="s">
        <v>464</v>
      </c>
      <c r="D70" s="72" t="s">
        <v>159</v>
      </c>
      <c r="E70" s="8" t="s">
        <v>463</v>
      </c>
      <c r="F70" s="71" t="s">
        <v>464</v>
      </c>
      <c r="G70" s="74" t="s">
        <v>160</v>
      </c>
      <c r="H70" s="8" t="s">
        <v>463</v>
      </c>
      <c r="I70" s="71" t="s">
        <v>465</v>
      </c>
      <c r="J70" s="75" t="s">
        <v>36</v>
      </c>
    </row>
    <row r="71" spans="1:10">
      <c r="A71" s="46"/>
      <c r="B71" s="106" t="s">
        <v>32</v>
      </c>
      <c r="C71" s="107" t="s">
        <v>32</v>
      </c>
      <c r="D71" s="451" t="s">
        <v>1</v>
      </c>
      <c r="E71" s="48" t="s">
        <v>33</v>
      </c>
      <c r="F71" s="107" t="s">
        <v>33</v>
      </c>
      <c r="G71" s="452" t="s">
        <v>1</v>
      </c>
      <c r="H71" s="78" t="s">
        <v>34</v>
      </c>
      <c r="I71" s="79" t="s">
        <v>110</v>
      </c>
      <c r="J71" s="451" t="s">
        <v>1</v>
      </c>
    </row>
    <row r="72" spans="1:10">
      <c r="A72" s="32" t="s">
        <v>30</v>
      </c>
      <c r="B72" s="33">
        <f>整車!E72</f>
        <v>2813</v>
      </c>
      <c r="C72" s="89">
        <v>3495</v>
      </c>
      <c r="D72" s="86">
        <f>(B72-C72)/C72</f>
        <v>-0.19513590844062947</v>
      </c>
      <c r="E72" s="33">
        <f>整車!G72</f>
        <v>974367</v>
      </c>
      <c r="F72" s="89">
        <v>1982197</v>
      </c>
      <c r="G72" s="93">
        <f>(E72-F72)/F72</f>
        <v>-0.50844088655163944</v>
      </c>
      <c r="H72" s="87">
        <f>E72/B72</f>
        <v>346.38002132954142</v>
      </c>
      <c r="I72" s="525">
        <f>F72/C72</f>
        <v>567.15221745350505</v>
      </c>
      <c r="J72" s="92">
        <f>(H72-I72)/I72</f>
        <v>-0.38926445023035189</v>
      </c>
    </row>
    <row r="73" spans="1:10">
      <c r="A73" s="108"/>
      <c r="B73" s="109"/>
      <c r="C73" s="110"/>
      <c r="D73" s="109"/>
      <c r="E73" s="109"/>
      <c r="F73" s="109"/>
      <c r="G73" s="109"/>
      <c r="H73" s="109"/>
      <c r="I73" s="109"/>
      <c r="J73" s="109"/>
    </row>
    <row r="74" spans="1:10" s="109" customFormat="1">
      <c r="A74" s="54" t="s">
        <v>31</v>
      </c>
      <c r="B74" s="13"/>
      <c r="C74" s="59"/>
      <c r="D74" s="60"/>
      <c r="E74" s="13"/>
      <c r="F74" s="59"/>
      <c r="G74" s="60"/>
      <c r="H74" s="5"/>
      <c r="I74" s="5"/>
      <c r="J74" s="5"/>
    </row>
  </sheetData>
  <phoneticPr fontId="3" type="noConversion"/>
  <conditionalFormatting sqref="D1:D4 D72:D1048576">
    <cfRule type="cellIs" dxfId="72" priority="9" operator="greaterThanOrEqual">
      <formula>0</formula>
    </cfRule>
    <cfRule type="cellIs" dxfId="71" priority="10" operator="lessThan">
      <formula>0</formula>
    </cfRule>
  </conditionalFormatting>
  <conditionalFormatting sqref="D6:J6 D7:E67 G7:J67 D68:J69 D70:E70 G70:J70">
    <cfRule type="cellIs" dxfId="70" priority="1" operator="greaterThanOrEqual">
      <formula>0</formula>
    </cfRule>
    <cfRule type="cellIs" dxfId="69" priority="2" operator="lessThan">
      <formula>0</formula>
    </cfRule>
  </conditionalFormatting>
  <conditionalFormatting sqref="G1:G4 G72:G1048576">
    <cfRule type="cellIs" dxfId="68" priority="7" operator="greaterThanOrEqual">
      <formula>0</formula>
    </cfRule>
    <cfRule type="cellIs" dxfId="67" priority="8" operator="lessThan">
      <formula>0</formula>
    </cfRule>
  </conditionalFormatting>
  <conditionalFormatting sqref="J1:J3 J72:J1048576">
    <cfRule type="cellIs" dxfId="66" priority="5" operator="greaterThanOrEqual">
      <formula>0</formula>
    </cfRule>
    <cfRule type="cellIs" dxfId="65" priority="6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6"/>
  <sheetViews>
    <sheetView workbookViewId="0">
      <pane xSplit="1" ySplit="7" topLeftCell="B143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5"/>
  <cols>
    <col min="1" max="1" width="19.75" customWidth="1"/>
    <col min="2" max="2" width="10.375" customWidth="1"/>
    <col min="3" max="3" width="13.5" customWidth="1"/>
    <col min="4" max="4" width="10.375" customWidth="1"/>
    <col min="5" max="5" width="13.5" customWidth="1"/>
    <col min="6" max="6" width="10.375" customWidth="1"/>
    <col min="7" max="7" width="13.5" customWidth="1"/>
    <col min="8" max="8" width="9.25" customWidth="1"/>
    <col min="9" max="9" width="13.5" customWidth="1"/>
    <col min="10" max="10" width="10.375" customWidth="1"/>
    <col min="11" max="11" width="13.5" customWidth="1"/>
    <col min="12" max="12" width="10.375" customWidth="1"/>
    <col min="13" max="13" width="13.5" customWidth="1"/>
    <col min="14" max="14" width="10.375" customWidth="1"/>
    <col min="15" max="15" width="14.625" customWidth="1"/>
    <col min="16" max="16" width="10.375" customWidth="1"/>
    <col min="17" max="17" width="14.625" customWidth="1"/>
    <col min="18" max="18" width="10.375" bestFit="1" customWidth="1"/>
    <col min="19" max="19" width="13.5" bestFit="1" customWidth="1"/>
    <col min="20" max="20" width="10.375" bestFit="1" customWidth="1"/>
    <col min="21" max="21" width="13.5" bestFit="1" customWidth="1"/>
    <col min="22" max="22" width="11.25" customWidth="1"/>
    <col min="23" max="23" width="14.375" customWidth="1"/>
    <col min="24" max="24" width="14.25" customWidth="1"/>
    <col min="25" max="25" width="16.25" customWidth="1"/>
    <col min="26" max="26" width="12.25" bestFit="1" customWidth="1"/>
    <col min="27" max="27" width="15.375" customWidth="1"/>
  </cols>
  <sheetData>
    <row r="1" spans="1:27">
      <c r="A1" s="391" t="s">
        <v>152</v>
      </c>
      <c r="B1" s="392"/>
      <c r="C1" s="392"/>
      <c r="D1" s="392"/>
      <c r="E1" s="392"/>
      <c r="F1" s="392"/>
      <c r="G1" s="392"/>
      <c r="H1" s="392"/>
      <c r="I1" s="392"/>
      <c r="J1" s="393"/>
      <c r="K1" s="394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</row>
    <row r="2" spans="1:27">
      <c r="A2" s="395" t="s">
        <v>233</v>
      </c>
      <c r="B2" s="392"/>
      <c r="C2" s="392"/>
      <c r="D2" s="392"/>
      <c r="E2" s="392"/>
      <c r="F2" s="392"/>
      <c r="G2" s="392"/>
      <c r="H2" s="392"/>
      <c r="I2" s="392"/>
      <c r="J2" s="393"/>
      <c r="K2" s="394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</row>
    <row r="3" spans="1:27">
      <c r="A3" s="396" t="s">
        <v>121</v>
      </c>
      <c r="B3" s="392"/>
      <c r="C3" s="392"/>
      <c r="D3" s="392"/>
      <c r="E3" s="392"/>
      <c r="F3" s="392"/>
      <c r="G3" s="392"/>
      <c r="H3" s="392"/>
      <c r="I3" s="392"/>
      <c r="J3" s="393"/>
      <c r="K3" s="394"/>
      <c r="L3" s="392"/>
      <c r="M3" s="392"/>
      <c r="N3" s="392"/>
      <c r="O3" s="392"/>
      <c r="P3" s="392"/>
      <c r="Q3" s="392"/>
      <c r="R3" s="392"/>
      <c r="S3" s="392"/>
      <c r="T3" s="392"/>
      <c r="U3" s="392"/>
      <c r="V3" s="392"/>
      <c r="W3" s="392"/>
      <c r="X3" s="392"/>
      <c r="Y3" s="392"/>
      <c r="Z3" s="392"/>
      <c r="AA3" s="392"/>
    </row>
    <row r="4" spans="1:27">
      <c r="A4" s="396" t="s">
        <v>122</v>
      </c>
      <c r="B4" s="392"/>
      <c r="C4" s="392"/>
      <c r="D4" s="392"/>
      <c r="E4" s="392"/>
      <c r="F4" s="392"/>
      <c r="G4" s="392"/>
      <c r="H4" s="392"/>
      <c r="I4" s="392"/>
      <c r="J4" s="393"/>
      <c r="K4" s="394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392"/>
      <c r="Y4" s="392"/>
      <c r="Z4" s="392"/>
      <c r="AA4" s="392"/>
    </row>
    <row r="5" spans="1:27">
      <c r="A5" s="397" t="s">
        <v>123</v>
      </c>
      <c r="B5" s="392"/>
      <c r="C5" s="392"/>
      <c r="D5" s="392"/>
      <c r="E5" s="392"/>
      <c r="F5" s="392"/>
      <c r="G5" s="392"/>
      <c r="H5" s="392"/>
      <c r="I5" s="392"/>
      <c r="J5" s="393"/>
      <c r="K5" s="394"/>
      <c r="L5" s="392"/>
      <c r="M5" s="392"/>
      <c r="N5" s="392"/>
      <c r="O5" s="392"/>
      <c r="P5" s="392"/>
      <c r="Q5" s="392"/>
      <c r="R5" s="392"/>
      <c r="S5" s="392"/>
      <c r="T5" s="392"/>
      <c r="U5" s="392"/>
      <c r="V5" s="392"/>
      <c r="W5" s="392"/>
      <c r="X5" s="392"/>
      <c r="Y5" s="392"/>
      <c r="Z5" s="392"/>
      <c r="AA5" s="392"/>
    </row>
    <row r="6" spans="1:27">
      <c r="A6" s="398"/>
      <c r="B6" s="399" t="s">
        <v>124</v>
      </c>
      <c r="C6" s="400"/>
      <c r="D6" s="399" t="s">
        <v>125</v>
      </c>
      <c r="E6" s="400"/>
      <c r="F6" s="399" t="s">
        <v>126</v>
      </c>
      <c r="G6" s="400"/>
      <c r="H6" s="399" t="s">
        <v>127</v>
      </c>
      <c r="I6" s="400"/>
      <c r="J6" s="401" t="s">
        <v>128</v>
      </c>
      <c r="K6" s="402"/>
      <c r="L6" s="399" t="s">
        <v>129</v>
      </c>
      <c r="M6" s="400"/>
      <c r="N6" s="399" t="s">
        <v>130</v>
      </c>
      <c r="O6" s="400"/>
      <c r="P6" s="399" t="s">
        <v>131</v>
      </c>
      <c r="Q6" s="400"/>
      <c r="R6" s="399" t="s">
        <v>132</v>
      </c>
      <c r="S6" s="400"/>
      <c r="T6" s="399" t="s">
        <v>133</v>
      </c>
      <c r="U6" s="400"/>
      <c r="V6" s="399" t="s">
        <v>134</v>
      </c>
      <c r="W6" s="400"/>
      <c r="X6" s="399" t="s">
        <v>135</v>
      </c>
      <c r="Y6" s="400"/>
      <c r="Z6" s="399" t="s">
        <v>106</v>
      </c>
      <c r="AA6" s="400"/>
    </row>
    <row r="7" spans="1:27">
      <c r="A7" s="403" t="s">
        <v>136</v>
      </c>
      <c r="B7" s="404" t="s">
        <v>137</v>
      </c>
      <c r="C7" s="404" t="s">
        <v>138</v>
      </c>
      <c r="D7" s="404" t="s">
        <v>139</v>
      </c>
      <c r="E7" s="404" t="s">
        <v>140</v>
      </c>
      <c r="F7" s="404" t="s">
        <v>139</v>
      </c>
      <c r="G7" s="404" t="s">
        <v>140</v>
      </c>
      <c r="H7" s="404" t="s">
        <v>139</v>
      </c>
      <c r="I7" s="404" t="s">
        <v>140</v>
      </c>
      <c r="J7" s="405" t="s">
        <v>139</v>
      </c>
      <c r="K7" s="406" t="s">
        <v>140</v>
      </c>
      <c r="L7" s="404" t="s">
        <v>139</v>
      </c>
      <c r="M7" s="404" t="s">
        <v>140</v>
      </c>
      <c r="N7" s="404" t="s">
        <v>139</v>
      </c>
      <c r="O7" s="404" t="s">
        <v>140</v>
      </c>
      <c r="P7" s="404" t="s">
        <v>139</v>
      </c>
      <c r="Q7" s="404" t="s">
        <v>140</v>
      </c>
      <c r="R7" s="404" t="s">
        <v>139</v>
      </c>
      <c r="S7" s="404" t="s">
        <v>140</v>
      </c>
      <c r="T7" s="404" t="s">
        <v>139</v>
      </c>
      <c r="U7" s="404" t="s">
        <v>140</v>
      </c>
      <c r="V7" s="404" t="s">
        <v>139</v>
      </c>
      <c r="W7" s="404" t="s">
        <v>140</v>
      </c>
      <c r="X7" s="404" t="s">
        <v>139</v>
      </c>
      <c r="Y7" s="404" t="s">
        <v>140</v>
      </c>
      <c r="Z7" s="404" t="s">
        <v>139</v>
      </c>
      <c r="AA7" s="404" t="s">
        <v>140</v>
      </c>
    </row>
    <row r="8" spans="1:27">
      <c r="A8" s="407"/>
      <c r="B8" s="408"/>
      <c r="C8" s="408"/>
      <c r="D8" s="408"/>
      <c r="E8" s="408"/>
      <c r="F8" s="408"/>
      <c r="G8" s="408"/>
      <c r="H8" s="408"/>
      <c r="I8" s="408"/>
      <c r="J8" s="409"/>
      <c r="K8" s="410"/>
      <c r="L8" s="408"/>
      <c r="M8" s="408"/>
      <c r="N8" s="408"/>
      <c r="O8" s="408"/>
      <c r="P8" s="408"/>
      <c r="Q8" s="408"/>
      <c r="R8" s="408"/>
      <c r="S8" s="408"/>
      <c r="T8" s="408"/>
      <c r="U8" s="408"/>
      <c r="V8" s="408"/>
      <c r="W8" s="408"/>
      <c r="X8" s="408"/>
      <c r="Y8" s="408"/>
      <c r="Z8" s="408"/>
      <c r="AA8" s="408"/>
    </row>
    <row r="9" spans="1:27">
      <c r="A9" s="411" t="s">
        <v>106</v>
      </c>
      <c r="B9" s="412">
        <f t="shared" ref="B9:Y9" si="0">B11+B36+B85+B97+B102+B136+B151+B189</f>
        <v>149387</v>
      </c>
      <c r="C9" s="412">
        <f t="shared" si="0"/>
        <v>83642274</v>
      </c>
      <c r="D9" s="412">
        <f t="shared" si="0"/>
        <v>134859</v>
      </c>
      <c r="E9" s="412">
        <f t="shared" si="0"/>
        <v>77838400</v>
      </c>
      <c r="F9" s="412">
        <f t="shared" si="0"/>
        <v>116197</v>
      </c>
      <c r="G9" s="412">
        <f t="shared" si="0"/>
        <v>70981672</v>
      </c>
      <c r="H9" s="412">
        <f>H11+H36+H85+H97+H102+H136+H151+H189</f>
        <v>96180</v>
      </c>
      <c r="I9" s="412">
        <f t="shared" si="0"/>
        <v>53927495</v>
      </c>
      <c r="J9" s="413">
        <f t="shared" si="0"/>
        <v>135293</v>
      </c>
      <c r="K9" s="414">
        <f t="shared" si="0"/>
        <v>86108621</v>
      </c>
      <c r="L9" s="412">
        <f t="shared" si="0"/>
        <v>137464</v>
      </c>
      <c r="M9" s="412">
        <f t="shared" si="0"/>
        <v>97259100</v>
      </c>
      <c r="N9" s="412">
        <f t="shared" si="0"/>
        <v>135636</v>
      </c>
      <c r="O9" s="412">
        <f>O11+O36+O85+O97+O102+O136+O151+O189</f>
        <v>113137191</v>
      </c>
      <c r="P9" s="412">
        <f t="shared" ref="P9:Q9" si="1">P11+P36+P85+P97+P102+P136+P151+P189</f>
        <v>180175</v>
      </c>
      <c r="Q9" s="412">
        <f t="shared" si="1"/>
        <v>130469911</v>
      </c>
      <c r="R9" s="412">
        <f t="shared" si="0"/>
        <v>138272</v>
      </c>
      <c r="S9" s="412">
        <f t="shared" si="0"/>
        <v>91374787</v>
      </c>
      <c r="T9" s="412">
        <f t="shared" si="0"/>
        <v>158604</v>
      </c>
      <c r="U9" s="412">
        <f t="shared" si="0"/>
        <v>99046159</v>
      </c>
      <c r="V9" s="412">
        <f>V11+V36+V85+V97+V102+V136+V151+V189</f>
        <v>154200</v>
      </c>
      <c r="W9" s="412">
        <f>W11+W36+W85+W97+W102+W136+W151+W189</f>
        <v>91747985</v>
      </c>
      <c r="X9" s="412">
        <f t="shared" si="0"/>
        <v>162659</v>
      </c>
      <c r="Y9" s="412">
        <f t="shared" si="0"/>
        <v>102455347</v>
      </c>
      <c r="Z9" s="412">
        <f>SUM(B9,D9,F9,H9,J9,L9,N9,P9,R9,T9,V9,X9)</f>
        <v>1698926</v>
      </c>
      <c r="AA9" s="412">
        <f>SUM(C9,E9,G9,I9,K9,M9,O9,Q9,S9,U9,W9,Y9)</f>
        <v>1097988942</v>
      </c>
    </row>
    <row r="10" spans="1:27">
      <c r="A10" s="415"/>
      <c r="B10" s="416"/>
      <c r="C10" s="416"/>
      <c r="D10" s="416"/>
      <c r="E10" s="416"/>
      <c r="F10" s="416"/>
      <c r="G10" s="416"/>
      <c r="H10" s="416"/>
      <c r="I10" s="416"/>
      <c r="J10" s="409"/>
      <c r="K10" s="410"/>
      <c r="L10" s="416"/>
      <c r="M10" s="416"/>
      <c r="N10" s="416"/>
      <c r="O10" s="416"/>
      <c r="P10" s="416"/>
      <c r="Q10" s="416"/>
      <c r="R10" s="416"/>
      <c r="S10" s="416"/>
      <c r="T10" s="416"/>
      <c r="U10" s="416"/>
      <c r="V10" s="416"/>
      <c r="W10" s="416"/>
      <c r="X10" s="416"/>
      <c r="Y10" s="416"/>
      <c r="Z10" s="416"/>
      <c r="AA10" s="416"/>
    </row>
    <row r="11" spans="1:27">
      <c r="A11" s="417" t="s">
        <v>141</v>
      </c>
      <c r="B11" s="418">
        <f t="shared" ref="B11:Y11" si="2">SUM(B12:B34)</f>
        <v>9822</v>
      </c>
      <c r="C11" s="418">
        <f t="shared" si="2"/>
        <v>7689072</v>
      </c>
      <c r="D11" s="418">
        <f t="shared" si="2"/>
        <v>13182</v>
      </c>
      <c r="E11" s="418">
        <f t="shared" si="2"/>
        <v>9988636</v>
      </c>
      <c r="F11" s="418">
        <f t="shared" si="2"/>
        <v>12924</v>
      </c>
      <c r="G11" s="418">
        <f t="shared" si="2"/>
        <v>10303881</v>
      </c>
      <c r="H11" s="418">
        <f t="shared" si="2"/>
        <v>8794</v>
      </c>
      <c r="I11" s="418">
        <f t="shared" si="2"/>
        <v>7937732</v>
      </c>
      <c r="J11" s="419">
        <f t="shared" si="2"/>
        <v>14153</v>
      </c>
      <c r="K11" s="420">
        <f>SUM(K12:K34)</f>
        <v>9985367</v>
      </c>
      <c r="L11" s="418">
        <f t="shared" si="2"/>
        <v>13721</v>
      </c>
      <c r="M11" s="418">
        <f t="shared" si="2"/>
        <v>10777159</v>
      </c>
      <c r="N11" s="418">
        <f t="shared" si="2"/>
        <v>17223</v>
      </c>
      <c r="O11" s="418">
        <f t="shared" si="2"/>
        <v>14149868</v>
      </c>
      <c r="P11" s="418">
        <f t="shared" si="2"/>
        <v>16854</v>
      </c>
      <c r="Q11" s="418">
        <f t="shared" si="2"/>
        <v>16948467</v>
      </c>
      <c r="R11" s="418">
        <f t="shared" si="2"/>
        <v>13693</v>
      </c>
      <c r="S11" s="418">
        <f t="shared" si="2"/>
        <v>11152146</v>
      </c>
      <c r="T11" s="418">
        <f t="shared" si="2"/>
        <v>11159</v>
      </c>
      <c r="U11" s="418">
        <f t="shared" si="2"/>
        <v>10364638</v>
      </c>
      <c r="V11" s="418">
        <f>SUM(V12:V34)</f>
        <v>11101</v>
      </c>
      <c r="W11" s="418">
        <f>SUM(W12:W34)</f>
        <v>10615154</v>
      </c>
      <c r="X11" s="418">
        <f t="shared" si="2"/>
        <v>15058</v>
      </c>
      <c r="Y11" s="418">
        <f t="shared" si="2"/>
        <v>14072707</v>
      </c>
      <c r="Z11" s="418">
        <f t="shared" ref="Z11:Z34" si="3">SUM(B11,D11,F11,H11,J11,L11,N11,P11,R11,T11,V11,X11)</f>
        <v>157684</v>
      </c>
      <c r="AA11" s="418">
        <f t="shared" ref="AA11:AA34" si="4">SUM(C11,E11,G11,I11,K11,M11,O11,Q11,S11,U11,W11,Y11)</f>
        <v>133984827</v>
      </c>
    </row>
    <row r="12" spans="1:27">
      <c r="A12" s="421" t="s">
        <v>223</v>
      </c>
      <c r="B12" s="422">
        <v>6052</v>
      </c>
      <c r="C12" s="422">
        <v>4259214</v>
      </c>
      <c r="D12" s="422">
        <v>7754</v>
      </c>
      <c r="E12" s="422">
        <v>4910425</v>
      </c>
      <c r="F12" s="422">
        <v>5600</v>
      </c>
      <c r="G12" s="422">
        <v>3312180</v>
      </c>
      <c r="H12" s="422">
        <v>3341</v>
      </c>
      <c r="I12" s="422">
        <v>2434783</v>
      </c>
      <c r="J12" s="423">
        <v>6917</v>
      </c>
      <c r="K12" s="424">
        <v>3550152</v>
      </c>
      <c r="L12" s="422">
        <v>4508</v>
      </c>
      <c r="M12" s="422">
        <v>3172221</v>
      </c>
      <c r="N12" s="422">
        <v>8345</v>
      </c>
      <c r="O12" s="422">
        <v>5467381</v>
      </c>
      <c r="P12" s="422">
        <v>6542</v>
      </c>
      <c r="Q12" s="422">
        <v>5892377</v>
      </c>
      <c r="R12" s="422">
        <v>4607</v>
      </c>
      <c r="S12" s="422">
        <v>2424966</v>
      </c>
      <c r="T12" s="422">
        <v>3933</v>
      </c>
      <c r="U12" s="422">
        <v>2807435</v>
      </c>
      <c r="V12" s="422">
        <f>_xlfn.IFNA(VLOOKUP(A12,[6]進出口值表查詢結果!$C$11:$F$68,4,0),-[4]整車!$B$22)</f>
        <v>4019</v>
      </c>
      <c r="W12" s="422">
        <f>_xlfn.IFNA(VLOOKUP(A12,[6]進出口值表查詢結果!$C$11:$F$68,3,0),-[4]整車!$B$22)</f>
        <v>3259963</v>
      </c>
      <c r="X12" s="422">
        <f>_xlfn.IFNA(VLOOKUP(A12,[7]進出口值表查詢結果!$C$11:$F$68,4,0),-[4]整車!$B$22)</f>
        <v>5220</v>
      </c>
      <c r="Y12" s="422">
        <f>_xlfn.IFNA(VLOOKUP(A12,[7]進出口值表查詢結果!$C$11:$F$68,3,0),-[4]整車!$B$22)</f>
        <v>3196394</v>
      </c>
      <c r="Z12" s="416">
        <f t="shared" si="3"/>
        <v>66838</v>
      </c>
      <c r="AA12" s="416">
        <f t="shared" si="4"/>
        <v>44687491</v>
      </c>
    </row>
    <row r="13" spans="1:27">
      <c r="A13" s="421" t="s">
        <v>234</v>
      </c>
      <c r="B13" s="422">
        <v>179</v>
      </c>
      <c r="C13" s="422">
        <v>131656</v>
      </c>
      <c r="D13" s="422">
        <v>274</v>
      </c>
      <c r="E13" s="422">
        <v>366955</v>
      </c>
      <c r="F13" s="422">
        <v>379</v>
      </c>
      <c r="G13" s="422">
        <v>326020</v>
      </c>
      <c r="H13" s="422">
        <v>412</v>
      </c>
      <c r="I13" s="422">
        <v>690860</v>
      </c>
      <c r="J13" s="423">
        <v>564</v>
      </c>
      <c r="K13" s="424">
        <v>591178</v>
      </c>
      <c r="L13" s="422">
        <v>419</v>
      </c>
      <c r="M13" s="422">
        <v>628920</v>
      </c>
      <c r="N13" s="422">
        <v>900</v>
      </c>
      <c r="O13" s="422">
        <v>1147430</v>
      </c>
      <c r="P13" s="422">
        <v>1146</v>
      </c>
      <c r="Q13" s="422">
        <v>1244090</v>
      </c>
      <c r="R13" s="422">
        <v>1102</v>
      </c>
      <c r="S13" s="422">
        <v>984782</v>
      </c>
      <c r="T13" s="422">
        <v>754</v>
      </c>
      <c r="U13" s="422">
        <v>962823</v>
      </c>
      <c r="V13" s="422">
        <f>_xlfn.IFNA(VLOOKUP(A13,[6]進出口值表查詢結果!$C$11:$F$68,4,0),-[4]整車!$B$22)</f>
        <v>856</v>
      </c>
      <c r="W13" s="422">
        <f>_xlfn.IFNA(VLOOKUP(A13,[6]進出口值表查詢結果!$C$11:$F$68,3,0),-[4]整車!$B$22)</f>
        <v>955426</v>
      </c>
      <c r="X13" s="422">
        <f>_xlfn.IFNA(VLOOKUP(A13,[7]進出口值表查詢結果!$C$11:$F$68,4,0),-[4]整車!$B$22)</f>
        <v>1391</v>
      </c>
      <c r="Y13" s="422">
        <f>_xlfn.IFNA(VLOOKUP(A13,[7]進出口值表查詢結果!$C$11:$F$68,3,0),-[4]整車!$B$22)</f>
        <v>1781279</v>
      </c>
      <c r="Z13" s="416">
        <f t="shared" si="3"/>
        <v>8376</v>
      </c>
      <c r="AA13" s="416">
        <f t="shared" si="4"/>
        <v>9811419</v>
      </c>
    </row>
    <row r="14" spans="1:27">
      <c r="A14" s="459" t="s">
        <v>235</v>
      </c>
      <c r="B14" s="422">
        <v>524</v>
      </c>
      <c r="C14" s="422">
        <v>127658</v>
      </c>
      <c r="D14" s="422">
        <v>549</v>
      </c>
      <c r="E14" s="422">
        <v>126180</v>
      </c>
      <c r="F14" s="422">
        <v>710</v>
      </c>
      <c r="G14" s="422">
        <v>174742</v>
      </c>
      <c r="H14" s="422">
        <v>864</v>
      </c>
      <c r="I14" s="422">
        <v>362370</v>
      </c>
      <c r="J14" s="423">
        <v>1603</v>
      </c>
      <c r="K14" s="424">
        <v>677515</v>
      </c>
      <c r="L14" s="422">
        <v>1216</v>
      </c>
      <c r="M14" s="422">
        <v>120579</v>
      </c>
      <c r="N14" s="422">
        <v>1021</v>
      </c>
      <c r="O14" s="422">
        <v>611528</v>
      </c>
      <c r="P14" s="422">
        <v>1131</v>
      </c>
      <c r="Q14" s="422">
        <v>586618</v>
      </c>
      <c r="R14" s="422">
        <v>1515</v>
      </c>
      <c r="S14" s="422">
        <v>914097</v>
      </c>
      <c r="T14" s="422">
        <v>818</v>
      </c>
      <c r="U14" s="422">
        <v>265715</v>
      </c>
      <c r="V14" s="422">
        <f>_xlfn.IFNA(VLOOKUP(A14,[6]進出口值表查詢結果!$C$11:$F$68,4,0),-[4]整車!$B$22)</f>
        <v>695</v>
      </c>
      <c r="W14" s="422">
        <f>_xlfn.IFNA(VLOOKUP(A14,[6]進出口值表查詢結果!$C$11:$F$68,3,0),-[4]整車!$B$22)</f>
        <v>379724</v>
      </c>
      <c r="X14" s="422">
        <f>_xlfn.IFNA(VLOOKUP(A14,[7]進出口值表查詢結果!$C$11:$F$68,4,0),-[4]整車!$B$22)</f>
        <v>456</v>
      </c>
      <c r="Y14" s="422">
        <f>_xlfn.IFNA(VLOOKUP(A14,[7]進出口值表查詢結果!$C$11:$F$68,3,0),-[4]整車!$B$22)</f>
        <v>425334</v>
      </c>
      <c r="Z14" s="416">
        <f t="shared" si="3"/>
        <v>11102</v>
      </c>
      <c r="AA14" s="416">
        <f t="shared" si="4"/>
        <v>4772060</v>
      </c>
    </row>
    <row r="15" spans="1:27">
      <c r="A15" s="459" t="s">
        <v>172</v>
      </c>
      <c r="B15" s="422">
        <v>65</v>
      </c>
      <c r="C15" s="422">
        <v>102167</v>
      </c>
      <c r="D15" s="422">
        <v>153</v>
      </c>
      <c r="E15" s="422">
        <v>198502</v>
      </c>
      <c r="F15" s="422">
        <v>171</v>
      </c>
      <c r="G15" s="422">
        <v>186525</v>
      </c>
      <c r="H15" s="422">
        <v>62</v>
      </c>
      <c r="I15" s="422">
        <v>69195</v>
      </c>
      <c r="J15" s="423">
        <v>111</v>
      </c>
      <c r="K15" s="424">
        <v>71668</v>
      </c>
      <c r="L15" s="422">
        <v>156</v>
      </c>
      <c r="M15" s="422">
        <v>125402</v>
      </c>
      <c r="N15" s="422">
        <v>167</v>
      </c>
      <c r="O15" s="422">
        <v>258485</v>
      </c>
      <c r="P15" s="422">
        <v>211</v>
      </c>
      <c r="Q15" s="422">
        <v>238597</v>
      </c>
      <c r="R15" s="422">
        <v>601</v>
      </c>
      <c r="S15" s="422">
        <v>371230</v>
      </c>
      <c r="T15" s="422">
        <v>212</v>
      </c>
      <c r="U15" s="422">
        <v>237659</v>
      </c>
      <c r="V15" s="422">
        <f>_xlfn.IFNA(VLOOKUP(A15,[6]進出口值表查詢結果!$C$11:$F$68,4,0),-[4]整車!$B$22)</f>
        <v>156</v>
      </c>
      <c r="W15" s="422">
        <f>_xlfn.IFNA(VLOOKUP(A15,[6]進出口值表查詢結果!$C$11:$F$68,3,0),-[4]整車!$B$22)</f>
        <v>243778</v>
      </c>
      <c r="X15" s="422">
        <f>_xlfn.IFNA(VLOOKUP(A15,[7]進出口值表查詢結果!$C$11:$F$68,4,0),-[4]整車!$B$22)</f>
        <v>452</v>
      </c>
      <c r="Y15" s="422">
        <f>_xlfn.IFNA(VLOOKUP(A15,[7]進出口值表查詢結果!$C$11:$F$68,3,0),-[4]整車!$B$22)</f>
        <v>279986</v>
      </c>
      <c r="Z15" s="416">
        <f t="shared" si="3"/>
        <v>2517</v>
      </c>
      <c r="AA15" s="416">
        <f t="shared" si="4"/>
        <v>2383194</v>
      </c>
    </row>
    <row r="16" spans="1:27">
      <c r="A16" s="460" t="s">
        <v>178</v>
      </c>
      <c r="B16" s="422">
        <v>1307</v>
      </c>
      <c r="C16" s="422">
        <v>1817059</v>
      </c>
      <c r="D16" s="422">
        <v>1950</v>
      </c>
      <c r="E16" s="422">
        <v>2185577</v>
      </c>
      <c r="F16" s="422">
        <v>2367</v>
      </c>
      <c r="G16" s="422">
        <v>2674246</v>
      </c>
      <c r="H16" s="422">
        <v>2201</v>
      </c>
      <c r="I16" s="422">
        <v>1979400</v>
      </c>
      <c r="J16" s="423">
        <v>2682</v>
      </c>
      <c r="K16" s="424">
        <v>2461078</v>
      </c>
      <c r="L16" s="422">
        <v>2380</v>
      </c>
      <c r="M16" s="422">
        <v>2624768</v>
      </c>
      <c r="N16" s="422">
        <v>2747</v>
      </c>
      <c r="O16" s="422">
        <v>2999359</v>
      </c>
      <c r="P16" s="422">
        <v>3612</v>
      </c>
      <c r="Q16" s="422">
        <v>4516165</v>
      </c>
      <c r="R16" s="422">
        <v>2996</v>
      </c>
      <c r="S16" s="422">
        <v>3713824</v>
      </c>
      <c r="T16" s="422">
        <v>2056</v>
      </c>
      <c r="U16" s="422">
        <v>2891152</v>
      </c>
      <c r="V16" s="422">
        <f>_xlfn.IFNA(VLOOKUP(A16,[6]進出口值表查詢結果!$C$11:$F$68,4,0),-[4]整車!$B$22)</f>
        <v>1790</v>
      </c>
      <c r="W16" s="422">
        <f>_xlfn.IFNA(VLOOKUP(A16,[6]進出口值表查詢結果!$C$11:$F$68,3,0),-[4]整車!$B$22)</f>
        <v>2212342</v>
      </c>
      <c r="X16" s="422">
        <f>_xlfn.IFNA(VLOOKUP(A16,[7]進出口值表查詢結果!$C$11:$F$68,4,0),-[4]整車!$B$22)</f>
        <v>1546</v>
      </c>
      <c r="Y16" s="422">
        <f>_xlfn.IFNA(VLOOKUP(A16,[7]進出口值表查詢結果!$C$11:$F$68,3,0),-[4]整車!$B$22)</f>
        <v>1984044</v>
      </c>
      <c r="Z16" s="416">
        <f t="shared" si="3"/>
        <v>27634</v>
      </c>
      <c r="AA16" s="416">
        <f t="shared" si="4"/>
        <v>32059014</v>
      </c>
    </row>
    <row r="17" spans="1:27">
      <c r="A17" s="459" t="s">
        <v>181</v>
      </c>
      <c r="B17" s="422">
        <v>196</v>
      </c>
      <c r="C17" s="422">
        <v>159614</v>
      </c>
      <c r="D17" s="422">
        <v>25</v>
      </c>
      <c r="E17" s="422">
        <v>14125</v>
      </c>
      <c r="F17" s="422">
        <v>272</v>
      </c>
      <c r="G17" s="422">
        <v>324659</v>
      </c>
      <c r="H17" s="422">
        <v>6</v>
      </c>
      <c r="I17" s="422">
        <v>198</v>
      </c>
      <c r="J17" s="423">
        <v>392</v>
      </c>
      <c r="K17" s="424">
        <v>442301</v>
      </c>
      <c r="L17" s="422">
        <v>213</v>
      </c>
      <c r="M17" s="422">
        <v>334619</v>
      </c>
      <c r="N17" s="422">
        <v>471</v>
      </c>
      <c r="O17" s="422">
        <v>520823</v>
      </c>
      <c r="P17" s="422">
        <v>373</v>
      </c>
      <c r="Q17" s="422">
        <v>455099</v>
      </c>
      <c r="R17" s="422">
        <v>34</v>
      </c>
      <c r="S17" s="422">
        <v>38452</v>
      </c>
      <c r="T17" s="422">
        <v>10</v>
      </c>
      <c r="U17" s="422">
        <v>4200</v>
      </c>
      <c r="V17" s="422">
        <f>_xlfn.IFNA(VLOOKUP(A17,[6]進出口值表查詢結果!$C$11:$F$68,4,0),-[4]整車!$B$22)</f>
        <v>34</v>
      </c>
      <c r="W17" s="422">
        <f>_xlfn.IFNA(VLOOKUP(A17,[6]進出口值表查詢結果!$C$11:$F$68,3,0),-[4]整車!$B$22)</f>
        <v>42910</v>
      </c>
      <c r="X17" s="422">
        <f>_xlfn.IFNA(VLOOKUP(A17,[7]進出口值表查詢結果!$C$11:$F$68,4,0),-[4]整車!$B$22)</f>
        <v>823</v>
      </c>
      <c r="Y17" s="422">
        <f>_xlfn.IFNA(VLOOKUP(A17,[7]進出口值表查詢結果!$C$11:$F$68,3,0),-[4]整車!$B$22)</f>
        <v>958153</v>
      </c>
      <c r="Z17" s="416">
        <f t="shared" si="3"/>
        <v>2849</v>
      </c>
      <c r="AA17" s="416">
        <f t="shared" si="4"/>
        <v>3295153</v>
      </c>
    </row>
    <row r="18" spans="1:27">
      <c r="A18" s="459" t="s">
        <v>183</v>
      </c>
      <c r="B18" s="422">
        <v>246</v>
      </c>
      <c r="C18" s="422">
        <v>218428</v>
      </c>
      <c r="D18" s="422">
        <v>112</v>
      </c>
      <c r="E18" s="422">
        <v>127248</v>
      </c>
      <c r="F18" s="422">
        <v>145</v>
      </c>
      <c r="G18" s="422">
        <v>175938</v>
      </c>
      <c r="H18" s="422">
        <v>76</v>
      </c>
      <c r="I18" s="422">
        <v>84167</v>
      </c>
      <c r="J18" s="423">
        <v>231</v>
      </c>
      <c r="K18" s="424">
        <v>292647</v>
      </c>
      <c r="L18" s="422">
        <v>225</v>
      </c>
      <c r="M18" s="422">
        <v>233311</v>
      </c>
      <c r="N18" s="422">
        <v>442</v>
      </c>
      <c r="O18" s="422">
        <v>515923</v>
      </c>
      <c r="P18" s="422">
        <v>635</v>
      </c>
      <c r="Q18" s="422">
        <v>666047</v>
      </c>
      <c r="R18" s="422">
        <v>372</v>
      </c>
      <c r="S18" s="422">
        <v>415965</v>
      </c>
      <c r="T18" s="422">
        <v>793</v>
      </c>
      <c r="U18" s="422">
        <v>698930</v>
      </c>
      <c r="V18" s="422">
        <f>_xlfn.IFNA(VLOOKUP(A18,[6]進出口值表查詢結果!$C$11:$F$68,4,0),-[4]整車!$B$22)</f>
        <v>332</v>
      </c>
      <c r="W18" s="422">
        <f>_xlfn.IFNA(VLOOKUP(A18,[6]進出口值表查詢結果!$C$11:$F$68,3,0),-[4]整車!$B$22)</f>
        <v>417088</v>
      </c>
      <c r="X18" s="422">
        <f>_xlfn.IFNA(VLOOKUP(A18,[7]進出口值表查詢結果!$C$11:$F$68,4,0),-[4]整車!$B$22)</f>
        <v>830</v>
      </c>
      <c r="Y18" s="422">
        <f>_xlfn.IFNA(VLOOKUP(A18,[7]進出口值表查詢結果!$C$11:$F$68,3,0),-[4]整車!$B$22)</f>
        <v>1167495</v>
      </c>
      <c r="Z18" s="416">
        <f t="shared" si="3"/>
        <v>4439</v>
      </c>
      <c r="AA18" s="416">
        <f t="shared" si="4"/>
        <v>5013187</v>
      </c>
    </row>
    <row r="19" spans="1:27">
      <c r="A19" s="459" t="s">
        <v>182</v>
      </c>
      <c r="B19" s="422">
        <v>38</v>
      </c>
      <c r="C19" s="422">
        <v>34255</v>
      </c>
      <c r="D19" s="422">
        <v>114</v>
      </c>
      <c r="E19" s="422">
        <v>142072</v>
      </c>
      <c r="F19" s="422">
        <v>47</v>
      </c>
      <c r="G19" s="422">
        <v>88748</v>
      </c>
      <c r="H19" s="422">
        <v>116</v>
      </c>
      <c r="I19" s="422">
        <v>179464</v>
      </c>
      <c r="J19" s="423">
        <v>134</v>
      </c>
      <c r="K19" s="424">
        <v>160240</v>
      </c>
      <c r="L19" s="422">
        <v>114</v>
      </c>
      <c r="M19" s="422">
        <v>167091</v>
      </c>
      <c r="N19" s="422">
        <v>103</v>
      </c>
      <c r="O19" s="422">
        <v>156524</v>
      </c>
      <c r="P19" s="422">
        <v>60</v>
      </c>
      <c r="Q19" s="422">
        <v>89867</v>
      </c>
      <c r="R19" s="422">
        <v>291</v>
      </c>
      <c r="S19" s="422">
        <v>452957</v>
      </c>
      <c r="T19" s="422">
        <v>157</v>
      </c>
      <c r="U19" s="422">
        <v>198796</v>
      </c>
      <c r="V19" s="422">
        <f>_xlfn.IFNA(VLOOKUP(A19,[6]進出口值表查詢結果!$C$11:$F$68,4,0),-[4]整車!$B$22)</f>
        <v>161</v>
      </c>
      <c r="W19" s="422">
        <f>_xlfn.IFNA(VLOOKUP(A19,[6]進出口值表查詢結果!$C$11:$F$68,3,0),-[4]整車!$B$22)</f>
        <v>332513</v>
      </c>
      <c r="X19" s="422">
        <f>_xlfn.IFNA(VLOOKUP(A19,[7]進出口值表查詢結果!$C$11:$F$68,4,0),-[4]整車!$B$22)</f>
        <v>82</v>
      </c>
      <c r="Y19" s="422">
        <f>_xlfn.IFNA(VLOOKUP(A19,[7]進出口值表查詢結果!$C$11:$F$68,3,0),-[4]整車!$B$22)</f>
        <v>135445</v>
      </c>
      <c r="Z19" s="416">
        <f t="shared" si="3"/>
        <v>1417</v>
      </c>
      <c r="AA19" s="416">
        <f t="shared" si="4"/>
        <v>2137972</v>
      </c>
    </row>
    <row r="20" spans="1:27">
      <c r="A20" s="459" t="s">
        <v>237</v>
      </c>
      <c r="B20" s="422">
        <v>0</v>
      </c>
      <c r="C20" s="422">
        <v>0</v>
      </c>
      <c r="D20" s="422">
        <v>62</v>
      </c>
      <c r="E20" s="422">
        <v>80913</v>
      </c>
      <c r="F20" s="422">
        <v>0</v>
      </c>
      <c r="G20" s="422"/>
      <c r="H20" s="422">
        <v>0</v>
      </c>
      <c r="I20" s="422">
        <v>0</v>
      </c>
      <c r="J20" s="423">
        <v>14</v>
      </c>
      <c r="K20" s="424">
        <v>18143</v>
      </c>
      <c r="L20" s="422">
        <v>0</v>
      </c>
      <c r="M20" s="422">
        <v>0</v>
      </c>
      <c r="N20" s="422">
        <v>0</v>
      </c>
      <c r="O20" s="422">
        <v>0</v>
      </c>
      <c r="P20" s="422">
        <v>0</v>
      </c>
      <c r="Q20" s="422">
        <v>0</v>
      </c>
      <c r="R20" s="422">
        <v>0</v>
      </c>
      <c r="S20" s="422">
        <v>0</v>
      </c>
      <c r="T20" s="422"/>
      <c r="U20" s="422"/>
      <c r="V20" s="422">
        <f>_xlfn.IFNA(VLOOKUP(A20,[6]進出口值表查詢結果!$C$11:$F$68,4,0),-[4]整車!$B$22)</f>
        <v>0</v>
      </c>
      <c r="W20" s="422">
        <f>_xlfn.IFNA(VLOOKUP(A20,[6]進出口值表查詢結果!$C$11:$F$68,3,0),-[4]整車!$B$22)</f>
        <v>0</v>
      </c>
      <c r="X20" s="422">
        <f>_xlfn.IFNA(VLOOKUP(A20,[7]進出口值表查詢結果!$C$11:$F$68,4,0),-[4]整車!$B$22)</f>
        <v>0</v>
      </c>
      <c r="Y20" s="422">
        <f>_xlfn.IFNA(VLOOKUP(A20,[7]進出口值表查詢結果!$C$11:$F$68,3,0),-[4]整車!$B$22)</f>
        <v>0</v>
      </c>
      <c r="Z20" s="416">
        <f t="shared" si="3"/>
        <v>76</v>
      </c>
      <c r="AA20" s="416">
        <f t="shared" si="4"/>
        <v>99056</v>
      </c>
    </row>
    <row r="21" spans="1:27">
      <c r="A21" s="459" t="s">
        <v>193</v>
      </c>
      <c r="B21" s="422">
        <v>367</v>
      </c>
      <c r="C21" s="422">
        <v>213697</v>
      </c>
      <c r="D21" s="422">
        <v>458</v>
      </c>
      <c r="E21" s="422">
        <v>230710</v>
      </c>
      <c r="F21" s="422">
        <v>165</v>
      </c>
      <c r="G21" s="422">
        <v>82941</v>
      </c>
      <c r="H21" s="422">
        <v>35</v>
      </c>
      <c r="I21" s="422">
        <v>4203</v>
      </c>
      <c r="J21" s="423">
        <v>74</v>
      </c>
      <c r="K21" s="424">
        <v>16703</v>
      </c>
      <c r="L21" s="422">
        <v>938</v>
      </c>
      <c r="M21" s="422">
        <v>178622</v>
      </c>
      <c r="N21" s="422">
        <v>107</v>
      </c>
      <c r="O21" s="422">
        <v>7169</v>
      </c>
      <c r="P21" s="422">
        <v>364</v>
      </c>
      <c r="Q21" s="422">
        <v>13151</v>
      </c>
      <c r="R21" s="422">
        <v>211</v>
      </c>
      <c r="S21" s="422">
        <v>139301</v>
      </c>
      <c r="T21" s="422">
        <v>291</v>
      </c>
      <c r="U21" s="422">
        <v>151421</v>
      </c>
      <c r="V21" s="422">
        <f>_xlfn.IFNA(VLOOKUP(A21,[6]進出口值表查詢結果!$C$11:$F$68,4,0),-[4]整車!$B$22)</f>
        <v>884</v>
      </c>
      <c r="W21" s="422">
        <f>_xlfn.IFNA(VLOOKUP(A21,[6]進出口值表查詢結果!$C$11:$F$68,3,0),-[4]整車!$B$22)</f>
        <v>377477</v>
      </c>
      <c r="X21" s="422">
        <f>_xlfn.IFNA(VLOOKUP(A21,[7]進出口值表查詢結果!$C$11:$F$68,4,0),-[4]整車!$B$22)</f>
        <v>872</v>
      </c>
      <c r="Y21" s="422">
        <f>_xlfn.IFNA(VLOOKUP(A21,[7]進出口值表查詢結果!$C$11:$F$68,3,0),-[4]整車!$B$22)</f>
        <v>486108</v>
      </c>
      <c r="Z21" s="416">
        <f t="shared" si="3"/>
        <v>4766</v>
      </c>
      <c r="AA21" s="416">
        <f t="shared" si="4"/>
        <v>1901503</v>
      </c>
    </row>
    <row r="22" spans="1:27">
      <c r="A22" s="459" t="s">
        <v>238</v>
      </c>
      <c r="B22" s="422">
        <v>0</v>
      </c>
      <c r="C22" s="422">
        <v>0</v>
      </c>
      <c r="D22" s="422"/>
      <c r="E22" s="422"/>
      <c r="F22" s="422">
        <v>0</v>
      </c>
      <c r="G22" s="422"/>
      <c r="H22" s="422">
        <v>0</v>
      </c>
      <c r="I22" s="422">
        <v>0</v>
      </c>
      <c r="J22" s="423">
        <v>0</v>
      </c>
      <c r="K22" s="426" t="s">
        <v>59</v>
      </c>
      <c r="L22" s="422">
        <v>0</v>
      </c>
      <c r="M22" s="422">
        <v>0</v>
      </c>
      <c r="N22" s="422">
        <v>0</v>
      </c>
      <c r="O22" s="422">
        <v>0</v>
      </c>
      <c r="P22" s="422">
        <v>0</v>
      </c>
      <c r="Q22" s="422">
        <v>0</v>
      </c>
      <c r="R22" s="422">
        <v>0</v>
      </c>
      <c r="S22" s="422">
        <v>0</v>
      </c>
      <c r="T22" s="422"/>
      <c r="U22" s="422"/>
      <c r="V22" s="422">
        <f>_xlfn.IFNA(VLOOKUP(A22,[6]進出口值表查詢結果!$C$11:$F$68,4,0),-[4]整車!$B$22)</f>
        <v>0</v>
      </c>
      <c r="W22" s="422">
        <f>_xlfn.IFNA(VLOOKUP(A22,[6]進出口值表查詢結果!$C$11:$F$68,3,0),-[4]整車!$B$22)</f>
        <v>0</v>
      </c>
      <c r="X22" s="422">
        <f>_xlfn.IFNA(VLOOKUP(A22,[7]進出口值表查詢結果!$C$11:$F$68,4,0),-[4]整車!$B$22)</f>
        <v>0</v>
      </c>
      <c r="Y22" s="422">
        <f>_xlfn.IFNA(VLOOKUP(A22,[7]進出口值表查詢結果!$C$11:$F$68,3,0),-[4]整車!$B$22)</f>
        <v>0</v>
      </c>
      <c r="Z22" s="416">
        <f t="shared" si="3"/>
        <v>0</v>
      </c>
      <c r="AA22" s="416">
        <f t="shared" si="4"/>
        <v>0</v>
      </c>
    </row>
    <row r="23" spans="1:27">
      <c r="A23" s="459" t="s">
        <v>180</v>
      </c>
      <c r="B23" s="422">
        <v>4</v>
      </c>
      <c r="C23" s="422">
        <v>12662</v>
      </c>
      <c r="D23" s="422">
        <v>36</v>
      </c>
      <c r="E23" s="422">
        <v>33578</v>
      </c>
      <c r="F23" s="422">
        <v>0</v>
      </c>
      <c r="G23" s="422"/>
      <c r="H23" s="422">
        <v>0</v>
      </c>
      <c r="I23" s="422">
        <v>0</v>
      </c>
      <c r="J23" s="423" t="s">
        <v>59</v>
      </c>
      <c r="K23" s="426" t="s">
        <v>59</v>
      </c>
      <c r="L23" s="422">
        <v>12</v>
      </c>
      <c r="M23" s="422">
        <v>40985</v>
      </c>
      <c r="N23" s="422">
        <v>11</v>
      </c>
      <c r="O23" s="422">
        <v>18898</v>
      </c>
      <c r="P23" s="422">
        <v>15</v>
      </c>
      <c r="Q23" s="422">
        <v>18841</v>
      </c>
      <c r="R23" s="422">
        <v>0</v>
      </c>
      <c r="S23" s="422">
        <v>0</v>
      </c>
      <c r="T23" s="422">
        <v>4</v>
      </c>
      <c r="U23" s="422">
        <v>8709</v>
      </c>
      <c r="V23" s="422">
        <f>_xlfn.IFNA(VLOOKUP(A23,[6]進出口值表查詢結果!$C$11:$F$68,4,0),-[4]整車!$B$22)</f>
        <v>0</v>
      </c>
      <c r="W23" s="422">
        <f>_xlfn.IFNA(VLOOKUP(A23,[6]進出口值表查詢結果!$C$11:$F$68,3,0),-[4]整車!$B$22)</f>
        <v>0</v>
      </c>
      <c r="X23" s="422">
        <f>_xlfn.IFNA(VLOOKUP(A23,[7]進出口值表查詢結果!$C$11:$F$68,4,0),-[4]整車!$B$22)</f>
        <v>23</v>
      </c>
      <c r="Y23" s="422">
        <f>_xlfn.IFNA(VLOOKUP(A23,[7]進出口值表查詢結果!$C$11:$F$68,3,0),-[4]整車!$B$22)</f>
        <v>41742</v>
      </c>
      <c r="Z23" s="416">
        <f t="shared" si="3"/>
        <v>105</v>
      </c>
      <c r="AA23" s="416">
        <f t="shared" si="4"/>
        <v>175415</v>
      </c>
    </row>
    <row r="24" spans="1:27">
      <c r="A24" s="459" t="s">
        <v>239</v>
      </c>
      <c r="B24" s="422">
        <v>0</v>
      </c>
      <c r="C24" s="422">
        <v>0</v>
      </c>
      <c r="D24" s="422"/>
      <c r="E24" s="422"/>
      <c r="F24" s="422">
        <v>0</v>
      </c>
      <c r="G24" s="422"/>
      <c r="H24" s="422">
        <v>0</v>
      </c>
      <c r="I24" s="422">
        <v>0</v>
      </c>
      <c r="J24" s="423">
        <v>1</v>
      </c>
      <c r="K24" s="424">
        <v>2606</v>
      </c>
      <c r="L24" s="422">
        <v>0</v>
      </c>
      <c r="M24" s="416">
        <v>0</v>
      </c>
      <c r="N24" s="422">
        <v>0</v>
      </c>
      <c r="O24" s="422">
        <v>0</v>
      </c>
      <c r="P24" s="422">
        <v>0</v>
      </c>
      <c r="Q24" s="422">
        <v>0</v>
      </c>
      <c r="R24" s="422">
        <v>0</v>
      </c>
      <c r="S24" s="422">
        <v>0</v>
      </c>
      <c r="T24" s="422"/>
      <c r="U24" s="422"/>
      <c r="V24" s="422">
        <f>_xlfn.IFNA(VLOOKUP(A24,[6]進出口值表查詢結果!$C$11:$F$68,4,0),-[4]整車!$B$22)</f>
        <v>0</v>
      </c>
      <c r="W24" s="422">
        <f>_xlfn.IFNA(VLOOKUP(A24,[6]進出口值表查詢結果!$C$11:$F$68,3,0),-[4]整車!$B$22)</f>
        <v>0</v>
      </c>
      <c r="X24" s="422">
        <f>_xlfn.IFNA(VLOOKUP(A24,[7]進出口值表查詢結果!$C$11:$F$68,4,0),-[4]整車!$B$22)</f>
        <v>0</v>
      </c>
      <c r="Y24" s="422">
        <f>_xlfn.IFNA(VLOOKUP(A24,[7]進出口值表查詢結果!$C$11:$F$68,3,0),-[4]整車!$B$22)</f>
        <v>0</v>
      </c>
      <c r="Z24" s="416">
        <f t="shared" si="3"/>
        <v>1</v>
      </c>
      <c r="AA24" s="416">
        <f t="shared" si="4"/>
        <v>2606</v>
      </c>
    </row>
    <row r="25" spans="1:27">
      <c r="A25" s="459" t="s">
        <v>240</v>
      </c>
      <c r="B25" s="422">
        <v>0</v>
      </c>
      <c r="C25" s="422">
        <v>0</v>
      </c>
      <c r="D25" s="422"/>
      <c r="E25" s="422"/>
      <c r="F25" s="422">
        <v>0</v>
      </c>
      <c r="G25" s="422"/>
      <c r="H25" s="422">
        <v>0</v>
      </c>
      <c r="I25" s="422">
        <v>0</v>
      </c>
      <c r="J25" s="423" t="s">
        <v>59</v>
      </c>
      <c r="K25" s="426" t="s">
        <v>59</v>
      </c>
      <c r="L25" s="422">
        <v>0</v>
      </c>
      <c r="M25" s="422">
        <v>0</v>
      </c>
      <c r="N25" s="422">
        <v>0</v>
      </c>
      <c r="O25" s="422">
        <v>0</v>
      </c>
      <c r="P25" s="422">
        <v>0</v>
      </c>
      <c r="Q25" s="422">
        <v>0</v>
      </c>
      <c r="R25" s="422">
        <v>0</v>
      </c>
      <c r="S25" s="422">
        <v>0</v>
      </c>
      <c r="T25" s="422"/>
      <c r="U25" s="422"/>
      <c r="V25" s="422">
        <f>_xlfn.IFNA(VLOOKUP(A25,[6]進出口值表查詢結果!$C$11:$F$68,4,0),-[4]整車!$B$22)</f>
        <v>0</v>
      </c>
      <c r="W25" s="422">
        <f>_xlfn.IFNA(VLOOKUP(A25,[6]進出口值表查詢結果!$C$11:$F$68,3,0),-[4]整車!$B$22)</f>
        <v>0</v>
      </c>
      <c r="X25" s="422">
        <f>_xlfn.IFNA(VLOOKUP(A25,[7]進出口值表查詢結果!$C$11:$F$68,4,0),-[4]整車!$B$22)</f>
        <v>0</v>
      </c>
      <c r="Y25" s="422">
        <f>_xlfn.IFNA(VLOOKUP(A25,[7]進出口值表查詢結果!$C$11:$F$68,3,0),-[4]整車!$B$22)</f>
        <v>0</v>
      </c>
      <c r="Z25" s="416">
        <f t="shared" si="3"/>
        <v>0</v>
      </c>
      <c r="AA25" s="416">
        <f t="shared" si="4"/>
        <v>0</v>
      </c>
    </row>
    <row r="26" spans="1:27">
      <c r="A26" s="459" t="s">
        <v>241</v>
      </c>
      <c r="B26" s="422">
        <v>0</v>
      </c>
      <c r="C26" s="422">
        <v>0</v>
      </c>
      <c r="D26" s="422"/>
      <c r="E26" s="422"/>
      <c r="F26" s="422">
        <v>10</v>
      </c>
      <c r="G26" s="422">
        <v>9226</v>
      </c>
      <c r="H26" s="422">
        <v>0</v>
      </c>
      <c r="I26" s="422">
        <v>0</v>
      </c>
      <c r="J26" s="423" t="s">
        <v>59</v>
      </c>
      <c r="K26" s="426" t="s">
        <v>59</v>
      </c>
      <c r="L26" s="422">
        <v>2</v>
      </c>
      <c r="M26" s="422">
        <v>536</v>
      </c>
      <c r="N26" s="422">
        <v>0</v>
      </c>
      <c r="O26" s="422">
        <v>0</v>
      </c>
      <c r="P26" s="422">
        <v>34</v>
      </c>
      <c r="Q26" s="422">
        <v>17452</v>
      </c>
      <c r="R26" s="422">
        <v>0</v>
      </c>
      <c r="S26" s="422">
        <v>0</v>
      </c>
      <c r="T26" s="422">
        <v>10</v>
      </c>
      <c r="U26" s="422">
        <v>9501</v>
      </c>
      <c r="V26" s="422">
        <f>_xlfn.IFNA(VLOOKUP(A26,[6]進出口值表查詢結果!$C$11:$F$68,4,0),-[4]整車!$B$22)</f>
        <v>0</v>
      </c>
      <c r="W26" s="422">
        <f>_xlfn.IFNA(VLOOKUP(A26,[6]進出口值表查詢結果!$C$11:$F$68,3,0),-[4]整車!$B$22)</f>
        <v>0</v>
      </c>
      <c r="X26" s="422">
        <f>_xlfn.IFNA(VLOOKUP(A26,[7]進出口值表查詢結果!$C$11:$F$68,4,0),-[4]整車!$B$22)</f>
        <v>0</v>
      </c>
      <c r="Y26" s="422">
        <f>_xlfn.IFNA(VLOOKUP(A26,[7]進出口值表查詢結果!$C$11:$F$68,3,0),-[4]整車!$B$22)</f>
        <v>0</v>
      </c>
      <c r="Z26" s="416">
        <f t="shared" si="3"/>
        <v>56</v>
      </c>
      <c r="AA26" s="416">
        <f t="shared" si="4"/>
        <v>36715</v>
      </c>
    </row>
    <row r="27" spans="1:27">
      <c r="A27" s="459" t="s">
        <v>199</v>
      </c>
      <c r="B27" s="422">
        <v>12</v>
      </c>
      <c r="C27" s="422">
        <v>11363</v>
      </c>
      <c r="D27" s="422">
        <v>156</v>
      </c>
      <c r="E27" s="422">
        <v>136343</v>
      </c>
      <c r="F27" s="422">
        <v>53</v>
      </c>
      <c r="G27" s="422">
        <v>48024</v>
      </c>
      <c r="H27" s="422">
        <v>0</v>
      </c>
      <c r="I27" s="422">
        <v>0</v>
      </c>
      <c r="J27" s="423">
        <v>62</v>
      </c>
      <c r="K27" s="424">
        <v>51087</v>
      </c>
      <c r="L27" s="422">
        <v>0</v>
      </c>
      <c r="M27" s="422">
        <v>0</v>
      </c>
      <c r="N27" s="422">
        <v>53</v>
      </c>
      <c r="O27" s="422">
        <v>53415</v>
      </c>
      <c r="P27" s="422">
        <v>125</v>
      </c>
      <c r="Q27" s="422">
        <v>148830</v>
      </c>
      <c r="R27" s="422">
        <v>20</v>
      </c>
      <c r="S27" s="422">
        <v>19056</v>
      </c>
      <c r="T27" s="422">
        <v>26</v>
      </c>
      <c r="U27" s="422">
        <v>35077</v>
      </c>
      <c r="V27" s="422">
        <f>_xlfn.IFNA(VLOOKUP(A27,[6]進出口值表查詢結果!$C$11:$F$68,4,0),-[4]整車!$B$22)</f>
        <v>6</v>
      </c>
      <c r="W27" s="422">
        <f>_xlfn.IFNA(VLOOKUP(A27,[6]進出口值表查詢結果!$C$11:$F$68,3,0),-[4]整車!$B$22)</f>
        <v>6932</v>
      </c>
      <c r="X27" s="422">
        <f>_xlfn.IFNA(VLOOKUP(A27,[7]進出口值表查詢結果!$C$11:$F$68,4,0),-[4]整車!$B$22)</f>
        <v>211</v>
      </c>
      <c r="Y27" s="422">
        <f>_xlfn.IFNA(VLOOKUP(A27,[7]進出口值表查詢結果!$C$11:$F$68,3,0),-[4]整車!$B$22)</f>
        <v>156683</v>
      </c>
      <c r="Z27" s="416">
        <f t="shared" si="3"/>
        <v>724</v>
      </c>
      <c r="AA27" s="416">
        <f t="shared" si="4"/>
        <v>666810</v>
      </c>
    </row>
    <row r="28" spans="1:27">
      <c r="A28" s="459" t="s">
        <v>242</v>
      </c>
      <c r="B28" s="422">
        <v>0</v>
      </c>
      <c r="C28" s="422">
        <v>0</v>
      </c>
      <c r="D28" s="422"/>
      <c r="E28" s="422"/>
      <c r="F28" s="422">
        <v>0</v>
      </c>
      <c r="G28" s="422"/>
      <c r="H28" s="422">
        <v>0</v>
      </c>
      <c r="I28" s="422">
        <v>0</v>
      </c>
      <c r="J28" s="423" t="s">
        <v>59</v>
      </c>
      <c r="K28" s="426" t="s">
        <v>59</v>
      </c>
      <c r="L28" s="422">
        <v>0</v>
      </c>
      <c r="M28" s="422">
        <v>0</v>
      </c>
      <c r="N28" s="422">
        <v>0</v>
      </c>
      <c r="O28" s="422">
        <v>0</v>
      </c>
      <c r="P28" s="422">
        <v>0</v>
      </c>
      <c r="Q28" s="422">
        <v>0</v>
      </c>
      <c r="R28" s="422">
        <v>0</v>
      </c>
      <c r="S28" s="422">
        <v>0</v>
      </c>
      <c r="T28" s="422"/>
      <c r="U28" s="422"/>
      <c r="V28" s="422">
        <f>_xlfn.IFNA(VLOOKUP(A28,[6]進出口值表查詢結果!$C$11:$F$68,4,0),-[4]整車!$B$22)</f>
        <v>0</v>
      </c>
      <c r="W28" s="422">
        <f>_xlfn.IFNA(VLOOKUP(A28,[6]進出口值表查詢結果!$C$11:$F$68,3,0),-[4]整車!$B$22)</f>
        <v>0</v>
      </c>
      <c r="X28" s="422">
        <f>_xlfn.IFNA(VLOOKUP(A28,[7]進出口值表查詢結果!$C$11:$F$68,4,0),-[4]整車!$B$22)</f>
        <v>0</v>
      </c>
      <c r="Y28" s="422">
        <f>_xlfn.IFNA(VLOOKUP(A28,[7]進出口值表查詢結果!$C$11:$F$68,3,0),-[4]整車!$B$22)</f>
        <v>0</v>
      </c>
      <c r="Z28" s="416">
        <f t="shared" si="3"/>
        <v>0</v>
      </c>
      <c r="AA28" s="416">
        <f t="shared" si="4"/>
        <v>0</v>
      </c>
    </row>
    <row r="29" spans="1:27">
      <c r="A29" s="459" t="s">
        <v>169</v>
      </c>
      <c r="B29" s="422">
        <v>832</v>
      </c>
      <c r="C29" s="422">
        <v>601299</v>
      </c>
      <c r="D29" s="422">
        <v>1474</v>
      </c>
      <c r="E29" s="422">
        <v>1335375</v>
      </c>
      <c r="F29" s="422">
        <v>2575</v>
      </c>
      <c r="G29" s="422">
        <v>2824860</v>
      </c>
      <c r="H29" s="422">
        <v>1590</v>
      </c>
      <c r="I29" s="422">
        <v>2035410</v>
      </c>
      <c r="J29" s="423">
        <v>1368</v>
      </c>
      <c r="K29" s="426">
        <v>1650049</v>
      </c>
      <c r="L29" s="422">
        <v>3338</v>
      </c>
      <c r="M29" s="422">
        <v>3123497</v>
      </c>
      <c r="N29" s="422">
        <v>2847</v>
      </c>
      <c r="O29" s="422">
        <v>2378126</v>
      </c>
      <c r="P29" s="422">
        <v>2606</v>
      </c>
      <c r="Q29" s="422">
        <v>3061333</v>
      </c>
      <c r="R29" s="422">
        <v>1944</v>
      </c>
      <c r="S29" s="422">
        <v>1677516</v>
      </c>
      <c r="T29" s="422">
        <v>2095</v>
      </c>
      <c r="U29" s="422">
        <v>2093220</v>
      </c>
      <c r="V29" s="422">
        <f>_xlfn.IFNA(VLOOKUP(A29,[6]進出口值表查詢結果!$C$11:$F$68,4,0),-[4]整車!$B$22)</f>
        <v>2168</v>
      </c>
      <c r="W29" s="422">
        <f>_xlfn.IFNA(VLOOKUP(A29,[6]進出口值表查詢結果!$C$11:$F$68,3,0),-[4]整車!$B$22)</f>
        <v>2387001</v>
      </c>
      <c r="X29" s="422">
        <f>_xlfn.IFNA(VLOOKUP(A29,[7]進出口值表查詢結果!$C$11:$F$68,4,0),-[4]整車!$B$22)</f>
        <v>3104</v>
      </c>
      <c r="Y29" s="422">
        <f>_xlfn.IFNA(VLOOKUP(A29,[7]進出口值表查詢結果!$C$11:$F$68,3,0),-[4]整車!$B$22)</f>
        <v>3401926</v>
      </c>
      <c r="Z29" s="416">
        <f t="shared" si="3"/>
        <v>25941</v>
      </c>
      <c r="AA29" s="416">
        <f t="shared" si="4"/>
        <v>26569612</v>
      </c>
    </row>
    <row r="30" spans="1:27">
      <c r="A30" s="461" t="s">
        <v>244</v>
      </c>
      <c r="B30" s="416">
        <v>0</v>
      </c>
      <c r="C30" s="416">
        <v>0</v>
      </c>
      <c r="D30" s="416"/>
      <c r="E30" s="416"/>
      <c r="F30" s="416">
        <v>0</v>
      </c>
      <c r="G30" s="416"/>
      <c r="H30" s="416">
        <v>0</v>
      </c>
      <c r="I30" s="416">
        <v>0</v>
      </c>
      <c r="J30" s="409" t="s">
        <v>59</v>
      </c>
      <c r="K30" s="426" t="s">
        <v>59</v>
      </c>
      <c r="L30" s="416">
        <v>0</v>
      </c>
      <c r="M30" s="416">
        <v>0</v>
      </c>
      <c r="N30" s="416">
        <v>0</v>
      </c>
      <c r="O30" s="416">
        <v>0</v>
      </c>
      <c r="P30" s="416">
        <v>0</v>
      </c>
      <c r="Q30" s="416">
        <v>0</v>
      </c>
      <c r="R30" s="416">
        <v>0</v>
      </c>
      <c r="S30" s="416">
        <v>0</v>
      </c>
      <c r="T30" s="416"/>
      <c r="U30" s="416"/>
      <c r="V30" s="422">
        <f>_xlfn.IFNA(VLOOKUP(A30,[6]進出口值表查詢結果!$C$11:$F$68,4,0),-[4]整車!$B$22)</f>
        <v>0</v>
      </c>
      <c r="W30" s="422">
        <f>_xlfn.IFNA(VLOOKUP(A30,[6]進出口值表查詢結果!$C$11:$F$68,3,0),-[4]整車!$B$22)</f>
        <v>0</v>
      </c>
      <c r="X30" s="422">
        <f>_xlfn.IFNA(VLOOKUP(A30,[7]進出口值表查詢結果!$C$11:$F$68,4,0),-[4]整車!$B$22)</f>
        <v>0</v>
      </c>
      <c r="Y30" s="422">
        <f>_xlfn.IFNA(VLOOKUP(A30,[7]進出口值表查詢結果!$C$11:$F$68,3,0),-[4]整車!$B$22)</f>
        <v>0</v>
      </c>
      <c r="Z30" s="416">
        <f t="shared" si="3"/>
        <v>0</v>
      </c>
      <c r="AA30" s="416">
        <f t="shared" si="4"/>
        <v>0</v>
      </c>
    </row>
    <row r="31" spans="1:27">
      <c r="A31" s="459" t="s">
        <v>245</v>
      </c>
      <c r="B31" s="416">
        <v>0</v>
      </c>
      <c r="C31" s="416">
        <v>0</v>
      </c>
      <c r="D31" s="422"/>
      <c r="E31" s="422"/>
      <c r="F31" s="422">
        <v>0</v>
      </c>
      <c r="G31" s="422"/>
      <c r="H31" s="422">
        <v>0</v>
      </c>
      <c r="I31" s="422">
        <v>0</v>
      </c>
      <c r="J31" s="423"/>
      <c r="K31" s="426" t="s">
        <v>59</v>
      </c>
      <c r="L31" s="422">
        <v>0</v>
      </c>
      <c r="M31" s="422">
        <v>0</v>
      </c>
      <c r="N31" s="422">
        <v>0</v>
      </c>
      <c r="O31" s="422">
        <v>0</v>
      </c>
      <c r="P31" s="416">
        <v>0</v>
      </c>
      <c r="Q31" s="416">
        <v>0</v>
      </c>
      <c r="R31" s="416">
        <v>0</v>
      </c>
      <c r="S31" s="416">
        <v>0</v>
      </c>
      <c r="T31" s="422"/>
      <c r="U31" s="422"/>
      <c r="V31" s="422">
        <f>_xlfn.IFNA(VLOOKUP(A31,[6]進出口值表查詢結果!$C$11:$F$68,4,0),-[4]整車!$B$22)</f>
        <v>0</v>
      </c>
      <c r="W31" s="422">
        <f>_xlfn.IFNA(VLOOKUP(A31,[6]進出口值表查詢結果!$C$11:$F$68,3,0),-[4]整車!$B$22)</f>
        <v>0</v>
      </c>
      <c r="X31" s="422">
        <f>_xlfn.IFNA(VLOOKUP(A31,[7]進出口值表查詢結果!$C$11:$F$68,4,0),-[4]整車!$B$22)</f>
        <v>0</v>
      </c>
      <c r="Y31" s="422">
        <f>_xlfn.IFNA(VLOOKUP(A31,[7]進出口值表查詢結果!$C$11:$F$68,3,0),-[4]整車!$B$22)</f>
        <v>0</v>
      </c>
      <c r="Z31" s="416">
        <f t="shared" si="3"/>
        <v>0</v>
      </c>
      <c r="AA31" s="416">
        <f t="shared" si="4"/>
        <v>0</v>
      </c>
    </row>
    <row r="32" spans="1:27">
      <c r="A32" s="459" t="s">
        <v>246</v>
      </c>
      <c r="B32" s="416">
        <v>0</v>
      </c>
      <c r="C32" s="416">
        <v>0</v>
      </c>
      <c r="D32" s="422"/>
      <c r="E32" s="422"/>
      <c r="F32" s="422">
        <v>0</v>
      </c>
      <c r="G32" s="422"/>
      <c r="H32" s="422">
        <v>2</v>
      </c>
      <c r="I32" s="422">
        <v>3147</v>
      </c>
      <c r="J32" s="423" t="s">
        <v>59</v>
      </c>
      <c r="K32" s="426" t="s">
        <v>59</v>
      </c>
      <c r="L32" s="422">
        <v>0</v>
      </c>
      <c r="M32" s="422">
        <v>0</v>
      </c>
      <c r="N32" s="422">
        <v>9</v>
      </c>
      <c r="O32" s="422">
        <v>14807</v>
      </c>
      <c r="P32" s="416">
        <v>0</v>
      </c>
      <c r="Q32" s="416">
        <v>0</v>
      </c>
      <c r="R32" s="416">
        <v>0</v>
      </c>
      <c r="S32" s="416">
        <v>0</v>
      </c>
      <c r="T32" s="422"/>
      <c r="U32" s="422"/>
      <c r="V32" s="422">
        <f>_xlfn.IFNA(VLOOKUP(A32,[6]進出口值表查詢結果!$C$11:$F$68,4,0),-[4]整車!$B$22)</f>
        <v>0</v>
      </c>
      <c r="W32" s="422">
        <f>_xlfn.IFNA(VLOOKUP(A32,[6]進出口值表查詢結果!$C$11:$F$68,3,0),-[4]整車!$B$22)</f>
        <v>0</v>
      </c>
      <c r="X32" s="422">
        <f>_xlfn.IFNA(VLOOKUP(A32,[7]進出口值表查詢結果!$C$11:$F$68,4,0),-[4]整車!$B$22)</f>
        <v>12</v>
      </c>
      <c r="Y32" s="422">
        <f>_xlfn.IFNA(VLOOKUP(A32,[7]進出口值表查詢結果!$C$11:$F$68,3,0),-[4]整車!$B$22)</f>
        <v>16410</v>
      </c>
      <c r="Z32" s="416">
        <f t="shared" si="3"/>
        <v>23</v>
      </c>
      <c r="AA32" s="416">
        <f t="shared" si="4"/>
        <v>34364</v>
      </c>
    </row>
    <row r="33" spans="1:27">
      <c r="A33" s="459" t="s">
        <v>247</v>
      </c>
      <c r="B33" s="416">
        <v>0</v>
      </c>
      <c r="C33" s="416">
        <v>0</v>
      </c>
      <c r="D33" s="422">
        <v>65</v>
      </c>
      <c r="E33" s="422">
        <v>100633</v>
      </c>
      <c r="F33" s="416">
        <v>430</v>
      </c>
      <c r="G33" s="422">
        <v>75772</v>
      </c>
      <c r="H33" s="422">
        <v>89</v>
      </c>
      <c r="I33" s="422">
        <v>94535</v>
      </c>
      <c r="J33" s="423" t="s">
        <v>59</v>
      </c>
      <c r="K33" s="426" t="s">
        <v>59</v>
      </c>
      <c r="L33" s="422">
        <v>0</v>
      </c>
      <c r="M33" s="422">
        <v>0</v>
      </c>
      <c r="N33" s="422">
        <v>0</v>
      </c>
      <c r="O33" s="422">
        <v>0</v>
      </c>
      <c r="P33" s="416">
        <v>0</v>
      </c>
      <c r="Q33" s="416">
        <v>0</v>
      </c>
      <c r="R33" s="416">
        <v>0</v>
      </c>
      <c r="S33" s="416">
        <v>0</v>
      </c>
      <c r="T33" s="422"/>
      <c r="U33" s="422"/>
      <c r="V33" s="422">
        <f>_xlfn.IFNA(VLOOKUP(A33,[6]進出口值表查詢結果!$C$11:$F$68,4,0),-[4]整車!$B$22)</f>
        <v>0</v>
      </c>
      <c r="W33" s="422">
        <f>_xlfn.IFNA(VLOOKUP(A33,[6]進出口值表查詢結果!$C$11:$F$68,3,0),-[4]整車!$B$22)</f>
        <v>0</v>
      </c>
      <c r="X33" s="422">
        <f>_xlfn.IFNA(VLOOKUP(A33,[7]進出口值表查詢結果!$C$11:$F$68,4,0),-[4]整車!$B$22)</f>
        <v>36</v>
      </c>
      <c r="Y33" s="422">
        <f>_xlfn.IFNA(VLOOKUP(A33,[7]進出口值表查詢結果!$C$11:$F$68,3,0),-[4]整車!$B$22)</f>
        <v>41708</v>
      </c>
      <c r="Z33" s="422">
        <f t="shared" si="3"/>
        <v>620</v>
      </c>
      <c r="AA33" s="422">
        <f t="shared" si="4"/>
        <v>312648</v>
      </c>
    </row>
    <row r="34" spans="1:27">
      <c r="A34" s="459" t="s">
        <v>248</v>
      </c>
      <c r="B34" s="416">
        <v>0</v>
      </c>
      <c r="C34" s="416">
        <v>0</v>
      </c>
      <c r="D34" s="422"/>
      <c r="E34" s="422"/>
      <c r="F34" s="422">
        <v>0</v>
      </c>
      <c r="G34" s="422"/>
      <c r="H34" s="422">
        <v>0</v>
      </c>
      <c r="I34" s="422">
        <v>0</v>
      </c>
      <c r="J34" s="423" t="s">
        <v>59</v>
      </c>
      <c r="K34" s="426" t="s">
        <v>59</v>
      </c>
      <c r="L34" s="422">
        <v>200</v>
      </c>
      <c r="M34" s="422">
        <v>26608</v>
      </c>
      <c r="N34" s="422">
        <v>0</v>
      </c>
      <c r="O34" s="422">
        <v>0</v>
      </c>
      <c r="P34" s="416">
        <v>0</v>
      </c>
      <c r="Q34" s="416">
        <v>0</v>
      </c>
      <c r="R34" s="416">
        <v>0</v>
      </c>
      <c r="S34" s="416">
        <v>0</v>
      </c>
      <c r="T34" s="422"/>
      <c r="U34" s="422"/>
      <c r="V34" s="422">
        <f>_xlfn.IFNA(VLOOKUP(A34,[6]進出口值表查詢結果!$C$11:$F$68,4,0),-[4]整車!$B$22)</f>
        <v>0</v>
      </c>
      <c r="W34" s="422">
        <f>_xlfn.IFNA(VLOOKUP(A34,[6]進出口值表查詢結果!$C$11:$F$68,3,0),-[4]整車!$B$22)</f>
        <v>0</v>
      </c>
      <c r="X34" s="422">
        <f>_xlfn.IFNA(VLOOKUP(A34,[7]進出口值表查詢結果!$C$11:$F$68,4,0),-[4]整車!$B$22)</f>
        <v>0</v>
      </c>
      <c r="Y34" s="422">
        <f>_xlfn.IFNA(VLOOKUP(A34,[7]進出口值表查詢結果!$C$11:$F$68,3,0),-[4]整車!$B$22)</f>
        <v>0</v>
      </c>
      <c r="Z34" s="422">
        <f t="shared" si="3"/>
        <v>200</v>
      </c>
      <c r="AA34" s="422">
        <f t="shared" si="4"/>
        <v>26608</v>
      </c>
    </row>
    <row r="35" spans="1:27">
      <c r="A35" s="415"/>
      <c r="B35" s="416"/>
      <c r="C35" s="416"/>
      <c r="D35" s="416"/>
      <c r="E35" s="416"/>
      <c r="F35" s="416"/>
      <c r="G35" s="416"/>
      <c r="H35" s="416"/>
      <c r="I35" s="416"/>
      <c r="J35" s="409"/>
      <c r="K35" s="410"/>
      <c r="L35" s="416"/>
      <c r="M35" s="416"/>
      <c r="N35" s="416"/>
      <c r="O35" s="416"/>
      <c r="P35" s="416"/>
      <c r="Q35" s="416"/>
      <c r="R35" s="416"/>
      <c r="S35" s="416"/>
      <c r="T35" s="416"/>
      <c r="U35" s="416"/>
      <c r="V35" s="416"/>
      <c r="W35" s="416"/>
      <c r="X35" s="416"/>
      <c r="Y35" s="416"/>
      <c r="Z35" s="416"/>
      <c r="AA35" s="416"/>
    </row>
    <row r="36" spans="1:27">
      <c r="A36" s="428" t="s">
        <v>142</v>
      </c>
      <c r="B36" s="429">
        <f t="shared" ref="B36:Y36" si="5">B38+B68+B75</f>
        <v>79424</v>
      </c>
      <c r="C36" s="429">
        <f t="shared" si="5"/>
        <v>35612604</v>
      </c>
      <c r="D36" s="429">
        <f t="shared" si="5"/>
        <v>64213</v>
      </c>
      <c r="E36" s="429">
        <f t="shared" si="5"/>
        <v>30491608</v>
      </c>
      <c r="F36" s="429">
        <f t="shared" si="5"/>
        <v>54696</v>
      </c>
      <c r="G36" s="429">
        <f t="shared" si="5"/>
        <v>29542744</v>
      </c>
      <c r="H36" s="429">
        <f t="shared" si="5"/>
        <v>39009</v>
      </c>
      <c r="I36" s="429">
        <f t="shared" si="5"/>
        <v>19973565</v>
      </c>
      <c r="J36" s="430">
        <f t="shared" si="5"/>
        <v>44931</v>
      </c>
      <c r="K36" s="431">
        <f>K38+K68+K75</f>
        <v>28357229</v>
      </c>
      <c r="L36" s="429">
        <f t="shared" si="5"/>
        <v>51038</v>
      </c>
      <c r="M36" s="429">
        <f t="shared" si="5"/>
        <v>32305965</v>
      </c>
      <c r="N36" s="429">
        <f t="shared" si="5"/>
        <v>44856</v>
      </c>
      <c r="O36" s="429">
        <f t="shared" si="5"/>
        <v>35121669</v>
      </c>
      <c r="P36" s="429">
        <f t="shared" si="5"/>
        <v>69496</v>
      </c>
      <c r="Q36" s="429">
        <f t="shared" si="5"/>
        <v>46505146</v>
      </c>
      <c r="R36" s="429">
        <f t="shared" si="5"/>
        <v>46124</v>
      </c>
      <c r="S36" s="429">
        <f t="shared" si="5"/>
        <v>32297052</v>
      </c>
      <c r="T36" s="429">
        <f t="shared" si="5"/>
        <v>63488</v>
      </c>
      <c r="U36" s="429">
        <f t="shared" si="5"/>
        <v>38464858</v>
      </c>
      <c r="V36" s="429">
        <f>V38+V68+V75</f>
        <v>52331</v>
      </c>
      <c r="W36" s="429">
        <f>W38+W68+W75</f>
        <v>31078138</v>
      </c>
      <c r="X36" s="429">
        <f t="shared" si="5"/>
        <v>64845</v>
      </c>
      <c r="Y36" s="429">
        <f t="shared" si="5"/>
        <v>39655701</v>
      </c>
      <c r="Z36" s="429">
        <f>SUM(B36,D36,F36,H36,J36,L36,N36,P36,R36,T36,V36,X36)</f>
        <v>674451</v>
      </c>
      <c r="AA36" s="429">
        <f>SUM(C36,E36,G36,I36,K36,M36,O36,Q36,S36,U36,W36,Y36)</f>
        <v>399406279</v>
      </c>
    </row>
    <row r="37" spans="1:27">
      <c r="A37" s="415"/>
      <c r="B37" s="416"/>
      <c r="C37" s="416"/>
      <c r="D37" s="416"/>
      <c r="E37" s="416"/>
      <c r="F37" s="416"/>
      <c r="G37" s="416"/>
      <c r="H37" s="416"/>
      <c r="I37" s="416"/>
      <c r="J37" s="409"/>
      <c r="K37" s="410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</row>
    <row r="38" spans="1:27">
      <c r="A38" s="432" t="s">
        <v>8</v>
      </c>
      <c r="B38" s="433">
        <f t="shared" ref="B38:Y38" si="6">SUM(B39:B66)</f>
        <v>71602</v>
      </c>
      <c r="C38" s="433">
        <f t="shared" si="6"/>
        <v>31042061</v>
      </c>
      <c r="D38" s="433">
        <f t="shared" si="6"/>
        <v>57938</v>
      </c>
      <c r="E38" s="433">
        <f t="shared" si="6"/>
        <v>27066923</v>
      </c>
      <c r="F38" s="433">
        <f t="shared" si="6"/>
        <v>50036</v>
      </c>
      <c r="G38" s="433">
        <f t="shared" si="6"/>
        <v>26756451</v>
      </c>
      <c r="H38" s="433">
        <f t="shared" si="6"/>
        <v>35898</v>
      </c>
      <c r="I38" s="433">
        <f t="shared" si="6"/>
        <v>18239616</v>
      </c>
      <c r="J38" s="434">
        <f t="shared" si="6"/>
        <v>42641</v>
      </c>
      <c r="K38" s="435">
        <f>SUM(K39:K66)</f>
        <v>26690377</v>
      </c>
      <c r="L38" s="433">
        <f t="shared" si="6"/>
        <v>48143</v>
      </c>
      <c r="M38" s="433">
        <f t="shared" si="6"/>
        <v>30331535</v>
      </c>
      <c r="N38" s="433">
        <f t="shared" si="6"/>
        <v>41659</v>
      </c>
      <c r="O38" s="433">
        <f t="shared" si="6"/>
        <v>32356018</v>
      </c>
      <c r="P38" s="433">
        <f t="shared" si="6"/>
        <v>67372</v>
      </c>
      <c r="Q38" s="433">
        <f t="shared" si="6"/>
        <v>44304841</v>
      </c>
      <c r="R38" s="433">
        <f t="shared" si="6"/>
        <v>44242</v>
      </c>
      <c r="S38" s="433">
        <f t="shared" si="6"/>
        <v>30263800</v>
      </c>
      <c r="T38" s="433">
        <f t="shared" si="6"/>
        <v>58319</v>
      </c>
      <c r="U38" s="433">
        <f t="shared" si="6"/>
        <v>35452809</v>
      </c>
      <c r="V38" s="433">
        <f>SUM(V39:V66)</f>
        <v>49253</v>
      </c>
      <c r="W38" s="433">
        <f>SUM(W39:W66)</f>
        <v>28348880</v>
      </c>
      <c r="X38" s="433">
        <f t="shared" si="6"/>
        <v>58138</v>
      </c>
      <c r="Y38" s="433">
        <f t="shared" si="6"/>
        <v>33913506</v>
      </c>
      <c r="Z38" s="433">
        <f t="shared" ref="Z38:Z66" si="7">SUM(B38,D38,F38,H38,J38,L38,N38,P38,R38,T38,V38,X38)</f>
        <v>625241</v>
      </c>
      <c r="AA38" s="433">
        <f t="shared" ref="AA38:AA66" si="8">SUM(C38,E38,G38,I38,K38,M38,O38,Q38,S38,U38,W38,Y38)</f>
        <v>364766817</v>
      </c>
    </row>
    <row r="39" spans="1:27">
      <c r="A39" s="459" t="s">
        <v>162</v>
      </c>
      <c r="B39" s="422">
        <v>9455</v>
      </c>
      <c r="C39" s="422">
        <v>8098805</v>
      </c>
      <c r="D39" s="422">
        <v>5899</v>
      </c>
      <c r="E39" s="422">
        <v>4489009</v>
      </c>
      <c r="F39" s="422">
        <v>11184</v>
      </c>
      <c r="G39" s="422">
        <v>11101791</v>
      </c>
      <c r="H39" s="422">
        <v>7475</v>
      </c>
      <c r="I39" s="422">
        <v>8873601</v>
      </c>
      <c r="J39" s="423">
        <v>12869</v>
      </c>
      <c r="K39" s="424">
        <v>13913534</v>
      </c>
      <c r="L39" s="422">
        <v>14682</v>
      </c>
      <c r="M39" s="422">
        <v>14178313</v>
      </c>
      <c r="N39" s="422">
        <v>14082</v>
      </c>
      <c r="O39" s="422">
        <v>14946790</v>
      </c>
      <c r="P39" s="422">
        <v>17288</v>
      </c>
      <c r="Q39" s="422">
        <v>20932370</v>
      </c>
      <c r="R39" s="422">
        <v>13841</v>
      </c>
      <c r="S39" s="422">
        <v>14623372</v>
      </c>
      <c r="T39" s="422">
        <v>14781</v>
      </c>
      <c r="U39" s="422">
        <v>14961515</v>
      </c>
      <c r="V39" s="422">
        <f>_xlfn.IFNA(VLOOKUP(A39,[6]進出口值表查詢結果!$C$11:$F$68,4,0),-[4]整車!$B$22)</f>
        <v>14525</v>
      </c>
      <c r="W39" s="422">
        <f>_xlfn.IFNA(VLOOKUP(A39,[6]進出口值表查詢結果!$C$11:$F$68,3,0),-[4]整車!$B$22)</f>
        <v>13590883</v>
      </c>
      <c r="X39" s="422">
        <f>_xlfn.IFNA(VLOOKUP(A39,[7]進出口值表查詢結果!$C$11:$F$68,4,0),-[4]整車!$B$22)</f>
        <v>15792</v>
      </c>
      <c r="Y39" s="422">
        <f>_xlfn.IFNA(VLOOKUP(A39,[7]進出口值表查詢結果!$C$11:$F$68,3,0),-[4]整車!$B$22)</f>
        <v>15201155</v>
      </c>
      <c r="Z39" s="416">
        <f t="shared" si="7"/>
        <v>151873</v>
      </c>
      <c r="AA39" s="416">
        <f t="shared" si="8"/>
        <v>154911138</v>
      </c>
    </row>
    <row r="40" spans="1:27">
      <c r="A40" s="459" t="s">
        <v>165</v>
      </c>
      <c r="B40" s="422">
        <v>6408</v>
      </c>
      <c r="C40" s="422">
        <v>3502900</v>
      </c>
      <c r="D40" s="422">
        <v>12057</v>
      </c>
      <c r="E40" s="422">
        <v>3128315</v>
      </c>
      <c r="F40" s="422">
        <v>8271</v>
      </c>
      <c r="G40" s="422">
        <v>2563956</v>
      </c>
      <c r="H40" s="422">
        <v>4864</v>
      </c>
      <c r="I40" s="422">
        <v>1321695</v>
      </c>
      <c r="J40" s="423">
        <v>2458</v>
      </c>
      <c r="K40" s="424">
        <v>672571</v>
      </c>
      <c r="L40" s="422">
        <v>2556</v>
      </c>
      <c r="M40" s="422">
        <v>1168366</v>
      </c>
      <c r="N40" s="422">
        <v>4316</v>
      </c>
      <c r="O40" s="422">
        <v>1533943</v>
      </c>
      <c r="P40" s="422">
        <v>4965</v>
      </c>
      <c r="Q40" s="422">
        <v>2104096</v>
      </c>
      <c r="R40" s="422">
        <v>3366</v>
      </c>
      <c r="S40" s="422">
        <v>1847351</v>
      </c>
      <c r="T40" s="422">
        <v>3654</v>
      </c>
      <c r="U40" s="422">
        <v>1456075</v>
      </c>
      <c r="V40" s="422">
        <f>_xlfn.IFNA(VLOOKUP(A40,[6]進出口值表查詢結果!$C$11:$F$68,4,0),-[4]整車!$B$22)</f>
        <v>5797</v>
      </c>
      <c r="W40" s="422">
        <f>_xlfn.IFNA(VLOOKUP(A40,[6]進出口值表查詢結果!$C$11:$F$68,3,0),-[4]整車!$B$22)</f>
        <v>1411961</v>
      </c>
      <c r="X40" s="422">
        <f>_xlfn.IFNA(VLOOKUP(A40,[7]進出口值表查詢結果!$C$11:$F$68,4,0),-[4]整車!$B$22)</f>
        <v>5920</v>
      </c>
      <c r="Y40" s="422">
        <f>_xlfn.IFNA(VLOOKUP(A40,[7]進出口值表查詢結果!$C$11:$F$68,3,0),-[4]整車!$B$22)</f>
        <v>1991602</v>
      </c>
      <c r="Z40" s="416">
        <f t="shared" si="7"/>
        <v>64632</v>
      </c>
      <c r="AA40" s="416">
        <f t="shared" si="8"/>
        <v>22702831</v>
      </c>
    </row>
    <row r="41" spans="1:27">
      <c r="A41" s="459" t="s">
        <v>179</v>
      </c>
      <c r="B41" s="422">
        <v>1316</v>
      </c>
      <c r="C41" s="422">
        <v>717427</v>
      </c>
      <c r="D41" s="422">
        <v>911</v>
      </c>
      <c r="E41" s="422">
        <v>709326</v>
      </c>
      <c r="F41" s="422">
        <v>1777</v>
      </c>
      <c r="G41" s="422">
        <v>1217722</v>
      </c>
      <c r="H41" s="422">
        <v>547</v>
      </c>
      <c r="I41" s="422">
        <v>1236471</v>
      </c>
      <c r="J41" s="423">
        <v>504</v>
      </c>
      <c r="K41" s="424">
        <v>997393</v>
      </c>
      <c r="L41" s="422">
        <v>1828</v>
      </c>
      <c r="M41" s="422">
        <v>1782072</v>
      </c>
      <c r="N41" s="422">
        <v>858</v>
      </c>
      <c r="O41" s="422">
        <v>1473021</v>
      </c>
      <c r="P41" s="422">
        <v>1248</v>
      </c>
      <c r="Q41" s="422">
        <v>1567705</v>
      </c>
      <c r="R41" s="422">
        <v>1489</v>
      </c>
      <c r="S41" s="422">
        <v>1445890</v>
      </c>
      <c r="T41" s="422">
        <v>1319</v>
      </c>
      <c r="U41" s="422">
        <v>1108193</v>
      </c>
      <c r="V41" s="422">
        <f>_xlfn.IFNA(VLOOKUP(A41,[6]進出口值表查詢結果!$C$11:$F$68,4,0),-[4]整車!$B$22)</f>
        <v>1769</v>
      </c>
      <c r="W41" s="422">
        <f>_xlfn.IFNA(VLOOKUP(A41,[6]進出口值表查詢結果!$C$11:$F$68,3,0),-[4]整車!$B$22)</f>
        <v>798510</v>
      </c>
      <c r="X41" s="422">
        <f>_xlfn.IFNA(VLOOKUP(A41,[7]進出口值表查詢結果!$C$11:$F$68,4,0),-[4]整車!$B$22)</f>
        <v>2665</v>
      </c>
      <c r="Y41" s="422">
        <f>_xlfn.IFNA(VLOOKUP(A41,[7]進出口值表查詢結果!$C$11:$F$68,3,0),-[4]整車!$B$22)</f>
        <v>1213680</v>
      </c>
      <c r="Z41" s="416">
        <f t="shared" si="7"/>
        <v>16231</v>
      </c>
      <c r="AA41" s="416">
        <f t="shared" si="8"/>
        <v>14267410</v>
      </c>
    </row>
    <row r="42" spans="1:27">
      <c r="A42" s="459" t="s">
        <v>163</v>
      </c>
      <c r="B42" s="422">
        <v>17706</v>
      </c>
      <c r="C42" s="422">
        <v>5035525</v>
      </c>
      <c r="D42" s="422">
        <v>6240</v>
      </c>
      <c r="E42" s="422">
        <v>3784977</v>
      </c>
      <c r="F42" s="422">
        <v>9566</v>
      </c>
      <c r="G42" s="422">
        <v>2935879</v>
      </c>
      <c r="H42" s="422">
        <v>6503</v>
      </c>
      <c r="I42" s="422">
        <v>3044684</v>
      </c>
      <c r="J42" s="423">
        <v>5112</v>
      </c>
      <c r="K42" s="424">
        <v>3224993</v>
      </c>
      <c r="L42" s="422">
        <v>13471</v>
      </c>
      <c r="M42" s="422">
        <v>4417423</v>
      </c>
      <c r="N42" s="422">
        <v>11009</v>
      </c>
      <c r="O42" s="422">
        <v>4729278</v>
      </c>
      <c r="P42" s="422">
        <v>33998</v>
      </c>
      <c r="Q42" s="422">
        <v>11641642</v>
      </c>
      <c r="R42" s="422">
        <v>15962</v>
      </c>
      <c r="S42" s="422">
        <v>6253943</v>
      </c>
      <c r="T42" s="422">
        <v>18510</v>
      </c>
      <c r="U42" s="422">
        <v>8270668</v>
      </c>
      <c r="V42" s="422">
        <f>_xlfn.IFNA(VLOOKUP(A42,[6]進出口值表查詢結果!$C$11:$F$68,4,0),-[4]整車!$B$22)</f>
        <v>12194</v>
      </c>
      <c r="W42" s="422">
        <f>_xlfn.IFNA(VLOOKUP(A42,[6]進出口值表查詢結果!$C$11:$F$68,3,0),-[4]整車!$B$22)</f>
        <v>5955460</v>
      </c>
      <c r="X42" s="422">
        <f>_xlfn.IFNA(VLOOKUP(A42,[7]進出口值表查詢結果!$C$11:$F$68,4,0),-[4]整車!$B$22)</f>
        <v>14217</v>
      </c>
      <c r="Y42" s="422">
        <f>_xlfn.IFNA(VLOOKUP(A42,[7]進出口值表查詢結果!$C$11:$F$68,3,0),-[4]整車!$B$22)</f>
        <v>5372669</v>
      </c>
      <c r="Z42" s="416">
        <f t="shared" si="7"/>
        <v>164488</v>
      </c>
      <c r="AA42" s="416">
        <f t="shared" si="8"/>
        <v>64667141</v>
      </c>
    </row>
    <row r="43" spans="1:27">
      <c r="A43" s="459" t="s">
        <v>171</v>
      </c>
      <c r="B43" s="422">
        <v>1251</v>
      </c>
      <c r="C43" s="422">
        <v>1143718</v>
      </c>
      <c r="D43" s="422">
        <v>1214</v>
      </c>
      <c r="E43" s="422">
        <v>1514756</v>
      </c>
      <c r="F43" s="422">
        <v>1275</v>
      </c>
      <c r="G43" s="422">
        <v>1300366</v>
      </c>
      <c r="H43" s="422">
        <v>85</v>
      </c>
      <c r="I43" s="422">
        <v>106062</v>
      </c>
      <c r="J43" s="423">
        <v>889</v>
      </c>
      <c r="K43" s="424">
        <v>1214599</v>
      </c>
      <c r="L43" s="422">
        <v>1601</v>
      </c>
      <c r="M43" s="422">
        <v>1668970</v>
      </c>
      <c r="N43" s="422">
        <v>925</v>
      </c>
      <c r="O43" s="422">
        <v>1104904</v>
      </c>
      <c r="P43" s="422">
        <v>519</v>
      </c>
      <c r="Q43" s="422">
        <v>835276</v>
      </c>
      <c r="R43" s="422">
        <v>1150</v>
      </c>
      <c r="S43" s="422">
        <v>1209512</v>
      </c>
      <c r="T43" s="422">
        <v>2343</v>
      </c>
      <c r="U43" s="422">
        <v>2166095</v>
      </c>
      <c r="V43" s="422">
        <f>_xlfn.IFNA(VLOOKUP(A43,[6]進出口值表查詢結果!$C$11:$F$68,4,0),-[4]整車!$B$22)</f>
        <v>1094</v>
      </c>
      <c r="W43" s="422">
        <f>_xlfn.IFNA(VLOOKUP(A43,[6]進出口值表查詢結果!$C$11:$F$68,3,0),-[4]整車!$B$22)</f>
        <v>1193068</v>
      </c>
      <c r="X43" s="422">
        <f>_xlfn.IFNA(VLOOKUP(A43,[7]進出口值表查詢結果!$C$11:$F$68,4,0),-[4]整車!$B$22)</f>
        <v>680</v>
      </c>
      <c r="Y43" s="422">
        <f>_xlfn.IFNA(VLOOKUP(A43,[7]進出口值表查詢結果!$C$11:$F$68,3,0),-[4]整車!$B$22)</f>
        <v>895521</v>
      </c>
      <c r="Z43" s="416">
        <f t="shared" si="7"/>
        <v>13026</v>
      </c>
      <c r="AA43" s="416">
        <f t="shared" si="8"/>
        <v>14352847</v>
      </c>
    </row>
    <row r="44" spans="1:27">
      <c r="A44" s="421" t="s">
        <v>252</v>
      </c>
      <c r="B44" s="422">
        <v>1462</v>
      </c>
      <c r="C44" s="422">
        <v>1150648</v>
      </c>
      <c r="D44" s="422">
        <v>1170</v>
      </c>
      <c r="E44" s="422">
        <v>1065890</v>
      </c>
      <c r="F44" s="422">
        <v>328</v>
      </c>
      <c r="G44" s="422">
        <v>441720</v>
      </c>
      <c r="H44" s="422">
        <v>198</v>
      </c>
      <c r="I44" s="422">
        <v>604272</v>
      </c>
      <c r="J44" s="423">
        <v>824</v>
      </c>
      <c r="K44" s="424">
        <v>1298798</v>
      </c>
      <c r="L44" s="422">
        <v>1079</v>
      </c>
      <c r="M44" s="422">
        <v>1208211</v>
      </c>
      <c r="N44" s="422">
        <v>807</v>
      </c>
      <c r="O44" s="422">
        <v>1002195</v>
      </c>
      <c r="P44" s="422">
        <v>796</v>
      </c>
      <c r="Q44" s="422">
        <v>1264047</v>
      </c>
      <c r="R44" s="422">
        <v>605</v>
      </c>
      <c r="S44" s="422">
        <v>956624</v>
      </c>
      <c r="T44" s="422">
        <v>1343</v>
      </c>
      <c r="U44" s="422">
        <v>1450743</v>
      </c>
      <c r="V44" s="422">
        <f>_xlfn.IFNA(VLOOKUP(A44,[6]進出口值表查詢結果!$C$11:$F$68,4,0),-[4]整車!$B$22)</f>
        <v>1030</v>
      </c>
      <c r="W44" s="422">
        <f>_xlfn.IFNA(VLOOKUP(A44,[6]進出口值表查詢結果!$C$11:$F$68,3,0),-[4]整車!$B$22)</f>
        <v>1221871</v>
      </c>
      <c r="X44" s="422">
        <f>_xlfn.IFNA(VLOOKUP(A44,[7]進出口值表查詢結果!$C$11:$F$68,4,0),-[4]整車!$B$22)</f>
        <v>1914</v>
      </c>
      <c r="Y44" s="422">
        <f>_xlfn.IFNA(VLOOKUP(A44,[7]進出口值表查詢結果!$C$11:$F$68,3,0),-[4]整車!$B$22)</f>
        <v>2462982</v>
      </c>
      <c r="Z44" s="416">
        <f t="shared" si="7"/>
        <v>11556</v>
      </c>
      <c r="AA44" s="416">
        <f t="shared" si="8"/>
        <v>14128001</v>
      </c>
    </row>
    <row r="45" spans="1:27">
      <c r="A45" s="459" t="s">
        <v>189</v>
      </c>
      <c r="B45" s="422">
        <v>8259</v>
      </c>
      <c r="C45" s="422">
        <v>7055116</v>
      </c>
      <c r="D45" s="422">
        <v>7827</v>
      </c>
      <c r="E45" s="422">
        <v>8311625</v>
      </c>
      <c r="F45" s="422">
        <v>5451</v>
      </c>
      <c r="G45" s="422">
        <v>4815102</v>
      </c>
      <c r="H45" s="422">
        <v>1437</v>
      </c>
      <c r="I45" s="422">
        <v>897615</v>
      </c>
      <c r="J45" s="423">
        <v>6587</v>
      </c>
      <c r="K45" s="424">
        <v>3549849</v>
      </c>
      <c r="L45" s="422">
        <v>5956</v>
      </c>
      <c r="M45" s="422">
        <v>4372019</v>
      </c>
      <c r="N45" s="422">
        <v>6178</v>
      </c>
      <c r="O45" s="422">
        <v>5869574</v>
      </c>
      <c r="P45" s="422">
        <v>5911</v>
      </c>
      <c r="Q45" s="422">
        <v>4858793</v>
      </c>
      <c r="R45" s="422">
        <v>4741</v>
      </c>
      <c r="S45" s="422">
        <v>2750680</v>
      </c>
      <c r="T45" s="422">
        <v>8165</v>
      </c>
      <c r="U45" s="422">
        <v>3665783</v>
      </c>
      <c r="V45" s="422">
        <f>_xlfn.IFNA(VLOOKUP(A45,[6]進出口值表查詢結果!$C$11:$F$68,4,0),-[4]整車!$B$22)</f>
        <v>4599</v>
      </c>
      <c r="W45" s="422">
        <f>_xlfn.IFNA(VLOOKUP(A45,[6]進出口值表查詢結果!$C$11:$F$68,3,0),-[4]整車!$B$22)</f>
        <v>2448875</v>
      </c>
      <c r="X45" s="422">
        <f>_xlfn.IFNA(VLOOKUP(A45,[7]進出口值表查詢結果!$C$11:$F$68,4,0),-[4]整車!$B$22)</f>
        <v>6519</v>
      </c>
      <c r="Y45" s="422">
        <f>_xlfn.IFNA(VLOOKUP(A45,[7]進出口值表查詢結果!$C$11:$F$68,3,0),-[4]整車!$B$22)</f>
        <v>4708366</v>
      </c>
      <c r="Z45" s="416">
        <f t="shared" si="7"/>
        <v>71630</v>
      </c>
      <c r="AA45" s="416">
        <f t="shared" si="8"/>
        <v>53303397</v>
      </c>
    </row>
    <row r="46" spans="1:27">
      <c r="A46" s="459" t="s">
        <v>166</v>
      </c>
      <c r="B46" s="422">
        <v>2698</v>
      </c>
      <c r="C46" s="422">
        <v>337022</v>
      </c>
      <c r="D46" s="422">
        <v>4227</v>
      </c>
      <c r="E46" s="422">
        <v>590807</v>
      </c>
      <c r="F46" s="422">
        <v>1385</v>
      </c>
      <c r="G46" s="422">
        <v>364355</v>
      </c>
      <c r="H46" s="422">
        <v>2867</v>
      </c>
      <c r="I46" s="422">
        <v>160451</v>
      </c>
      <c r="J46" s="423">
        <v>493</v>
      </c>
      <c r="K46" s="424">
        <v>68059</v>
      </c>
      <c r="L46" s="422">
        <v>3511</v>
      </c>
      <c r="M46" s="422">
        <v>345274</v>
      </c>
      <c r="N46" s="436">
        <v>616</v>
      </c>
      <c r="O46" s="436">
        <v>145435</v>
      </c>
      <c r="P46" s="422">
        <v>252</v>
      </c>
      <c r="Q46" s="422">
        <v>50525</v>
      </c>
      <c r="R46" s="422">
        <v>1078</v>
      </c>
      <c r="S46" s="422">
        <v>229756</v>
      </c>
      <c r="T46" s="422">
        <v>2600</v>
      </c>
      <c r="U46" s="422">
        <v>425508</v>
      </c>
      <c r="V46" s="422">
        <f>_xlfn.IFNA(VLOOKUP(A46,[6]進出口值表查詢結果!$C$11:$F$68,4,0),-[4]整車!$B$22)</f>
        <v>2376</v>
      </c>
      <c r="W46" s="422">
        <f>_xlfn.IFNA(VLOOKUP(A46,[6]進出口值表查詢結果!$C$11:$F$68,3,0),-[4]整車!$B$22)</f>
        <v>357540</v>
      </c>
      <c r="X46" s="422">
        <f>_xlfn.IFNA(VLOOKUP(A46,[7]進出口值表查詢結果!$C$11:$F$68,4,0),-[4]整車!$B$22)</f>
        <v>3399</v>
      </c>
      <c r="Y46" s="422">
        <f>_xlfn.IFNA(VLOOKUP(A46,[7]進出口值表查詢結果!$C$11:$F$68,3,0),-[4]整車!$B$22)</f>
        <v>252100</v>
      </c>
      <c r="Z46" s="416">
        <f t="shared" si="7"/>
        <v>25502</v>
      </c>
      <c r="AA46" s="416">
        <f t="shared" si="8"/>
        <v>3326832</v>
      </c>
    </row>
    <row r="47" spans="1:27">
      <c r="A47" s="459" t="s">
        <v>192</v>
      </c>
      <c r="B47" s="422">
        <v>0</v>
      </c>
      <c r="C47" s="422">
        <v>0</v>
      </c>
      <c r="D47" s="422"/>
      <c r="E47" s="422"/>
      <c r="F47" s="422">
        <v>0</v>
      </c>
      <c r="G47" s="422"/>
      <c r="H47" s="422">
        <v>0</v>
      </c>
      <c r="I47" s="422">
        <v>0</v>
      </c>
      <c r="J47" s="423">
        <v>17</v>
      </c>
      <c r="K47" s="424">
        <v>30939</v>
      </c>
      <c r="L47" s="422">
        <v>0</v>
      </c>
      <c r="M47" s="422">
        <v>0</v>
      </c>
      <c r="N47" s="422">
        <v>0</v>
      </c>
      <c r="O47" s="422">
        <v>0</v>
      </c>
      <c r="P47" s="422">
        <v>0</v>
      </c>
      <c r="Q47" s="422">
        <v>0</v>
      </c>
      <c r="R47" s="422">
        <v>0</v>
      </c>
      <c r="S47" s="422">
        <v>0</v>
      </c>
      <c r="T47" s="422"/>
      <c r="U47" s="422"/>
      <c r="V47" s="422">
        <f>_xlfn.IFNA(VLOOKUP(A47,[6]進出口值表查詢結果!$C$11:$F$68,4,0),-[4]整車!$B$22)</f>
        <v>13</v>
      </c>
      <c r="W47" s="422">
        <f>_xlfn.IFNA(VLOOKUP(A47,[6]進出口值表查詢結果!$C$11:$F$68,3,0),-[4]整車!$B$22)</f>
        <v>30641</v>
      </c>
      <c r="X47" s="422">
        <f>_xlfn.IFNA(VLOOKUP(A47,[7]進出口值表查詢結果!$C$11:$F$68,4,0),-[4]整車!$B$22)</f>
        <v>0</v>
      </c>
      <c r="Y47" s="422">
        <f>_xlfn.IFNA(VLOOKUP(A47,[7]進出口值表查詢結果!$C$11:$F$68,3,0),-[4]整車!$B$22)</f>
        <v>0</v>
      </c>
      <c r="Z47" s="416">
        <f t="shared" si="7"/>
        <v>30</v>
      </c>
      <c r="AA47" s="416">
        <f t="shared" si="8"/>
        <v>61580</v>
      </c>
    </row>
    <row r="48" spans="1:27">
      <c r="A48" s="459" t="s">
        <v>255</v>
      </c>
      <c r="B48" s="422">
        <v>1496</v>
      </c>
      <c r="C48" s="422">
        <v>75974</v>
      </c>
      <c r="D48" s="422">
        <v>887</v>
      </c>
      <c r="E48" s="422">
        <v>76782</v>
      </c>
      <c r="F48" s="422">
        <v>282</v>
      </c>
      <c r="G48" s="422">
        <v>34683</v>
      </c>
      <c r="H48" s="422">
        <v>243</v>
      </c>
      <c r="I48" s="422">
        <v>59854</v>
      </c>
      <c r="J48" s="423">
        <v>2854</v>
      </c>
      <c r="K48" s="424">
        <v>111627</v>
      </c>
      <c r="L48" s="422">
        <v>292</v>
      </c>
      <c r="M48" s="422">
        <v>40717</v>
      </c>
      <c r="N48" s="436">
        <v>50</v>
      </c>
      <c r="O48" s="436">
        <v>7437</v>
      </c>
      <c r="P48" s="422">
        <v>0</v>
      </c>
      <c r="Q48" s="422">
        <v>0</v>
      </c>
      <c r="R48" s="422">
        <v>63</v>
      </c>
      <c r="S48" s="422">
        <v>7337</v>
      </c>
      <c r="T48" s="422">
        <v>110</v>
      </c>
      <c r="U48" s="422">
        <v>19242</v>
      </c>
      <c r="V48" s="422">
        <f>_xlfn.IFNA(VLOOKUP(A48,[6]進出口值表查詢結果!$C$11:$F$68,4,0),-[4]整車!$B$22)</f>
        <v>2810</v>
      </c>
      <c r="W48" s="422">
        <f>_xlfn.IFNA(VLOOKUP(A48,[6]進出口值表查詢結果!$C$11:$F$68,3,0),-[4]整車!$B$22)</f>
        <v>115217</v>
      </c>
      <c r="X48" s="422">
        <f>_xlfn.IFNA(VLOOKUP(A48,[7]進出口值表查詢結果!$C$11:$F$68,4,0),-[4]整車!$B$22)</f>
        <v>233</v>
      </c>
      <c r="Y48" s="422">
        <f>_xlfn.IFNA(VLOOKUP(A48,[7]進出口值表查詢結果!$C$11:$F$68,3,0),-[4]整車!$B$22)</f>
        <v>49405</v>
      </c>
      <c r="Z48" s="416">
        <f t="shared" si="7"/>
        <v>9320</v>
      </c>
      <c r="AA48" s="416">
        <f t="shared" si="8"/>
        <v>598275</v>
      </c>
    </row>
    <row r="49" spans="1:27">
      <c r="A49" s="459" t="s">
        <v>195</v>
      </c>
      <c r="B49" s="422">
        <v>0</v>
      </c>
      <c r="C49" s="422">
        <v>0</v>
      </c>
      <c r="D49" s="422"/>
      <c r="E49" s="422"/>
      <c r="F49" s="422">
        <v>0</v>
      </c>
      <c r="G49" s="422"/>
      <c r="H49" s="422">
        <v>0</v>
      </c>
      <c r="I49" s="422">
        <v>0</v>
      </c>
      <c r="J49" s="423" t="s">
        <v>59</v>
      </c>
      <c r="K49" s="426" t="s">
        <v>59</v>
      </c>
      <c r="L49" s="422">
        <v>0</v>
      </c>
      <c r="M49" s="422">
        <v>0</v>
      </c>
      <c r="N49" s="422">
        <v>0</v>
      </c>
      <c r="O49" s="422">
        <v>0</v>
      </c>
      <c r="P49" s="422">
        <v>1103</v>
      </c>
      <c r="Q49" s="422">
        <v>149812</v>
      </c>
      <c r="R49" s="422">
        <v>0</v>
      </c>
      <c r="S49" s="422">
        <v>0</v>
      </c>
      <c r="T49" s="422">
        <v>1020</v>
      </c>
      <c r="U49" s="422">
        <v>82719</v>
      </c>
      <c r="V49" s="422">
        <f>_xlfn.IFNA(VLOOKUP(A49,[6]進出口值表查詢結果!$C$11:$F$68,4,0),-[4]整車!$B$22)</f>
        <v>250</v>
      </c>
      <c r="W49" s="422">
        <f>_xlfn.IFNA(VLOOKUP(A49,[6]進出口值表查詢結果!$C$11:$F$68,3,0),-[4]整車!$B$22)</f>
        <v>40485</v>
      </c>
      <c r="X49" s="422">
        <f>_xlfn.IFNA(VLOOKUP(A49,[7]進出口值表查詢結果!$C$11:$F$68,4,0),-[4]整車!$B$22)</f>
        <v>0</v>
      </c>
      <c r="Y49" s="422">
        <f>_xlfn.IFNA(VLOOKUP(A49,[7]進出口值表查詢結果!$C$11:$F$68,3,0),-[4]整車!$B$22)</f>
        <v>0</v>
      </c>
      <c r="Z49" s="416">
        <f t="shared" si="7"/>
        <v>2373</v>
      </c>
      <c r="AA49" s="416">
        <f t="shared" si="8"/>
        <v>273016</v>
      </c>
    </row>
    <row r="50" spans="1:27">
      <c r="A50" s="459" t="s">
        <v>256</v>
      </c>
      <c r="B50" s="422">
        <v>0</v>
      </c>
      <c r="C50" s="422">
        <v>0</v>
      </c>
      <c r="D50" s="422"/>
      <c r="E50" s="422"/>
      <c r="F50" s="422">
        <v>41</v>
      </c>
      <c r="G50" s="422">
        <v>46233</v>
      </c>
      <c r="H50" s="422">
        <v>0</v>
      </c>
      <c r="I50" s="422">
        <v>0</v>
      </c>
      <c r="J50" s="423">
        <v>78</v>
      </c>
      <c r="K50" s="426">
        <v>136719</v>
      </c>
      <c r="L50" s="422">
        <v>73</v>
      </c>
      <c r="M50" s="422">
        <v>111226</v>
      </c>
      <c r="N50" s="436">
        <v>42</v>
      </c>
      <c r="O50" s="436">
        <v>82995</v>
      </c>
      <c r="P50" s="422">
        <v>76</v>
      </c>
      <c r="Q50" s="422">
        <v>189800</v>
      </c>
      <c r="R50" s="422">
        <v>3</v>
      </c>
      <c r="S50" s="422">
        <v>18037</v>
      </c>
      <c r="T50" s="422"/>
      <c r="U50" s="422"/>
      <c r="V50" s="422">
        <f>_xlfn.IFNA(VLOOKUP(A50,[6]進出口值表查詢結果!$C$11:$F$68,4,0),-[4]整車!$B$22)</f>
        <v>0</v>
      </c>
      <c r="W50" s="422">
        <f>_xlfn.IFNA(VLOOKUP(A50,[6]進出口值表查詢結果!$C$11:$F$68,3,0),-[4]整車!$B$22)</f>
        <v>0</v>
      </c>
      <c r="X50" s="422">
        <f>_xlfn.IFNA(VLOOKUP(A50,[7]進出口值表查詢結果!$C$11:$F$68,4,0),-[4]整車!$B$22)</f>
        <v>0</v>
      </c>
      <c r="Y50" s="422">
        <f>_xlfn.IFNA(VLOOKUP(A50,[7]進出口值表查詢結果!$C$11:$F$68,3,0),-[4]整車!$B$22)</f>
        <v>0</v>
      </c>
      <c r="Z50" s="416">
        <f t="shared" si="7"/>
        <v>313</v>
      </c>
      <c r="AA50" s="416">
        <f t="shared" si="8"/>
        <v>585010</v>
      </c>
    </row>
    <row r="51" spans="1:27">
      <c r="A51" s="459" t="s">
        <v>187</v>
      </c>
      <c r="B51" s="422">
        <v>201</v>
      </c>
      <c r="C51" s="422">
        <v>272709</v>
      </c>
      <c r="D51" s="422"/>
      <c r="E51" s="422"/>
      <c r="F51" s="422">
        <v>0</v>
      </c>
      <c r="G51" s="422"/>
      <c r="H51" s="422">
        <v>32</v>
      </c>
      <c r="I51" s="422">
        <v>33620</v>
      </c>
      <c r="J51" s="423">
        <v>101</v>
      </c>
      <c r="K51" s="426">
        <v>102138</v>
      </c>
      <c r="L51" s="422">
        <v>63</v>
      </c>
      <c r="M51" s="422">
        <v>100302</v>
      </c>
      <c r="N51" s="436">
        <v>9</v>
      </c>
      <c r="O51" s="436">
        <v>13320</v>
      </c>
      <c r="P51" s="422">
        <v>0</v>
      </c>
      <c r="Q51" s="422">
        <v>0</v>
      </c>
      <c r="R51" s="422">
        <v>78</v>
      </c>
      <c r="S51" s="422">
        <v>157745</v>
      </c>
      <c r="T51" s="422"/>
      <c r="U51" s="422"/>
      <c r="V51" s="422">
        <f>_xlfn.IFNA(VLOOKUP(A51,[6]進出口值表查詢結果!$C$11:$F$68,4,0),-[4]整車!$B$22)</f>
        <v>149</v>
      </c>
      <c r="W51" s="422">
        <f>_xlfn.IFNA(VLOOKUP(A51,[6]進出口值表查詢結果!$C$11:$F$68,3,0),-[4]整車!$B$22)</f>
        <v>101179</v>
      </c>
      <c r="X51" s="422">
        <f>_xlfn.IFNA(VLOOKUP(A51,[7]進出口值表查詢結果!$C$11:$F$68,4,0),-[4]整車!$B$22)</f>
        <v>177</v>
      </c>
      <c r="Y51" s="422">
        <f>_xlfn.IFNA(VLOOKUP(A51,[7]進出口值表查詢結果!$C$11:$F$68,3,0),-[4]整車!$B$22)</f>
        <v>208957</v>
      </c>
      <c r="Z51" s="416">
        <f t="shared" si="7"/>
        <v>810</v>
      </c>
      <c r="AA51" s="416">
        <f t="shared" si="8"/>
        <v>989970</v>
      </c>
    </row>
    <row r="52" spans="1:27">
      <c r="A52" s="459" t="s">
        <v>258</v>
      </c>
      <c r="B52" s="422">
        <v>14850</v>
      </c>
      <c r="C52" s="422">
        <v>1819825</v>
      </c>
      <c r="D52" s="422">
        <v>10994</v>
      </c>
      <c r="E52" s="422">
        <v>1791539</v>
      </c>
      <c r="F52" s="422">
        <v>5163</v>
      </c>
      <c r="G52" s="422">
        <v>792431</v>
      </c>
      <c r="H52" s="422">
        <v>8731</v>
      </c>
      <c r="I52" s="422">
        <v>1291818</v>
      </c>
      <c r="J52" s="423">
        <v>8229</v>
      </c>
      <c r="K52" s="424">
        <v>909253</v>
      </c>
      <c r="L52" s="422">
        <v>1974</v>
      </c>
      <c r="M52" s="422">
        <v>362668</v>
      </c>
      <c r="N52" s="436">
        <v>1030</v>
      </c>
      <c r="O52" s="436">
        <v>144084</v>
      </c>
      <c r="P52" s="422">
        <v>637</v>
      </c>
      <c r="Q52" s="422">
        <v>148186</v>
      </c>
      <c r="R52" s="422">
        <v>0</v>
      </c>
      <c r="S52" s="422">
        <v>0</v>
      </c>
      <c r="T52" s="422">
        <v>492</v>
      </c>
      <c r="U52" s="422">
        <v>276110</v>
      </c>
      <c r="V52" s="422">
        <f>_xlfn.IFNA(VLOOKUP(A52,[6]進出口值表查詢結果!$C$11:$F$68,4,0),-[4]整車!$B$22)</f>
        <v>373</v>
      </c>
      <c r="W52" s="422">
        <f>_xlfn.IFNA(VLOOKUP(A52,[6]進出口值表查詢結果!$C$11:$F$68,3,0),-[4]整車!$B$22)</f>
        <v>210711</v>
      </c>
      <c r="X52" s="422">
        <f>_xlfn.IFNA(VLOOKUP(A52,[7]進出口值表查詢結果!$C$11:$F$68,4,0),-[4]整車!$B$22)</f>
        <v>255</v>
      </c>
      <c r="Y52" s="422">
        <f>_xlfn.IFNA(VLOOKUP(A52,[7]進出口值表查詢結果!$C$11:$F$68,3,0),-[4]整車!$B$22)</f>
        <v>121134</v>
      </c>
      <c r="Z52" s="416">
        <f t="shared" si="7"/>
        <v>52728</v>
      </c>
      <c r="AA52" s="416">
        <f t="shared" si="8"/>
        <v>7867759</v>
      </c>
    </row>
    <row r="53" spans="1:27">
      <c r="A53" s="459" t="s">
        <v>170</v>
      </c>
      <c r="B53" s="422">
        <v>415</v>
      </c>
      <c r="C53" s="422">
        <v>138854</v>
      </c>
      <c r="D53" s="422">
        <v>347</v>
      </c>
      <c r="E53" s="422">
        <v>89541</v>
      </c>
      <c r="F53" s="422">
        <v>168</v>
      </c>
      <c r="G53" s="422">
        <v>63590</v>
      </c>
      <c r="H53" s="422">
        <v>91</v>
      </c>
      <c r="I53" s="422">
        <v>41073</v>
      </c>
      <c r="J53" s="423" t="s">
        <v>59</v>
      </c>
      <c r="K53" s="426" t="s">
        <v>59</v>
      </c>
      <c r="L53" s="422">
        <v>192</v>
      </c>
      <c r="M53" s="422">
        <v>38137</v>
      </c>
      <c r="N53" s="436">
        <v>565</v>
      </c>
      <c r="O53" s="436">
        <v>326470</v>
      </c>
      <c r="P53" s="422">
        <v>55</v>
      </c>
      <c r="Q53" s="422">
        <v>37445</v>
      </c>
      <c r="R53" s="422">
        <v>12</v>
      </c>
      <c r="S53" s="422">
        <v>17120</v>
      </c>
      <c r="T53" s="422">
        <v>3</v>
      </c>
      <c r="U53" s="422">
        <v>1549</v>
      </c>
      <c r="V53" s="422">
        <f>_xlfn.IFNA(VLOOKUP(A53,[6]進出口值表查詢結果!$C$11:$F$68,4,0),-[4]整車!$B$22)</f>
        <v>6</v>
      </c>
      <c r="W53" s="422">
        <f>_xlfn.IFNA(VLOOKUP(A53,[6]進出口值表查詢結果!$C$11:$F$68,3,0),-[4]整車!$B$22)</f>
        <v>1837</v>
      </c>
      <c r="X53" s="422">
        <f>_xlfn.IFNA(VLOOKUP(A53,[7]進出口值表查詢結果!$C$11:$F$68,4,0),-[4]整車!$B$22)</f>
        <v>0</v>
      </c>
      <c r="Y53" s="422">
        <f>_xlfn.IFNA(VLOOKUP(A53,[7]進出口值表查詢結果!$C$11:$F$68,3,0),-[4]整車!$B$22)</f>
        <v>0</v>
      </c>
      <c r="Z53" s="416">
        <f t="shared" si="7"/>
        <v>1854</v>
      </c>
      <c r="AA53" s="416">
        <f t="shared" si="8"/>
        <v>755616</v>
      </c>
    </row>
    <row r="54" spans="1:27">
      <c r="A54" s="459" t="s">
        <v>177</v>
      </c>
      <c r="B54" s="422">
        <v>2701</v>
      </c>
      <c r="C54" s="422">
        <v>1013330</v>
      </c>
      <c r="D54" s="422">
        <v>526</v>
      </c>
      <c r="E54" s="422">
        <v>174316</v>
      </c>
      <c r="F54" s="422">
        <v>871</v>
      </c>
      <c r="G54" s="422">
        <v>261235</v>
      </c>
      <c r="H54" s="422">
        <v>560</v>
      </c>
      <c r="I54" s="422">
        <v>111328</v>
      </c>
      <c r="J54" s="423">
        <v>122</v>
      </c>
      <c r="K54" s="426">
        <v>126429</v>
      </c>
      <c r="L54" s="422">
        <v>437</v>
      </c>
      <c r="M54" s="422">
        <v>340350</v>
      </c>
      <c r="N54" s="436">
        <v>995</v>
      </c>
      <c r="O54" s="436">
        <v>812171</v>
      </c>
      <c r="P54" s="422">
        <v>393</v>
      </c>
      <c r="Q54" s="422">
        <v>427618</v>
      </c>
      <c r="R54" s="422">
        <v>1762</v>
      </c>
      <c r="S54" s="422">
        <v>731590</v>
      </c>
      <c r="T54" s="422">
        <v>2871</v>
      </c>
      <c r="U54" s="422">
        <v>1163960</v>
      </c>
      <c r="V54" s="422">
        <f>_xlfn.IFNA(VLOOKUP(A54,[6]進出口值表查詢結果!$C$11:$F$68,4,0),-[4]整車!$B$22)</f>
        <v>2077</v>
      </c>
      <c r="W54" s="422">
        <f>_xlfn.IFNA(VLOOKUP(A54,[6]進出口值表查詢結果!$C$11:$F$68,3,0),-[4]整車!$B$22)</f>
        <v>695253</v>
      </c>
      <c r="X54" s="422">
        <f>_xlfn.IFNA(VLOOKUP(A54,[7]進出口值表查詢結果!$C$11:$F$68,4,0),-[4]整車!$B$22)</f>
        <v>2420</v>
      </c>
      <c r="Y54" s="422">
        <f>_xlfn.IFNA(VLOOKUP(A54,[7]進出口值表查詢結果!$C$11:$F$68,3,0),-[4]整車!$B$22)</f>
        <v>651295</v>
      </c>
      <c r="Z54" s="416">
        <f t="shared" si="7"/>
        <v>15735</v>
      </c>
      <c r="AA54" s="416">
        <f t="shared" si="8"/>
        <v>6508875</v>
      </c>
    </row>
    <row r="55" spans="1:27">
      <c r="A55" s="459" t="s">
        <v>167</v>
      </c>
      <c r="B55" s="422">
        <v>184</v>
      </c>
      <c r="C55" s="422">
        <v>65445</v>
      </c>
      <c r="D55" s="422">
        <v>384</v>
      </c>
      <c r="E55" s="422">
        <v>270420</v>
      </c>
      <c r="F55" s="422">
        <v>117</v>
      </c>
      <c r="G55" s="422">
        <v>125456</v>
      </c>
      <c r="H55" s="422">
        <v>125</v>
      </c>
      <c r="I55" s="422">
        <v>79330</v>
      </c>
      <c r="J55" s="423">
        <v>112</v>
      </c>
      <c r="K55" s="426">
        <v>53759</v>
      </c>
      <c r="L55" s="422">
        <v>191</v>
      </c>
      <c r="M55" s="422">
        <v>102112</v>
      </c>
      <c r="N55" s="436">
        <v>97</v>
      </c>
      <c r="O55" s="436">
        <v>124577</v>
      </c>
      <c r="P55" s="422">
        <v>96</v>
      </c>
      <c r="Q55" s="422">
        <v>91901</v>
      </c>
      <c r="R55" s="422">
        <v>1</v>
      </c>
      <c r="S55" s="422">
        <v>4144</v>
      </c>
      <c r="T55" s="422">
        <v>262</v>
      </c>
      <c r="U55" s="422">
        <v>270569</v>
      </c>
      <c r="V55" s="422">
        <f>_xlfn.IFNA(VLOOKUP(A55,[6]進出口值表查詢結果!$C$11:$F$68,4,0),-[4]整車!$B$22)</f>
        <v>124</v>
      </c>
      <c r="W55" s="422">
        <f>_xlfn.IFNA(VLOOKUP(A55,[6]進出口值表查詢結果!$C$11:$F$68,3,0),-[4]整車!$B$22)</f>
        <v>163570</v>
      </c>
      <c r="X55" s="422">
        <f>_xlfn.IFNA(VLOOKUP(A55,[7]進出口值表查詢結果!$C$11:$F$68,4,0),-[4]整車!$B$22)</f>
        <v>2983</v>
      </c>
      <c r="Y55" s="422">
        <f>_xlfn.IFNA(VLOOKUP(A55,[7]進出口值表查詢結果!$C$11:$F$68,3,0),-[4]整車!$B$22)</f>
        <v>600700</v>
      </c>
      <c r="Z55" s="416">
        <f t="shared" si="7"/>
        <v>4676</v>
      </c>
      <c r="AA55" s="416">
        <f t="shared" si="8"/>
        <v>1951983</v>
      </c>
    </row>
    <row r="56" spans="1:27">
      <c r="A56" s="459" t="s">
        <v>173</v>
      </c>
      <c r="B56" s="422">
        <v>1004</v>
      </c>
      <c r="C56" s="422">
        <v>51950</v>
      </c>
      <c r="D56" s="422">
        <v>726</v>
      </c>
      <c r="E56" s="422">
        <v>56062</v>
      </c>
      <c r="F56" s="422">
        <v>1874</v>
      </c>
      <c r="G56" s="422">
        <v>133920</v>
      </c>
      <c r="H56" s="422">
        <v>806</v>
      </c>
      <c r="I56" s="422">
        <v>75224</v>
      </c>
      <c r="J56" s="423" t="s">
        <v>59</v>
      </c>
      <c r="K56" s="426" t="s">
        <v>59</v>
      </c>
      <c r="L56" s="422">
        <v>52</v>
      </c>
      <c r="M56" s="422">
        <v>5931</v>
      </c>
      <c r="N56" s="422">
        <v>0</v>
      </c>
      <c r="O56" s="422">
        <v>0</v>
      </c>
      <c r="P56" s="422">
        <v>0</v>
      </c>
      <c r="Q56" s="422">
        <v>0</v>
      </c>
      <c r="R56" s="422">
        <v>0</v>
      </c>
      <c r="S56" s="422">
        <v>0</v>
      </c>
      <c r="T56" s="422">
        <v>70</v>
      </c>
      <c r="U56" s="422">
        <v>11429</v>
      </c>
      <c r="V56" s="422">
        <f>_xlfn.IFNA(VLOOKUP(A56,[6]進出口值表查詢結果!$C$11:$F$68,4,0),-[4]整車!$B$22)</f>
        <v>13</v>
      </c>
      <c r="W56" s="422">
        <f>_xlfn.IFNA(VLOOKUP(A56,[6]進出口值表查詢結果!$C$11:$F$68,3,0),-[4]整車!$B$22)</f>
        <v>1698</v>
      </c>
      <c r="X56" s="422">
        <f>_xlfn.IFNA(VLOOKUP(A56,[7]進出口值表查詢結果!$C$11:$F$68,4,0),-[4]整車!$B$22)</f>
        <v>55</v>
      </c>
      <c r="Y56" s="422">
        <f>_xlfn.IFNA(VLOOKUP(A56,[7]進出口值表查詢結果!$C$11:$F$68,3,0),-[4]整車!$B$22)</f>
        <v>5808</v>
      </c>
      <c r="Z56" s="416">
        <f t="shared" si="7"/>
        <v>4600</v>
      </c>
      <c r="AA56" s="416">
        <f t="shared" si="8"/>
        <v>342022</v>
      </c>
    </row>
    <row r="57" spans="1:27">
      <c r="A57" s="459" t="s">
        <v>264</v>
      </c>
      <c r="B57" s="422">
        <v>0</v>
      </c>
      <c r="C57" s="422">
        <v>0</v>
      </c>
      <c r="D57" s="422">
        <v>40</v>
      </c>
      <c r="E57" s="422">
        <v>6163</v>
      </c>
      <c r="F57" s="422">
        <v>0</v>
      </c>
      <c r="G57" s="422"/>
      <c r="H57" s="422">
        <v>0</v>
      </c>
      <c r="I57" s="422">
        <v>0</v>
      </c>
      <c r="J57" s="423" t="s">
        <v>59</v>
      </c>
      <c r="K57" s="426" t="s">
        <v>59</v>
      </c>
      <c r="L57" s="422">
        <v>0</v>
      </c>
      <c r="M57" s="422">
        <v>0</v>
      </c>
      <c r="N57" s="422">
        <v>0</v>
      </c>
      <c r="O57" s="422">
        <v>0</v>
      </c>
      <c r="P57" s="422">
        <v>0</v>
      </c>
      <c r="Q57" s="422">
        <v>0</v>
      </c>
      <c r="R57" s="422">
        <v>0</v>
      </c>
      <c r="S57" s="422">
        <v>0</v>
      </c>
      <c r="T57" s="422"/>
      <c r="U57" s="422"/>
      <c r="V57" s="422">
        <f>_xlfn.IFNA(VLOOKUP(A57,[6]進出口值表查詢結果!$C$11:$F$68,4,0),-[4]整車!$B$22)</f>
        <v>0</v>
      </c>
      <c r="W57" s="422">
        <f>_xlfn.IFNA(VLOOKUP(A57,[6]進出口值表查詢結果!$C$11:$F$68,3,0),-[4]整車!$B$22)</f>
        <v>0</v>
      </c>
      <c r="X57" s="422">
        <f>_xlfn.IFNA(VLOOKUP(A57,[7]進出口值表查詢結果!$C$11:$F$68,4,0),-[4]整車!$B$22)</f>
        <v>0</v>
      </c>
      <c r="Y57" s="422">
        <f>_xlfn.IFNA(VLOOKUP(A57,[7]進出口值表查詢結果!$C$11:$F$68,3,0),-[4]整車!$B$22)</f>
        <v>0</v>
      </c>
      <c r="Z57" s="416">
        <f t="shared" si="7"/>
        <v>40</v>
      </c>
      <c r="AA57" s="416">
        <f t="shared" si="8"/>
        <v>6163</v>
      </c>
    </row>
    <row r="58" spans="1:27">
      <c r="A58" s="462" t="s">
        <v>266</v>
      </c>
      <c r="B58" s="422">
        <v>696</v>
      </c>
      <c r="C58" s="422">
        <v>253916</v>
      </c>
      <c r="D58" s="422">
        <v>1323</v>
      </c>
      <c r="E58" s="422">
        <v>281646</v>
      </c>
      <c r="F58" s="422">
        <v>898</v>
      </c>
      <c r="G58" s="422">
        <v>263987</v>
      </c>
      <c r="H58" s="422">
        <v>276</v>
      </c>
      <c r="I58" s="422">
        <v>95595</v>
      </c>
      <c r="J58" s="423">
        <v>767</v>
      </c>
      <c r="K58" s="426">
        <v>158803</v>
      </c>
      <c r="L58" s="422">
        <v>0</v>
      </c>
      <c r="M58" s="422">
        <v>0</v>
      </c>
      <c r="N58" s="436">
        <v>80</v>
      </c>
      <c r="O58" s="436">
        <v>39824</v>
      </c>
      <c r="P58" s="422">
        <v>0</v>
      </c>
      <c r="Q58" s="422">
        <v>0</v>
      </c>
      <c r="R58" s="422">
        <v>0</v>
      </c>
      <c r="S58" s="422">
        <v>0</v>
      </c>
      <c r="T58" s="422">
        <v>169</v>
      </c>
      <c r="U58" s="422">
        <v>44957</v>
      </c>
      <c r="V58" s="422">
        <f>_xlfn.IFNA(VLOOKUP(A58,[6]進出口值表查詢結果!$C$11:$F$68,4,0),-[4]整車!$B$22)</f>
        <v>0</v>
      </c>
      <c r="W58" s="422">
        <f>_xlfn.IFNA(VLOOKUP(A58,[6]進出口值表查詢結果!$C$11:$F$68,3,0),-[4]整車!$B$22)</f>
        <v>0</v>
      </c>
      <c r="X58" s="422">
        <f>_xlfn.IFNA(VLOOKUP(A58,[7]進出口值表查詢結果!$C$11:$F$68,4,0),-[4]整車!$B$22)</f>
        <v>0</v>
      </c>
      <c r="Y58" s="422">
        <f>_xlfn.IFNA(VLOOKUP(A58,[7]進出口值表查詢結果!$C$11:$F$68,3,0),-[4]整車!$B$22)</f>
        <v>0</v>
      </c>
      <c r="Z58" s="416">
        <f t="shared" si="7"/>
        <v>4209</v>
      </c>
      <c r="AA58" s="416">
        <f t="shared" si="8"/>
        <v>1138728</v>
      </c>
    </row>
    <row r="59" spans="1:27">
      <c r="A59" s="463" t="s">
        <v>17</v>
      </c>
      <c r="B59" s="422">
        <v>0</v>
      </c>
      <c r="C59" s="422">
        <v>0</v>
      </c>
      <c r="D59" s="422"/>
      <c r="E59" s="422"/>
      <c r="F59" s="422">
        <v>0</v>
      </c>
      <c r="G59" s="422"/>
      <c r="H59" s="422">
        <v>0</v>
      </c>
      <c r="I59" s="422">
        <v>0</v>
      </c>
      <c r="J59" s="423">
        <v>50</v>
      </c>
      <c r="K59" s="426">
        <v>5012</v>
      </c>
      <c r="L59" s="422">
        <v>0</v>
      </c>
      <c r="M59" s="422">
        <v>0</v>
      </c>
      <c r="N59" s="422">
        <v>0</v>
      </c>
      <c r="O59" s="422">
        <v>0</v>
      </c>
      <c r="P59" s="422">
        <v>0</v>
      </c>
      <c r="Q59" s="422">
        <v>0</v>
      </c>
      <c r="R59" s="422">
        <v>0</v>
      </c>
      <c r="S59" s="422">
        <v>0</v>
      </c>
      <c r="T59" s="422">
        <v>440</v>
      </c>
      <c r="U59" s="422">
        <v>55250</v>
      </c>
      <c r="V59" s="422">
        <f>_xlfn.IFNA(VLOOKUP(A59,[6]進出口值表查詢結果!$C$11:$F$68,4,0),-[4]整車!$B$22)</f>
        <v>0</v>
      </c>
      <c r="W59" s="422">
        <f>_xlfn.IFNA(VLOOKUP(A59,[6]進出口值表查詢結果!$C$11:$F$68,3,0),-[4]整車!$B$22)</f>
        <v>0</v>
      </c>
      <c r="X59" s="422">
        <f>_xlfn.IFNA(VLOOKUP(A59,[7]進出口值表查詢結果!$C$11:$F$68,4,0),-[4]整車!$B$22)</f>
        <v>0</v>
      </c>
      <c r="Y59" s="422">
        <f>_xlfn.IFNA(VLOOKUP(A59,[7]進出口值表查詢結果!$C$11:$F$68,3,0),-[4]整車!$B$22)</f>
        <v>0</v>
      </c>
      <c r="Z59" s="416">
        <f t="shared" si="7"/>
        <v>490</v>
      </c>
      <c r="AA59" s="416">
        <f t="shared" si="8"/>
        <v>60262</v>
      </c>
    </row>
    <row r="60" spans="1:27">
      <c r="A60" s="459" t="s">
        <v>269</v>
      </c>
      <c r="B60" s="422">
        <v>0</v>
      </c>
      <c r="C60" s="422">
        <v>0</v>
      </c>
      <c r="D60" s="422">
        <v>523</v>
      </c>
      <c r="E60" s="422">
        <v>150033</v>
      </c>
      <c r="F60" s="422">
        <v>813</v>
      </c>
      <c r="G60" s="422">
        <v>183637</v>
      </c>
      <c r="H60" s="422">
        <v>317</v>
      </c>
      <c r="I60" s="422">
        <v>63199</v>
      </c>
      <c r="J60" s="423" t="s">
        <v>59</v>
      </c>
      <c r="K60" s="426" t="s">
        <v>59</v>
      </c>
      <c r="L60" s="422">
        <v>160</v>
      </c>
      <c r="M60" s="422">
        <v>66421</v>
      </c>
      <c r="N60" s="422">
        <v>0</v>
      </c>
      <c r="O60" s="422">
        <v>0</v>
      </c>
      <c r="P60" s="422">
        <v>0</v>
      </c>
      <c r="Q60" s="422">
        <v>0</v>
      </c>
      <c r="R60" s="422">
        <v>0</v>
      </c>
      <c r="S60" s="422">
        <v>0</v>
      </c>
      <c r="T60" s="422"/>
      <c r="U60" s="422"/>
      <c r="V60" s="422">
        <f>_xlfn.IFNA(VLOOKUP(A60,[6]進出口值表查詢結果!$C$11:$F$68,4,0),-[4]整車!$B$22)</f>
        <v>0</v>
      </c>
      <c r="W60" s="422">
        <f>_xlfn.IFNA(VLOOKUP(A60,[6]進出口值表查詢結果!$C$11:$F$68,3,0),-[4]整車!$B$22)</f>
        <v>0</v>
      </c>
      <c r="X60" s="422">
        <f>_xlfn.IFNA(VLOOKUP(A60,[7]進出口值表查詢結果!$C$11:$F$68,4,0),-[4]整車!$B$22)</f>
        <v>0</v>
      </c>
      <c r="Y60" s="422">
        <f>_xlfn.IFNA(VLOOKUP(A60,[7]進出口值表查詢結果!$C$11:$F$68,3,0),-[4]整車!$B$22)</f>
        <v>0</v>
      </c>
      <c r="Z60" s="416">
        <f t="shared" si="7"/>
        <v>1813</v>
      </c>
      <c r="AA60" s="416">
        <f t="shared" si="8"/>
        <v>463290</v>
      </c>
    </row>
    <row r="61" spans="1:27">
      <c r="A61" s="421" t="s">
        <v>270</v>
      </c>
      <c r="B61" s="422">
        <v>1370</v>
      </c>
      <c r="C61" s="422">
        <v>251116</v>
      </c>
      <c r="D61" s="422">
        <v>1982</v>
      </c>
      <c r="E61" s="422">
        <v>436276</v>
      </c>
      <c r="F61" s="422">
        <v>324</v>
      </c>
      <c r="G61" s="422">
        <v>53469</v>
      </c>
      <c r="H61" s="422">
        <v>496</v>
      </c>
      <c r="I61" s="422">
        <v>109871</v>
      </c>
      <c r="J61" s="423">
        <v>113</v>
      </c>
      <c r="K61" s="437">
        <v>38322</v>
      </c>
      <c r="L61" s="422">
        <v>0</v>
      </c>
      <c r="M61" s="422">
        <v>0</v>
      </c>
      <c r="N61" s="422">
        <v>0</v>
      </c>
      <c r="O61" s="422">
        <v>0</v>
      </c>
      <c r="P61" s="422">
        <v>0</v>
      </c>
      <c r="Q61" s="422">
        <v>0</v>
      </c>
      <c r="R61" s="422">
        <v>0</v>
      </c>
      <c r="S61" s="422">
        <v>0</v>
      </c>
      <c r="T61" s="422"/>
      <c r="U61" s="422"/>
      <c r="V61" s="422">
        <f>_xlfn.IFNA(VLOOKUP(A61,[6]進出口值表查詢結果!$C$11:$F$68,4,0),-[4]整車!$B$22)</f>
        <v>0</v>
      </c>
      <c r="W61" s="422">
        <f>_xlfn.IFNA(VLOOKUP(A61,[6]進出口值表查詢結果!$C$11:$F$68,3,0),-[4]整車!$B$22)</f>
        <v>0</v>
      </c>
      <c r="X61" s="422">
        <f>_xlfn.IFNA(VLOOKUP(A61,[7]進出口值表查詢結果!$C$11:$F$68,4,0),-[4]整車!$B$22)</f>
        <v>214</v>
      </c>
      <c r="Y61" s="422">
        <f>_xlfn.IFNA(VLOOKUP(A61,[7]進出口值表查詢結果!$C$11:$F$68,3,0),-[4]整車!$B$22)</f>
        <v>33520</v>
      </c>
      <c r="Z61" s="416">
        <f t="shared" si="7"/>
        <v>4499</v>
      </c>
      <c r="AA61" s="416">
        <f t="shared" si="8"/>
        <v>922574</v>
      </c>
    </row>
    <row r="62" spans="1:27">
      <c r="A62" s="459" t="s">
        <v>272</v>
      </c>
      <c r="B62" s="422">
        <v>70</v>
      </c>
      <c r="C62" s="422">
        <v>43452</v>
      </c>
      <c r="D62" s="422">
        <v>261</v>
      </c>
      <c r="E62" s="422">
        <v>64456</v>
      </c>
      <c r="F62" s="422">
        <v>18</v>
      </c>
      <c r="G62" s="422">
        <v>17756</v>
      </c>
      <c r="H62" s="422">
        <v>0</v>
      </c>
      <c r="I62" s="422">
        <v>0</v>
      </c>
      <c r="J62" s="423" t="s">
        <v>59</v>
      </c>
      <c r="K62" s="426" t="s">
        <v>59</v>
      </c>
      <c r="L62" s="422">
        <v>25</v>
      </c>
      <c r="M62" s="422">
        <v>23023</v>
      </c>
      <c r="N62" s="422">
        <v>0</v>
      </c>
      <c r="O62" s="422">
        <v>0</v>
      </c>
      <c r="P62" s="422">
        <v>0</v>
      </c>
      <c r="Q62" s="422">
        <v>0</v>
      </c>
      <c r="R62" s="422">
        <v>0</v>
      </c>
      <c r="S62" s="422">
        <v>0</v>
      </c>
      <c r="T62" s="422"/>
      <c r="U62" s="422"/>
      <c r="V62" s="422">
        <f>_xlfn.IFNA(VLOOKUP(A62,[6]進出口值表查詢結果!$C$11:$F$68,4,0),-[4]整車!$B$22)</f>
        <v>1</v>
      </c>
      <c r="W62" s="422">
        <f>_xlfn.IFNA(VLOOKUP(A62,[6]進出口值表查詢結果!$C$11:$F$68,3,0),-[4]整車!$B$22)</f>
        <v>3951</v>
      </c>
      <c r="X62" s="422">
        <f>_xlfn.IFNA(VLOOKUP(A62,[7]進出口值表查詢結果!$C$11:$F$68,4,0),-[4]整車!$B$22)</f>
        <v>355</v>
      </c>
      <c r="Y62" s="422">
        <f>_xlfn.IFNA(VLOOKUP(A62,[7]進出口值表查詢結果!$C$11:$F$68,3,0),-[4]整車!$B$22)</f>
        <v>93772</v>
      </c>
      <c r="Z62" s="416">
        <f t="shared" si="7"/>
        <v>730</v>
      </c>
      <c r="AA62" s="416">
        <f t="shared" si="8"/>
        <v>246410</v>
      </c>
    </row>
    <row r="63" spans="1:27">
      <c r="A63" s="462" t="s">
        <v>408</v>
      </c>
      <c r="B63" s="422">
        <v>0</v>
      </c>
      <c r="C63" s="422">
        <v>0</v>
      </c>
      <c r="D63" s="422"/>
      <c r="E63" s="422"/>
      <c r="F63" s="422">
        <v>80</v>
      </c>
      <c r="G63" s="422">
        <v>11981</v>
      </c>
      <c r="H63" s="422">
        <v>125</v>
      </c>
      <c r="I63" s="422">
        <v>14310</v>
      </c>
      <c r="J63" s="423">
        <v>100</v>
      </c>
      <c r="K63" s="426">
        <v>16037</v>
      </c>
      <c r="L63" s="422">
        <v>0</v>
      </c>
      <c r="M63" s="422">
        <v>0</v>
      </c>
      <c r="N63" s="422">
        <v>0</v>
      </c>
      <c r="O63" s="422">
        <v>0</v>
      </c>
      <c r="P63" s="422">
        <v>0</v>
      </c>
      <c r="Q63" s="422">
        <v>0</v>
      </c>
      <c r="R63" s="422">
        <v>0</v>
      </c>
      <c r="S63" s="422">
        <v>0</v>
      </c>
      <c r="T63" s="422">
        <v>125</v>
      </c>
      <c r="U63" s="422">
        <v>16317</v>
      </c>
      <c r="V63" s="422">
        <f>_xlfn.IFNA(VLOOKUP(A63,[6]進出口值表查詢結果!$C$11:$F$68,4,0),-[4]整車!$B$22)</f>
        <v>0</v>
      </c>
      <c r="W63" s="422">
        <f>_xlfn.IFNA(VLOOKUP(A63,[6]進出口值表查詢結果!$C$11:$F$68,3,0),-[4]整車!$B$22)</f>
        <v>0</v>
      </c>
      <c r="X63" s="422">
        <f>_xlfn.IFNA(VLOOKUP(A63,[7]進出口值表查詢結果!$C$11:$F$68,4,0),-[4]整車!$B$22)</f>
        <v>340</v>
      </c>
      <c r="Y63" s="422">
        <f>_xlfn.IFNA(VLOOKUP(A63,[7]進出口值表查詢結果!$C$11:$F$68,3,0),-[4]整車!$B$22)</f>
        <v>50840</v>
      </c>
      <c r="Z63" s="416">
        <f t="shared" si="7"/>
        <v>770</v>
      </c>
      <c r="AA63" s="416">
        <f t="shared" si="8"/>
        <v>109485</v>
      </c>
    </row>
    <row r="64" spans="1:27">
      <c r="A64" s="459" t="s">
        <v>191</v>
      </c>
      <c r="B64" s="422">
        <v>44</v>
      </c>
      <c r="C64" s="422">
        <v>6265</v>
      </c>
      <c r="D64" s="422"/>
      <c r="E64" s="422"/>
      <c r="F64" s="422">
        <v>0</v>
      </c>
      <c r="G64" s="422"/>
      <c r="H64" s="422">
        <v>0</v>
      </c>
      <c r="I64" s="422">
        <v>0</v>
      </c>
      <c r="J64" s="423">
        <v>74</v>
      </c>
      <c r="K64" s="426">
        <v>8920</v>
      </c>
      <c r="L64" s="422">
        <v>0</v>
      </c>
      <c r="M64" s="422">
        <v>0</v>
      </c>
      <c r="N64" s="422">
        <v>0</v>
      </c>
      <c r="O64" s="422">
        <v>0</v>
      </c>
      <c r="P64" s="422">
        <v>35</v>
      </c>
      <c r="Q64" s="422">
        <v>5625</v>
      </c>
      <c r="R64" s="422">
        <v>45</v>
      </c>
      <c r="S64" s="422">
        <v>4959</v>
      </c>
      <c r="T64" s="422">
        <v>42</v>
      </c>
      <c r="U64" s="422">
        <v>6127</v>
      </c>
      <c r="V64" s="422">
        <f>_xlfn.IFNA(VLOOKUP(A64,[6]進出口值表查詢結果!$C$11:$F$68,4,0),-[4]整車!$B$22)</f>
        <v>0</v>
      </c>
      <c r="W64" s="422">
        <f>_xlfn.IFNA(VLOOKUP(A64,[6]進出口值表查詢結果!$C$11:$F$68,3,0),-[4]整車!$B$22)</f>
        <v>0</v>
      </c>
      <c r="X64" s="422">
        <f>_xlfn.IFNA(VLOOKUP(A64,[7]進出口值表查詢結果!$C$11:$F$68,4,0),-[4]整車!$B$22)</f>
        <v>0</v>
      </c>
      <c r="Y64" s="422">
        <f>_xlfn.IFNA(VLOOKUP(A64,[7]進出口值表查詢結果!$C$11:$F$68,3,0),-[4]整車!$B$22)</f>
        <v>0</v>
      </c>
      <c r="Z64" s="416">
        <f t="shared" si="7"/>
        <v>240</v>
      </c>
      <c r="AA64" s="416">
        <f t="shared" si="8"/>
        <v>31896</v>
      </c>
    </row>
    <row r="65" spans="1:27">
      <c r="A65" s="459" t="s">
        <v>186</v>
      </c>
      <c r="B65" s="422">
        <v>0</v>
      </c>
      <c r="C65" s="422">
        <v>0</v>
      </c>
      <c r="D65" s="422"/>
      <c r="E65" s="422"/>
      <c r="F65" s="422">
        <v>20</v>
      </c>
      <c r="G65" s="422">
        <v>7667</v>
      </c>
      <c r="H65" s="422">
        <v>0</v>
      </c>
      <c r="I65" s="422">
        <v>0</v>
      </c>
      <c r="J65" s="423">
        <v>53</v>
      </c>
      <c r="K65" s="426">
        <v>6883</v>
      </c>
      <c r="L65" s="422">
        <v>0</v>
      </c>
      <c r="M65" s="422">
        <v>0</v>
      </c>
      <c r="N65" s="422">
        <v>0</v>
      </c>
      <c r="O65" s="422">
        <v>0</v>
      </c>
      <c r="P65" s="422">
        <v>0</v>
      </c>
      <c r="Q65" s="422">
        <v>0</v>
      </c>
      <c r="R65" s="422">
        <v>46</v>
      </c>
      <c r="S65" s="422">
        <v>5740</v>
      </c>
      <c r="T65" s="422"/>
      <c r="U65" s="422"/>
      <c r="V65" s="422">
        <f>_xlfn.IFNA(VLOOKUP(A65,[6]進出口值表查詢結果!$C$11:$F$68,4,0),-[4]整車!$B$22)</f>
        <v>53</v>
      </c>
      <c r="W65" s="422">
        <f>_xlfn.IFNA(VLOOKUP(A65,[6]進出口值表查詢結果!$C$11:$F$68,3,0),-[4]整車!$B$22)</f>
        <v>6170</v>
      </c>
      <c r="X65" s="422">
        <f>_xlfn.IFNA(VLOOKUP(A65,[7]進出口值表查詢結果!$C$11:$F$68,4,0),-[4]整車!$B$22)</f>
        <v>0</v>
      </c>
      <c r="Y65" s="422">
        <f>_xlfn.IFNA(VLOOKUP(A65,[7]進出口值表查詢結果!$C$11:$F$68,3,0),-[4]整車!$B$22)</f>
        <v>0</v>
      </c>
      <c r="Z65" s="416">
        <f t="shared" si="7"/>
        <v>172</v>
      </c>
      <c r="AA65" s="416">
        <f t="shared" si="8"/>
        <v>26460</v>
      </c>
    </row>
    <row r="66" spans="1:27">
      <c r="A66" s="459" t="s">
        <v>276</v>
      </c>
      <c r="B66" s="422">
        <v>16</v>
      </c>
      <c r="C66" s="422">
        <v>8064</v>
      </c>
      <c r="D66" s="422">
        <v>400</v>
      </c>
      <c r="E66" s="422">
        <v>74984</v>
      </c>
      <c r="F66" s="422">
        <v>130</v>
      </c>
      <c r="G66" s="422">
        <v>19515</v>
      </c>
      <c r="H66" s="422">
        <v>120</v>
      </c>
      <c r="I66" s="422">
        <v>19543</v>
      </c>
      <c r="J66" s="423">
        <v>235</v>
      </c>
      <c r="K66" s="426">
        <v>45740</v>
      </c>
      <c r="L66" s="422">
        <v>0</v>
      </c>
      <c r="M66" s="422">
        <v>0</v>
      </c>
      <c r="N66" s="422">
        <v>0</v>
      </c>
      <c r="O66" s="422">
        <v>0</v>
      </c>
      <c r="P66" s="422">
        <v>0</v>
      </c>
      <c r="Q66" s="422">
        <v>0</v>
      </c>
      <c r="R66" s="422">
        <v>0</v>
      </c>
      <c r="S66" s="422">
        <v>0</v>
      </c>
      <c r="T66" s="422"/>
      <c r="U66" s="422"/>
      <c r="V66" s="422">
        <f>_xlfn.IFNA(VLOOKUP(A66,[6]進出口值表查詢結果!$C$11:$F$68,4,0),-[4]整車!$B$22)</f>
        <v>0</v>
      </c>
      <c r="W66" s="422">
        <f>_xlfn.IFNA(VLOOKUP(A66,[6]進出口值表查詢結果!$C$11:$F$68,3,0),-[4]整車!$B$22)</f>
        <v>0</v>
      </c>
      <c r="X66" s="422">
        <f>_xlfn.IFNA(VLOOKUP(A66,[7]進出口值表查詢結果!$C$11:$F$68,4,0),-[4]整車!$B$22)</f>
        <v>0</v>
      </c>
      <c r="Y66" s="422">
        <f>_xlfn.IFNA(VLOOKUP(A66,[7]進出口值表查詢結果!$C$11:$F$68,3,0),-[4]整車!$B$22)</f>
        <v>0</v>
      </c>
      <c r="Z66" s="416">
        <f t="shared" si="7"/>
        <v>901</v>
      </c>
      <c r="AA66" s="416">
        <f t="shared" si="8"/>
        <v>167846</v>
      </c>
    </row>
    <row r="67" spans="1:27">
      <c r="A67" s="425"/>
      <c r="B67" s="422"/>
      <c r="C67" s="422"/>
      <c r="D67" s="422"/>
      <c r="E67" s="422"/>
      <c r="F67" s="422"/>
      <c r="G67" s="422"/>
      <c r="H67" s="422"/>
      <c r="I67" s="422"/>
      <c r="J67" s="423"/>
      <c r="K67" s="424"/>
      <c r="L67" s="422"/>
      <c r="M67" s="422"/>
      <c r="N67" s="422"/>
      <c r="O67" s="422"/>
      <c r="P67" s="422"/>
      <c r="Q67" s="422"/>
      <c r="R67" s="422"/>
      <c r="S67" s="422"/>
      <c r="T67" s="422"/>
      <c r="U67" s="422"/>
      <c r="V67" s="422"/>
      <c r="W67" s="422"/>
      <c r="X67" s="422"/>
      <c r="Y67" s="422"/>
      <c r="Z67" s="416"/>
      <c r="AA67" s="416"/>
    </row>
    <row r="68" spans="1:27">
      <c r="A68" s="438" t="s">
        <v>19</v>
      </c>
      <c r="B68" s="439">
        <f t="shared" ref="B68:G68" si="9">SUM(B69:B73)</f>
        <v>6047</v>
      </c>
      <c r="C68" s="439">
        <f t="shared" si="9"/>
        <v>3779240</v>
      </c>
      <c r="D68" s="439">
        <f t="shared" si="9"/>
        <v>4374</v>
      </c>
      <c r="E68" s="439">
        <f t="shared" si="9"/>
        <v>2793538</v>
      </c>
      <c r="F68" s="439">
        <f t="shared" si="9"/>
        <v>3335</v>
      </c>
      <c r="G68" s="439">
        <f t="shared" si="9"/>
        <v>1866843</v>
      </c>
      <c r="H68" s="439">
        <f>SUM(H69:H73)</f>
        <v>2480</v>
      </c>
      <c r="I68" s="439">
        <f>SUM(I69:I73)</f>
        <v>1512983</v>
      </c>
      <c r="J68" s="440">
        <f t="shared" ref="J68:O68" si="10">SUM(J69:J73)</f>
        <v>1816</v>
      </c>
      <c r="K68" s="441">
        <f t="shared" si="10"/>
        <v>1480084</v>
      </c>
      <c r="L68" s="439">
        <f t="shared" si="10"/>
        <v>1849</v>
      </c>
      <c r="M68" s="439">
        <f t="shared" si="10"/>
        <v>1617191</v>
      </c>
      <c r="N68" s="439">
        <f t="shared" si="10"/>
        <v>1838</v>
      </c>
      <c r="O68" s="439">
        <f t="shared" si="10"/>
        <v>1928770</v>
      </c>
      <c r="P68" s="439">
        <f>SUM(P69:P73)</f>
        <v>1960</v>
      </c>
      <c r="Q68" s="439">
        <f>SUM(Q69:Q73)</f>
        <v>1999119</v>
      </c>
      <c r="R68" s="439">
        <f t="shared" ref="R68:Y68" si="11">SUM(R69:R73)</f>
        <v>1097</v>
      </c>
      <c r="S68" s="439">
        <f t="shared" si="11"/>
        <v>1708965</v>
      </c>
      <c r="T68" s="439">
        <f t="shared" si="11"/>
        <v>2389</v>
      </c>
      <c r="U68" s="439">
        <f t="shared" si="11"/>
        <v>2156903</v>
      </c>
      <c r="V68" s="439">
        <f>SUM(V69:V73)</f>
        <v>1149</v>
      </c>
      <c r="W68" s="439">
        <f>SUM(W69:W73)</f>
        <v>1843745</v>
      </c>
      <c r="X68" s="439">
        <f t="shared" si="11"/>
        <v>3615</v>
      </c>
      <c r="Y68" s="439">
        <f t="shared" si="11"/>
        <v>4337331</v>
      </c>
      <c r="Z68" s="433">
        <f t="shared" ref="Z68:AA73" si="12">SUM(B68,D68,F68,H68,J68,L68,N68,P68,R68,T68,V68,X68)</f>
        <v>31949</v>
      </c>
      <c r="AA68" s="433">
        <f t="shared" si="12"/>
        <v>27024712</v>
      </c>
    </row>
    <row r="69" spans="1:27">
      <c r="A69" s="459" t="s">
        <v>184</v>
      </c>
      <c r="B69" s="422">
        <v>1857</v>
      </c>
      <c r="C69" s="422">
        <v>2017794</v>
      </c>
      <c r="D69" s="422">
        <v>1373</v>
      </c>
      <c r="E69" s="422">
        <v>1011526</v>
      </c>
      <c r="F69" s="422">
        <v>425</v>
      </c>
      <c r="G69" s="422">
        <v>428146</v>
      </c>
      <c r="H69" s="422">
        <v>671</v>
      </c>
      <c r="I69" s="422">
        <v>699536</v>
      </c>
      <c r="J69" s="423">
        <v>587</v>
      </c>
      <c r="K69" s="424">
        <v>1041998</v>
      </c>
      <c r="L69" s="422">
        <v>1055</v>
      </c>
      <c r="M69" s="422">
        <v>1243264</v>
      </c>
      <c r="N69" s="436">
        <v>947</v>
      </c>
      <c r="O69" s="436">
        <v>1493476</v>
      </c>
      <c r="P69" s="422">
        <v>1258</v>
      </c>
      <c r="Q69" s="422">
        <v>1726838</v>
      </c>
      <c r="R69" s="422">
        <v>988</v>
      </c>
      <c r="S69" s="422">
        <v>1565929</v>
      </c>
      <c r="T69" s="422">
        <v>2202</v>
      </c>
      <c r="U69" s="422">
        <v>2043237</v>
      </c>
      <c r="V69" s="422">
        <f>_xlfn.IFNA(VLOOKUP(A69,[6]進出口值表查詢結果!$C$11:$F$68,4,0),-[4]整車!$B$22)</f>
        <v>835</v>
      </c>
      <c r="W69" s="422">
        <f>_xlfn.IFNA(VLOOKUP(A69,[6]進出口值表查詢結果!$C$11:$F$68,3,0),-[4]整車!$B$22)</f>
        <v>1325166</v>
      </c>
      <c r="X69" s="422">
        <f>_xlfn.IFNA(VLOOKUP(A69,[7]進出口值表查詢結果!$C$11:$F$68,4,0),-[4]整車!$B$22)</f>
        <v>2736</v>
      </c>
      <c r="Y69" s="422">
        <f>_xlfn.IFNA(VLOOKUP(A69,[7]進出口值表查詢結果!$C$11:$F$68,3,0),-[4]整車!$B$22)</f>
        <v>3402098</v>
      </c>
      <c r="Z69" s="416">
        <f t="shared" si="12"/>
        <v>14934</v>
      </c>
      <c r="AA69" s="416">
        <f t="shared" si="12"/>
        <v>17999008</v>
      </c>
    </row>
    <row r="70" spans="1:27">
      <c r="A70" s="459" t="s">
        <v>277</v>
      </c>
      <c r="B70" s="422">
        <v>4127</v>
      </c>
      <c r="C70" s="422">
        <v>1691969</v>
      </c>
      <c r="D70" s="422">
        <v>2950</v>
      </c>
      <c r="E70" s="422">
        <v>1716256</v>
      </c>
      <c r="F70" s="422">
        <v>2760</v>
      </c>
      <c r="G70" s="422">
        <v>1417688</v>
      </c>
      <c r="H70" s="422">
        <v>1808</v>
      </c>
      <c r="I70" s="422">
        <v>811327</v>
      </c>
      <c r="J70" s="423">
        <v>1210</v>
      </c>
      <c r="K70" s="424">
        <v>402504</v>
      </c>
      <c r="L70" s="422">
        <v>780</v>
      </c>
      <c r="M70" s="422">
        <v>350268</v>
      </c>
      <c r="N70" s="436">
        <v>875</v>
      </c>
      <c r="O70" s="436">
        <v>407876</v>
      </c>
      <c r="P70" s="422">
        <v>700</v>
      </c>
      <c r="Q70" s="422">
        <v>267943</v>
      </c>
      <c r="R70" s="422">
        <v>108</v>
      </c>
      <c r="S70" s="422">
        <v>140862</v>
      </c>
      <c r="T70" s="422">
        <v>186</v>
      </c>
      <c r="U70" s="422">
        <v>111463</v>
      </c>
      <c r="V70" s="422">
        <f>_xlfn.IFNA(VLOOKUP(A70,[6]進出口值表查詢結果!$C$11:$F$68,4,0),-[4]整車!$B$22)</f>
        <v>314</v>
      </c>
      <c r="W70" s="422">
        <f>_xlfn.IFNA(VLOOKUP(A70,[6]進出口值表查詢結果!$C$11:$F$68,3,0),-[4]整車!$B$22)</f>
        <v>518579</v>
      </c>
      <c r="X70" s="422">
        <f>_xlfn.IFNA(VLOOKUP(A70,[7]進出口值表查詢結果!$C$11:$F$68,4,0),-[4]整車!$B$22)</f>
        <v>838</v>
      </c>
      <c r="Y70" s="422">
        <f>_xlfn.IFNA(VLOOKUP(A70,[7]進出口值表查詢結果!$C$11:$F$68,3,0),-[4]整車!$B$22)</f>
        <v>906262</v>
      </c>
      <c r="Z70" s="416">
        <f t="shared" si="12"/>
        <v>16656</v>
      </c>
      <c r="AA70" s="416">
        <f t="shared" si="12"/>
        <v>8742997</v>
      </c>
    </row>
    <row r="71" spans="1:27">
      <c r="A71" s="459" t="s">
        <v>278</v>
      </c>
      <c r="B71" s="422">
        <v>63</v>
      </c>
      <c r="C71" s="422">
        <v>69477</v>
      </c>
      <c r="D71" s="422">
        <v>51</v>
      </c>
      <c r="E71" s="422">
        <v>65756</v>
      </c>
      <c r="F71" s="422">
        <v>150</v>
      </c>
      <c r="G71" s="422">
        <v>21009</v>
      </c>
      <c r="H71" s="422">
        <v>1</v>
      </c>
      <c r="I71" s="422">
        <v>2120</v>
      </c>
      <c r="J71" s="423">
        <v>19</v>
      </c>
      <c r="K71" s="424">
        <v>35582</v>
      </c>
      <c r="L71" s="422">
        <v>14</v>
      </c>
      <c r="M71" s="422">
        <v>23659</v>
      </c>
      <c r="N71" s="436">
        <v>16</v>
      </c>
      <c r="O71" s="436">
        <v>27418</v>
      </c>
      <c r="P71" s="422">
        <v>2</v>
      </c>
      <c r="Q71" s="422">
        <v>4338</v>
      </c>
      <c r="R71" s="422">
        <v>1</v>
      </c>
      <c r="S71" s="422">
        <v>2174</v>
      </c>
      <c r="T71" s="422">
        <v>1</v>
      </c>
      <c r="U71" s="422">
        <v>2203</v>
      </c>
      <c r="V71" s="422">
        <f>_xlfn.IFNA(VLOOKUP(A71,[6]進出口值表查詢結果!$C$11:$F$68,4,0),-[4]整車!$B$22)</f>
        <v>0</v>
      </c>
      <c r="W71" s="422">
        <f>_xlfn.IFNA(VLOOKUP(A71,[6]進出口值表查詢結果!$C$11:$F$68,3,0),-[4]整車!$B$22)</f>
        <v>0</v>
      </c>
      <c r="X71" s="422">
        <f>_xlfn.IFNA(VLOOKUP(A71,[7]進出口值表查詢結果!$C$11:$F$68,4,0),-[4]整車!$B$22)</f>
        <v>41</v>
      </c>
      <c r="Y71" s="422">
        <f>_xlfn.IFNA(VLOOKUP(A71,[7]進出口值表查詢結果!$C$11:$F$68,3,0),-[4]整車!$B$22)</f>
        <v>28971</v>
      </c>
      <c r="Z71" s="416">
        <f t="shared" si="12"/>
        <v>359</v>
      </c>
      <c r="AA71" s="416">
        <f t="shared" si="12"/>
        <v>282707</v>
      </c>
    </row>
    <row r="72" spans="1:27">
      <c r="A72" s="459" t="s">
        <v>280</v>
      </c>
      <c r="B72" s="422">
        <v>0</v>
      </c>
      <c r="C72" s="422">
        <v>0</v>
      </c>
      <c r="D72" s="422"/>
      <c r="E72" s="422"/>
      <c r="F72" s="422">
        <v>0</v>
      </c>
      <c r="G72" s="422"/>
      <c r="H72" s="422">
        <v>0</v>
      </c>
      <c r="I72" s="422">
        <v>0</v>
      </c>
      <c r="J72" s="423" t="s">
        <v>59</v>
      </c>
      <c r="K72" s="426" t="s">
        <v>59</v>
      </c>
      <c r="L72" s="422">
        <v>0</v>
      </c>
      <c r="M72" s="422">
        <v>0</v>
      </c>
      <c r="N72" s="422">
        <v>0</v>
      </c>
      <c r="O72" s="422">
        <v>0</v>
      </c>
      <c r="P72" s="422">
        <v>0</v>
      </c>
      <c r="Q72" s="422">
        <v>0</v>
      </c>
      <c r="R72" s="422">
        <v>0</v>
      </c>
      <c r="S72" s="422">
        <v>0</v>
      </c>
      <c r="T72" s="422"/>
      <c r="U72" s="422"/>
      <c r="V72" s="422">
        <f>_xlfn.IFNA(VLOOKUP(A72,[6]進出口值表查詢結果!$C$11:$F$68,4,0),-[4]整車!$B$22)</f>
        <v>0</v>
      </c>
      <c r="W72" s="422">
        <f>_xlfn.IFNA(VLOOKUP(A72,[6]進出口值表查詢結果!$C$11:$F$68,3,0),-[4]整車!$B$22)</f>
        <v>0</v>
      </c>
      <c r="X72" s="422">
        <f>_xlfn.IFNA(VLOOKUP(A72,[7]進出口值表查詢結果!$C$11:$F$68,4,0),-[4]整車!$B$22)</f>
        <v>0</v>
      </c>
      <c r="Y72" s="422">
        <f>_xlfn.IFNA(VLOOKUP(A72,[7]進出口值表查詢結果!$C$11:$F$68,3,0),-[4]整車!$B$22)</f>
        <v>0</v>
      </c>
      <c r="Z72" s="416">
        <f t="shared" si="12"/>
        <v>0</v>
      </c>
      <c r="AA72" s="416">
        <f t="shared" si="12"/>
        <v>0</v>
      </c>
    </row>
    <row r="73" spans="1:27">
      <c r="A73" s="459" t="s">
        <v>279</v>
      </c>
      <c r="B73" s="422">
        <v>0</v>
      </c>
      <c r="C73" s="422">
        <v>0</v>
      </c>
      <c r="D73" s="422"/>
      <c r="E73" s="422"/>
      <c r="F73" s="422">
        <v>0</v>
      </c>
      <c r="G73" s="422"/>
      <c r="H73" s="422">
        <v>0</v>
      </c>
      <c r="I73" s="422">
        <v>0</v>
      </c>
      <c r="J73" s="423" t="s">
        <v>59</v>
      </c>
      <c r="K73" s="426" t="s">
        <v>59</v>
      </c>
      <c r="L73" s="422">
        <v>0</v>
      </c>
      <c r="M73" s="422">
        <v>0</v>
      </c>
      <c r="N73" s="422">
        <v>0</v>
      </c>
      <c r="O73" s="422">
        <v>0</v>
      </c>
      <c r="P73" s="422">
        <v>0</v>
      </c>
      <c r="Q73" s="422">
        <v>0</v>
      </c>
      <c r="R73" s="422">
        <v>0</v>
      </c>
      <c r="S73" s="422">
        <v>0</v>
      </c>
      <c r="T73" s="422"/>
      <c r="U73" s="422"/>
      <c r="V73" s="422">
        <f>_xlfn.IFNA(VLOOKUP(A73,[6]進出口值表查詢結果!$C$11:$F$68,4,0),-[4]整車!$B$22)</f>
        <v>0</v>
      </c>
      <c r="W73" s="422">
        <f>_xlfn.IFNA(VLOOKUP(A73,[6]進出口值表查詢結果!$C$11:$F$68,3,0),-[4]整車!$B$22)</f>
        <v>0</v>
      </c>
      <c r="X73" s="422">
        <f>_xlfn.IFNA(VLOOKUP(A73,[7]進出口值表查詢結果!$C$11:$F$68,4,0),-[4]整車!$B$22)</f>
        <v>0</v>
      </c>
      <c r="Y73" s="422">
        <f>_xlfn.IFNA(VLOOKUP(A73,[7]進出口值表查詢結果!$C$11:$F$68,3,0),-[4]整車!$B$22)</f>
        <v>0</v>
      </c>
      <c r="Z73" s="416">
        <f t="shared" si="12"/>
        <v>0</v>
      </c>
      <c r="AA73" s="416">
        <f t="shared" si="12"/>
        <v>0</v>
      </c>
    </row>
    <row r="74" spans="1:27">
      <c r="A74" s="425"/>
      <c r="B74" s="422"/>
      <c r="C74" s="422"/>
      <c r="D74" s="422"/>
      <c r="E74" s="422"/>
      <c r="F74" s="422"/>
      <c r="G74" s="422"/>
      <c r="H74" s="422"/>
      <c r="I74" s="422"/>
      <c r="J74" s="423"/>
      <c r="K74" s="424"/>
      <c r="L74" s="422"/>
      <c r="M74" s="422"/>
      <c r="N74" s="422"/>
      <c r="O74" s="422"/>
      <c r="P74" s="422"/>
      <c r="Q74" s="422"/>
      <c r="R74" s="422"/>
      <c r="S74" s="422"/>
      <c r="T74" s="422"/>
      <c r="U74" s="422"/>
      <c r="V74" s="422"/>
      <c r="W74" s="422"/>
      <c r="X74" s="422"/>
      <c r="Y74" s="422"/>
      <c r="Z74" s="416"/>
      <c r="AA74" s="416"/>
    </row>
    <row r="75" spans="1:27">
      <c r="A75" s="438" t="s">
        <v>143</v>
      </c>
      <c r="B75" s="439">
        <f t="shared" ref="B75:Y75" si="13">SUM(B76:B83)</f>
        <v>1775</v>
      </c>
      <c r="C75" s="439">
        <f t="shared" si="13"/>
        <v>791303</v>
      </c>
      <c r="D75" s="439">
        <f t="shared" si="13"/>
        <v>1901</v>
      </c>
      <c r="E75" s="439">
        <f t="shared" si="13"/>
        <v>631147</v>
      </c>
      <c r="F75" s="439">
        <f t="shared" si="13"/>
        <v>1325</v>
      </c>
      <c r="G75" s="439">
        <f t="shared" si="13"/>
        <v>919450</v>
      </c>
      <c r="H75" s="439">
        <f t="shared" si="13"/>
        <v>631</v>
      </c>
      <c r="I75" s="439">
        <f>SUM(I76:I83)</f>
        <v>220966</v>
      </c>
      <c r="J75" s="440">
        <f t="shared" si="13"/>
        <v>474</v>
      </c>
      <c r="K75" s="441">
        <f>SUM(K76:K83)</f>
        <v>186768</v>
      </c>
      <c r="L75" s="439">
        <f t="shared" si="13"/>
        <v>1046</v>
      </c>
      <c r="M75" s="439">
        <f t="shared" si="13"/>
        <v>357239</v>
      </c>
      <c r="N75" s="439">
        <f t="shared" si="13"/>
        <v>1359</v>
      </c>
      <c r="O75" s="439">
        <f t="shared" si="13"/>
        <v>836881</v>
      </c>
      <c r="P75" s="439">
        <f t="shared" si="13"/>
        <v>164</v>
      </c>
      <c r="Q75" s="439">
        <f t="shared" si="13"/>
        <v>201186</v>
      </c>
      <c r="R75" s="439">
        <f t="shared" si="13"/>
        <v>785</v>
      </c>
      <c r="S75" s="439">
        <f t="shared" si="13"/>
        <v>324287</v>
      </c>
      <c r="T75" s="439">
        <f t="shared" si="13"/>
        <v>2780</v>
      </c>
      <c r="U75" s="439">
        <f t="shared" si="13"/>
        <v>855146</v>
      </c>
      <c r="V75" s="439">
        <f>SUM(V76:V83)</f>
        <v>1929</v>
      </c>
      <c r="W75" s="439">
        <f>SUM(W76:W83)</f>
        <v>885513</v>
      </c>
      <c r="X75" s="439">
        <f t="shared" si="13"/>
        <v>3092</v>
      </c>
      <c r="Y75" s="439">
        <f t="shared" si="13"/>
        <v>1404864</v>
      </c>
      <c r="Z75" s="433">
        <f t="shared" ref="Z75:Z83" si="14">SUM(B75,D75,F75,H75,J75,L75,N75,P75,R75,T75,V75,X75)</f>
        <v>17261</v>
      </c>
      <c r="AA75" s="433">
        <f t="shared" ref="AA75:AA83" si="15">SUM(C75,E75,G75,I75,K75,M75,O75,Q75,S75,U75,W75,Y75)</f>
        <v>7614750</v>
      </c>
    </row>
    <row r="76" spans="1:27">
      <c r="A76" s="459" t="s">
        <v>282</v>
      </c>
      <c r="B76" s="422">
        <v>1579</v>
      </c>
      <c r="C76" s="422">
        <v>669877</v>
      </c>
      <c r="D76" s="422">
        <v>1436</v>
      </c>
      <c r="E76" s="422">
        <v>495570</v>
      </c>
      <c r="F76" s="422">
        <v>931</v>
      </c>
      <c r="G76" s="422">
        <v>702788</v>
      </c>
      <c r="H76" s="422">
        <v>631</v>
      </c>
      <c r="I76" s="422">
        <v>220966</v>
      </c>
      <c r="J76" s="423">
        <v>324</v>
      </c>
      <c r="K76" s="437">
        <v>164549</v>
      </c>
      <c r="L76" s="422">
        <v>815</v>
      </c>
      <c r="M76" s="422">
        <v>323962</v>
      </c>
      <c r="N76" s="436">
        <v>822</v>
      </c>
      <c r="O76" s="436">
        <v>518255</v>
      </c>
      <c r="P76" s="422">
        <v>119</v>
      </c>
      <c r="Q76" s="422">
        <v>179634</v>
      </c>
      <c r="R76" s="422">
        <v>495</v>
      </c>
      <c r="S76" s="422">
        <v>221230</v>
      </c>
      <c r="T76" s="422">
        <v>2780</v>
      </c>
      <c r="U76" s="422">
        <v>855146</v>
      </c>
      <c r="V76" s="422">
        <f>_xlfn.IFNA(VLOOKUP(A76,[6]進出口值表查詢結果!$C$11:$F$68,4,0),-[4]整車!$B$22)</f>
        <v>1812</v>
      </c>
      <c r="W76" s="422">
        <f>_xlfn.IFNA(VLOOKUP(A76,[6]進出口值表查詢結果!$C$11:$F$68,3,0),-[4]整車!$B$22)</f>
        <v>779724</v>
      </c>
      <c r="X76" s="422">
        <f>_xlfn.IFNA(VLOOKUP(A76,[7]進出口值表查詢結果!$C$11:$F$68,4,0),-[4]整車!$B$22)</f>
        <v>2631</v>
      </c>
      <c r="Y76" s="422">
        <f>_xlfn.IFNA(VLOOKUP(A76,[7]進出口值表查詢結果!$C$11:$F$68,3,0),-[4]整車!$B$22)</f>
        <v>1193493</v>
      </c>
      <c r="Z76" s="416">
        <f t="shared" si="14"/>
        <v>14375</v>
      </c>
      <c r="AA76" s="416">
        <f t="shared" si="15"/>
        <v>6325194</v>
      </c>
    </row>
    <row r="77" spans="1:27">
      <c r="A77" s="459" t="s">
        <v>283</v>
      </c>
      <c r="B77" s="422">
        <v>0</v>
      </c>
      <c r="C77" s="422">
        <v>0</v>
      </c>
      <c r="D77" s="422"/>
      <c r="E77" s="422"/>
      <c r="F77" s="422">
        <v>0</v>
      </c>
      <c r="G77" s="422"/>
      <c r="H77" s="422">
        <v>0</v>
      </c>
      <c r="I77" s="422">
        <v>0</v>
      </c>
      <c r="J77" s="423" t="s">
        <v>59</v>
      </c>
      <c r="K77" s="426" t="s">
        <v>59</v>
      </c>
      <c r="L77" s="422">
        <v>0</v>
      </c>
      <c r="M77" s="422">
        <v>0</v>
      </c>
      <c r="N77" s="422">
        <v>0</v>
      </c>
      <c r="O77" s="422">
        <v>0</v>
      </c>
      <c r="P77" s="422">
        <v>0</v>
      </c>
      <c r="Q77" s="422">
        <v>0</v>
      </c>
      <c r="R77" s="422">
        <v>0</v>
      </c>
      <c r="S77" s="422">
        <v>0</v>
      </c>
      <c r="T77" s="422"/>
      <c r="U77" s="422"/>
      <c r="V77" s="422">
        <f>_xlfn.IFNA(VLOOKUP(A77,[6]進出口值表查詢結果!$C$11:$F$68,4,0),-[4]整車!$B$22)</f>
        <v>0</v>
      </c>
      <c r="W77" s="422">
        <f>_xlfn.IFNA(VLOOKUP(A77,[6]進出口值表查詢結果!$C$11:$F$68,3,0),-[4]整車!$B$22)</f>
        <v>0</v>
      </c>
      <c r="X77" s="422">
        <f>_xlfn.IFNA(VLOOKUP(A77,[7]進出口值表查詢結果!$C$11:$F$68,4,0),-[4]整車!$B$22)</f>
        <v>0</v>
      </c>
      <c r="Y77" s="422">
        <f>_xlfn.IFNA(VLOOKUP(A77,[7]進出口值表查詢結果!$C$11:$F$68,3,0),-[4]整車!$B$22)</f>
        <v>0</v>
      </c>
      <c r="Z77" s="416">
        <f t="shared" si="14"/>
        <v>0</v>
      </c>
      <c r="AA77" s="416">
        <f t="shared" si="15"/>
        <v>0</v>
      </c>
    </row>
    <row r="78" spans="1:27">
      <c r="A78" s="459" t="s">
        <v>284</v>
      </c>
      <c r="B78" s="422"/>
      <c r="C78" s="422"/>
      <c r="D78" s="422"/>
      <c r="E78" s="422"/>
      <c r="F78" s="422">
        <v>0</v>
      </c>
      <c r="G78" s="422"/>
      <c r="H78" s="422">
        <v>0</v>
      </c>
      <c r="I78" s="422">
        <v>0</v>
      </c>
      <c r="J78" s="423" t="s">
        <v>59</v>
      </c>
      <c r="K78" s="426" t="s">
        <v>59</v>
      </c>
      <c r="L78" s="422">
        <v>0</v>
      </c>
      <c r="M78" s="422">
        <v>0</v>
      </c>
      <c r="N78" s="422">
        <v>0</v>
      </c>
      <c r="O78" s="422">
        <v>0</v>
      </c>
      <c r="P78" s="422">
        <v>0</v>
      </c>
      <c r="Q78" s="422">
        <v>0</v>
      </c>
      <c r="R78" s="422">
        <v>0</v>
      </c>
      <c r="S78" s="422">
        <v>0</v>
      </c>
      <c r="T78" s="422"/>
      <c r="U78" s="422"/>
      <c r="V78" s="422">
        <f>_xlfn.IFNA(VLOOKUP(A78,[6]進出口值表查詢結果!$C$11:$F$68,4,0),-[4]整車!$B$22)</f>
        <v>0</v>
      </c>
      <c r="W78" s="422">
        <f>_xlfn.IFNA(VLOOKUP(A78,[6]進出口值表查詢結果!$C$11:$F$68,3,0),-[4]整車!$B$22)</f>
        <v>0</v>
      </c>
      <c r="X78" s="422">
        <f>_xlfn.IFNA(VLOOKUP(A78,[7]進出口值表查詢結果!$C$11:$F$68,4,0),-[4]整車!$B$22)</f>
        <v>0</v>
      </c>
      <c r="Y78" s="422">
        <f>_xlfn.IFNA(VLOOKUP(A78,[7]進出口值表查詢結果!$C$11:$F$68,3,0),-[4]整車!$B$22)</f>
        <v>0</v>
      </c>
      <c r="Z78" s="416">
        <f t="shared" si="14"/>
        <v>0</v>
      </c>
      <c r="AA78" s="416">
        <f t="shared" si="15"/>
        <v>0</v>
      </c>
    </row>
    <row r="79" spans="1:27">
      <c r="A79" s="459" t="s">
        <v>285</v>
      </c>
      <c r="B79" s="422"/>
      <c r="C79" s="422"/>
      <c r="D79" s="422"/>
      <c r="E79" s="422"/>
      <c r="F79" s="422">
        <v>0</v>
      </c>
      <c r="G79" s="422"/>
      <c r="H79" s="422">
        <v>0</v>
      </c>
      <c r="I79" s="422">
        <v>0</v>
      </c>
      <c r="J79" s="423" t="s">
        <v>59</v>
      </c>
      <c r="K79" s="426" t="s">
        <v>59</v>
      </c>
      <c r="L79" s="422">
        <v>0</v>
      </c>
      <c r="M79" s="422">
        <v>0</v>
      </c>
      <c r="N79" s="422">
        <v>0</v>
      </c>
      <c r="O79" s="422">
        <v>0</v>
      </c>
      <c r="P79" s="422">
        <v>0</v>
      </c>
      <c r="Q79" s="422">
        <v>0</v>
      </c>
      <c r="R79" s="422">
        <v>0</v>
      </c>
      <c r="S79" s="422">
        <v>0</v>
      </c>
      <c r="T79" s="422"/>
      <c r="U79" s="422"/>
      <c r="V79" s="422">
        <f>_xlfn.IFNA(VLOOKUP(A79,[6]進出口值表查詢結果!$C$11:$F$68,4,0),-[4]整車!$B$22)</f>
        <v>0</v>
      </c>
      <c r="W79" s="422">
        <f>_xlfn.IFNA(VLOOKUP(A79,[6]進出口值表查詢結果!$C$11:$F$68,3,0),-[4]整車!$B$22)</f>
        <v>0</v>
      </c>
      <c r="X79" s="422">
        <f>_xlfn.IFNA(VLOOKUP(A79,[7]進出口值表查詢結果!$C$11:$F$68,4,0),-[4]整車!$B$22)</f>
        <v>0</v>
      </c>
      <c r="Y79" s="422">
        <f>_xlfn.IFNA(VLOOKUP(A79,[7]進出口值表查詢結果!$C$11:$F$68,3,0),-[4]整車!$B$22)</f>
        <v>0</v>
      </c>
      <c r="Z79" s="416">
        <f t="shared" si="14"/>
        <v>0</v>
      </c>
      <c r="AA79" s="416">
        <f t="shared" si="15"/>
        <v>0</v>
      </c>
    </row>
    <row r="80" spans="1:27">
      <c r="A80" s="459" t="s">
        <v>287</v>
      </c>
      <c r="B80" s="422">
        <v>196</v>
      </c>
      <c r="C80" s="422">
        <v>121426</v>
      </c>
      <c r="D80" s="422">
        <v>465</v>
      </c>
      <c r="E80" s="422">
        <v>135577</v>
      </c>
      <c r="F80" s="422">
        <v>339</v>
      </c>
      <c r="G80" s="422">
        <v>203320</v>
      </c>
      <c r="H80" s="422">
        <v>0</v>
      </c>
      <c r="I80" s="422">
        <v>0</v>
      </c>
      <c r="J80" s="423">
        <v>150</v>
      </c>
      <c r="K80" s="437">
        <v>22219</v>
      </c>
      <c r="L80" s="422">
        <v>231</v>
      </c>
      <c r="M80" s="422">
        <v>33277</v>
      </c>
      <c r="N80" s="436">
        <v>537</v>
      </c>
      <c r="O80" s="436">
        <v>318626</v>
      </c>
      <c r="P80" s="422">
        <v>0</v>
      </c>
      <c r="Q80" s="422">
        <v>0</v>
      </c>
      <c r="R80" s="422">
        <v>290</v>
      </c>
      <c r="S80" s="422">
        <v>103057</v>
      </c>
      <c r="T80" s="422"/>
      <c r="U80" s="422"/>
      <c r="V80" s="422">
        <f>_xlfn.IFNA(VLOOKUP(A80,[6]進出口值表查詢結果!$C$11:$F$68,4,0),-[4]整車!$B$22)</f>
        <v>117</v>
      </c>
      <c r="W80" s="422">
        <f>_xlfn.IFNA(VLOOKUP(A80,[6]進出口值表查詢結果!$C$11:$F$68,3,0),-[4]整車!$B$22)</f>
        <v>105789</v>
      </c>
      <c r="X80" s="422">
        <f>_xlfn.IFNA(VLOOKUP(A80,[7]進出口值表查詢結果!$C$11:$F$68,4,0),-[4]整車!$B$22)</f>
        <v>461</v>
      </c>
      <c r="Y80" s="422">
        <f>_xlfn.IFNA(VLOOKUP(A80,[7]進出口值表查詢結果!$C$11:$F$68,3,0),-[4]整車!$B$22)</f>
        <v>211371</v>
      </c>
      <c r="Z80" s="416">
        <f t="shared" si="14"/>
        <v>2786</v>
      </c>
      <c r="AA80" s="416">
        <f t="shared" si="15"/>
        <v>1254662</v>
      </c>
    </row>
    <row r="81" spans="1:27">
      <c r="A81" s="459" t="s">
        <v>289</v>
      </c>
      <c r="B81" s="422"/>
      <c r="C81" s="422"/>
      <c r="D81" s="422"/>
      <c r="E81" s="422"/>
      <c r="F81" s="422">
        <v>55</v>
      </c>
      <c r="G81" s="422">
        <v>13342</v>
      </c>
      <c r="H81" s="422">
        <v>0</v>
      </c>
      <c r="I81" s="422">
        <v>0</v>
      </c>
      <c r="J81" s="423" t="s">
        <v>59</v>
      </c>
      <c r="K81" s="426" t="s">
        <v>59</v>
      </c>
      <c r="L81" s="422">
        <v>0</v>
      </c>
      <c r="M81" s="422">
        <v>0</v>
      </c>
      <c r="N81" s="422">
        <v>0</v>
      </c>
      <c r="O81" s="422">
        <v>0</v>
      </c>
      <c r="P81" s="422">
        <v>45</v>
      </c>
      <c r="Q81" s="422">
        <v>21552</v>
      </c>
      <c r="R81" s="422">
        <v>0</v>
      </c>
      <c r="S81" s="422">
        <v>0</v>
      </c>
      <c r="T81" s="422"/>
      <c r="U81" s="422"/>
      <c r="V81" s="422">
        <f>_xlfn.IFNA(VLOOKUP(A81,[6]進出口值表查詢結果!$C$11:$F$68,4,0),-[4]整車!$B$22)</f>
        <v>0</v>
      </c>
      <c r="W81" s="422">
        <f>_xlfn.IFNA(VLOOKUP(A81,[6]進出口值表查詢結果!$C$11:$F$68,3,0),-[4]整車!$B$22)</f>
        <v>0</v>
      </c>
      <c r="X81" s="422">
        <f>_xlfn.IFNA(VLOOKUP(A81,[7]進出口值表查詢結果!$C$11:$F$68,4,0),-[4]整車!$B$22)</f>
        <v>0</v>
      </c>
      <c r="Y81" s="422">
        <f>_xlfn.IFNA(VLOOKUP(A81,[7]進出口值表查詢結果!$C$11:$F$68,3,0),-[4]整車!$B$22)</f>
        <v>0</v>
      </c>
      <c r="Z81" s="416">
        <f t="shared" si="14"/>
        <v>100</v>
      </c>
      <c r="AA81" s="416">
        <f t="shared" si="15"/>
        <v>34894</v>
      </c>
    </row>
    <row r="82" spans="1:27">
      <c r="A82" s="427" t="s">
        <v>288</v>
      </c>
      <c r="B82" s="422"/>
      <c r="C82" s="422"/>
      <c r="D82" s="422"/>
      <c r="E82" s="422"/>
      <c r="F82" s="422">
        <v>0</v>
      </c>
      <c r="G82" s="422"/>
      <c r="H82" s="422">
        <v>0</v>
      </c>
      <c r="I82" s="422">
        <v>0</v>
      </c>
      <c r="J82" s="423" t="s">
        <v>59</v>
      </c>
      <c r="K82" s="426" t="s">
        <v>59</v>
      </c>
      <c r="L82" s="422">
        <v>0</v>
      </c>
      <c r="M82" s="422">
        <v>0</v>
      </c>
      <c r="N82" s="422">
        <v>0</v>
      </c>
      <c r="O82" s="422">
        <v>0</v>
      </c>
      <c r="P82" s="422">
        <v>0</v>
      </c>
      <c r="Q82" s="422">
        <v>0</v>
      </c>
      <c r="R82" s="422">
        <v>0</v>
      </c>
      <c r="S82" s="422">
        <v>0</v>
      </c>
      <c r="T82" s="422"/>
      <c r="U82" s="422"/>
      <c r="V82" s="422">
        <f>_xlfn.IFNA(VLOOKUP(A82,[6]進出口值表查詢結果!$C$11:$F$68,4,0),-[4]整車!$B$22)</f>
        <v>0</v>
      </c>
      <c r="W82" s="422">
        <f>_xlfn.IFNA(VLOOKUP(A82,[6]進出口值表查詢結果!$C$11:$F$68,3,0),-[4]整車!$B$22)</f>
        <v>0</v>
      </c>
      <c r="X82" s="422">
        <f>_xlfn.IFNA(VLOOKUP(A82,[7]進出口值表查詢結果!$C$11:$F$68,4,0),-[4]整車!$B$22)</f>
        <v>0</v>
      </c>
      <c r="Y82" s="422">
        <f>_xlfn.IFNA(VLOOKUP(A82,[7]進出口值表查詢結果!$C$11:$F$68,3,0),-[4]整車!$B$22)</f>
        <v>0</v>
      </c>
      <c r="Z82" s="416">
        <f t="shared" si="14"/>
        <v>0</v>
      </c>
      <c r="AA82" s="416">
        <f t="shared" si="15"/>
        <v>0</v>
      </c>
    </row>
    <row r="83" spans="1:27">
      <c r="A83" s="427" t="s">
        <v>290</v>
      </c>
      <c r="B83" s="422"/>
      <c r="C83" s="422"/>
      <c r="D83" s="422"/>
      <c r="E83" s="422"/>
      <c r="F83" s="422">
        <v>0</v>
      </c>
      <c r="G83" s="422"/>
      <c r="H83" s="422">
        <v>0</v>
      </c>
      <c r="I83" s="422">
        <v>0</v>
      </c>
      <c r="J83" s="423" t="s">
        <v>59</v>
      </c>
      <c r="K83" s="426">
        <v>0</v>
      </c>
      <c r="L83" s="422">
        <v>0</v>
      </c>
      <c r="M83" s="422">
        <v>0</v>
      </c>
      <c r="N83" s="422">
        <v>0</v>
      </c>
      <c r="O83" s="422">
        <v>0</v>
      </c>
      <c r="P83" s="422">
        <v>0</v>
      </c>
      <c r="Q83" s="422">
        <v>0</v>
      </c>
      <c r="R83" s="422">
        <v>0</v>
      </c>
      <c r="S83" s="422">
        <v>0</v>
      </c>
      <c r="T83" s="422">
        <v>0</v>
      </c>
      <c r="U83" s="422">
        <v>0</v>
      </c>
      <c r="V83" s="422">
        <f>_xlfn.IFNA(VLOOKUP(A83,[6]進出口值表查詢結果!$C$11:$F$68,4,0),-[4]整車!$B$22)</f>
        <v>0</v>
      </c>
      <c r="W83" s="422">
        <f>_xlfn.IFNA(VLOOKUP(A83,[6]進出口值表查詢結果!$C$11:$F$68,3,0),-[4]整車!$B$22)</f>
        <v>0</v>
      </c>
      <c r="X83" s="422">
        <f>_xlfn.IFNA(VLOOKUP(A83,[7]進出口值表查詢結果!$C$11:$F$68,4,0),-[4]整車!$B$22)</f>
        <v>0</v>
      </c>
      <c r="Y83" s="422">
        <f>_xlfn.IFNA(VLOOKUP(A83,[7]進出口值表查詢結果!$C$11:$F$68,3,0),-[4]整車!$B$22)</f>
        <v>0</v>
      </c>
      <c r="Z83" s="416">
        <f t="shared" si="14"/>
        <v>0</v>
      </c>
      <c r="AA83" s="416">
        <f t="shared" si="15"/>
        <v>0</v>
      </c>
    </row>
    <row r="84" spans="1:27">
      <c r="A84" s="425"/>
      <c r="B84" s="422"/>
      <c r="C84" s="422"/>
      <c r="D84" s="422"/>
      <c r="E84" s="422"/>
      <c r="F84" s="422"/>
      <c r="G84" s="422"/>
      <c r="H84" s="422"/>
      <c r="I84" s="422"/>
      <c r="J84" s="423"/>
      <c r="K84" s="424"/>
      <c r="L84" s="422"/>
      <c r="M84" s="422"/>
      <c r="N84" s="422"/>
      <c r="O84" s="422"/>
      <c r="P84" s="422"/>
      <c r="Q84" s="422"/>
      <c r="R84" s="422"/>
      <c r="S84" s="422"/>
      <c r="T84" s="422"/>
      <c r="U84" s="422"/>
      <c r="V84" s="422"/>
      <c r="W84" s="422"/>
      <c r="X84" s="422"/>
      <c r="Y84" s="422"/>
      <c r="Z84" s="416"/>
      <c r="AA84" s="416"/>
    </row>
    <row r="85" spans="1:27">
      <c r="A85" s="442" t="s">
        <v>46</v>
      </c>
      <c r="B85" s="443">
        <f t="shared" ref="B85:Y85" si="16">SUM(B86:B95)</f>
        <v>4580</v>
      </c>
      <c r="C85" s="443">
        <f t="shared" si="16"/>
        <v>4189345</v>
      </c>
      <c r="D85" s="443">
        <f t="shared" si="16"/>
        <v>4981</v>
      </c>
      <c r="E85" s="443">
        <f t="shared" si="16"/>
        <v>3563822</v>
      </c>
      <c r="F85" s="443">
        <f t="shared" si="16"/>
        <v>4938</v>
      </c>
      <c r="G85" s="443">
        <f t="shared" si="16"/>
        <v>4345204</v>
      </c>
      <c r="H85" s="443">
        <f t="shared" si="16"/>
        <v>4040</v>
      </c>
      <c r="I85" s="443">
        <f t="shared" si="16"/>
        <v>2474863</v>
      </c>
      <c r="J85" s="444">
        <f t="shared" si="16"/>
        <v>3564</v>
      </c>
      <c r="K85" s="445">
        <f>SUM(K86:K95)</f>
        <v>3664756</v>
      </c>
      <c r="L85" s="443">
        <f t="shared" si="16"/>
        <v>6992</v>
      </c>
      <c r="M85" s="443">
        <f t="shared" si="16"/>
        <v>7057607</v>
      </c>
      <c r="N85" s="443">
        <f t="shared" si="16"/>
        <v>9419</v>
      </c>
      <c r="O85" s="443">
        <f t="shared" si="16"/>
        <v>9080258</v>
      </c>
      <c r="P85" s="443">
        <f t="shared" si="16"/>
        <v>18596</v>
      </c>
      <c r="Q85" s="443">
        <f t="shared" si="16"/>
        <v>13272347</v>
      </c>
      <c r="R85" s="443">
        <f t="shared" si="16"/>
        <v>16559</v>
      </c>
      <c r="S85" s="443">
        <f t="shared" si="16"/>
        <v>10409447</v>
      </c>
      <c r="T85" s="443">
        <f t="shared" si="16"/>
        <v>9960</v>
      </c>
      <c r="U85" s="443">
        <f t="shared" si="16"/>
        <v>6716352</v>
      </c>
      <c r="V85" s="443">
        <f>SUM(V86:V95)</f>
        <v>10701</v>
      </c>
      <c r="W85" s="443">
        <f>SUM(W86:W95)</f>
        <v>9725369</v>
      </c>
      <c r="X85" s="443">
        <f t="shared" si="16"/>
        <v>14699</v>
      </c>
      <c r="Y85" s="443">
        <f t="shared" si="16"/>
        <v>10190062</v>
      </c>
      <c r="Z85" s="429">
        <f t="shared" ref="Z85:Z95" si="17">SUM(B85,D85,F85,H85,J85,L85,N85,P85,R85,T85,V85,X85)</f>
        <v>109029</v>
      </c>
      <c r="AA85" s="429">
        <f t="shared" ref="AA85:AA95" si="18">SUM(C85,E85,G85,I85,K85,M85,O85,Q85,S85,U85,W85,Y85)</f>
        <v>84689432</v>
      </c>
    </row>
    <row r="86" spans="1:27">
      <c r="A86" s="459" t="s">
        <v>176</v>
      </c>
      <c r="B86" s="422">
        <v>4150</v>
      </c>
      <c r="C86" s="422">
        <v>3694908</v>
      </c>
      <c r="D86" s="422">
        <v>4032</v>
      </c>
      <c r="E86" s="422">
        <v>2636975</v>
      </c>
      <c r="F86" s="422">
        <v>4087</v>
      </c>
      <c r="G86" s="422">
        <v>3599502</v>
      </c>
      <c r="H86" s="422">
        <v>3562</v>
      </c>
      <c r="I86" s="422">
        <v>1835676</v>
      </c>
      <c r="J86" s="423">
        <v>2839</v>
      </c>
      <c r="K86" s="424">
        <v>2636423</v>
      </c>
      <c r="L86" s="422">
        <v>5737</v>
      </c>
      <c r="M86" s="422">
        <v>5468499</v>
      </c>
      <c r="N86" s="436">
        <v>7440</v>
      </c>
      <c r="O86" s="436">
        <v>6804533</v>
      </c>
      <c r="P86" s="422">
        <v>15662</v>
      </c>
      <c r="Q86" s="422">
        <v>10198676</v>
      </c>
      <c r="R86" s="422">
        <v>14530</v>
      </c>
      <c r="S86" s="422">
        <v>8126261</v>
      </c>
      <c r="T86" s="422">
        <v>8369</v>
      </c>
      <c r="U86" s="422">
        <v>5188023</v>
      </c>
      <c r="V86" s="422">
        <f>_xlfn.IFNA(VLOOKUP(A86,[6]進出口值表查詢結果!$C$11:$F$68,4,0),-[4]整車!$B$22)</f>
        <v>8737</v>
      </c>
      <c r="W86" s="422">
        <f>_xlfn.IFNA(VLOOKUP(A86,[6]進出口值表查詢結果!$C$11:$F$68,3,0),-[4]整車!$B$22)</f>
        <v>7518300</v>
      </c>
      <c r="X86" s="422">
        <f>_xlfn.IFNA(VLOOKUP(A86,[7]進出口值表查詢結果!$C$11:$F$68,4,0),-[4]整車!$B$22)</f>
        <v>12512</v>
      </c>
      <c r="Y86" s="422">
        <f>_xlfn.IFNA(VLOOKUP(A86,[7]進出口值表查詢結果!$C$11:$F$68,3,0),-[4]整車!$B$22)</f>
        <v>8168473</v>
      </c>
      <c r="Z86" s="416">
        <f t="shared" si="17"/>
        <v>91657</v>
      </c>
      <c r="AA86" s="416">
        <f t="shared" si="18"/>
        <v>65876249</v>
      </c>
    </row>
    <row r="87" spans="1:27">
      <c r="A87" s="459" t="s">
        <v>291</v>
      </c>
      <c r="B87" s="422"/>
      <c r="C87" s="422"/>
      <c r="D87" s="422"/>
      <c r="E87" s="422"/>
      <c r="F87" s="422">
        <v>0</v>
      </c>
      <c r="G87" s="422"/>
      <c r="H87" s="422">
        <v>0</v>
      </c>
      <c r="I87" s="422">
        <v>0</v>
      </c>
      <c r="J87" s="423">
        <v>0</v>
      </c>
      <c r="K87" s="426">
        <v>0</v>
      </c>
      <c r="L87" s="422">
        <v>0</v>
      </c>
      <c r="M87" s="422">
        <v>0</v>
      </c>
      <c r="N87" s="422">
        <v>0</v>
      </c>
      <c r="O87" s="422">
        <v>0</v>
      </c>
      <c r="P87" s="422">
        <v>0</v>
      </c>
      <c r="Q87" s="422">
        <v>0</v>
      </c>
      <c r="R87" s="422">
        <v>0</v>
      </c>
      <c r="S87" s="422">
        <v>0</v>
      </c>
      <c r="T87" s="422"/>
      <c r="U87" s="422"/>
      <c r="V87" s="422">
        <f>_xlfn.IFNA(VLOOKUP(A87,[6]進出口值表查詢結果!$C$11:$F$68,4,0),-[4]整車!$B$22)</f>
        <v>0</v>
      </c>
      <c r="W87" s="422">
        <f>_xlfn.IFNA(VLOOKUP(A87,[6]進出口值表查詢結果!$C$11:$F$68,3,0),-[4]整車!$B$22)</f>
        <v>0</v>
      </c>
      <c r="X87" s="422">
        <f>_xlfn.IFNA(VLOOKUP(A87,[7]進出口值表查詢結果!$C$11:$F$68,4,0),-[4]整車!$B$22)</f>
        <v>0</v>
      </c>
      <c r="Y87" s="422">
        <f>_xlfn.IFNA(VLOOKUP(A87,[7]進出口值表查詢結果!$C$11:$F$68,3,0),-[4]整車!$B$22)</f>
        <v>0</v>
      </c>
      <c r="Z87" s="416">
        <f t="shared" si="17"/>
        <v>0</v>
      </c>
      <c r="AA87" s="416">
        <f t="shared" si="18"/>
        <v>0</v>
      </c>
    </row>
    <row r="88" spans="1:27">
      <c r="A88" s="459" t="s">
        <v>175</v>
      </c>
      <c r="B88" s="422">
        <v>399</v>
      </c>
      <c r="C88" s="422">
        <v>445420</v>
      </c>
      <c r="D88" s="422">
        <v>924</v>
      </c>
      <c r="E88" s="422">
        <v>877548</v>
      </c>
      <c r="F88" s="422">
        <v>851</v>
      </c>
      <c r="G88" s="422">
        <v>745702</v>
      </c>
      <c r="H88" s="422">
        <v>478</v>
      </c>
      <c r="I88" s="422">
        <v>639187</v>
      </c>
      <c r="J88" s="423">
        <v>694</v>
      </c>
      <c r="K88" s="424">
        <v>961243</v>
      </c>
      <c r="L88" s="422">
        <v>1089</v>
      </c>
      <c r="M88" s="422">
        <v>1332104</v>
      </c>
      <c r="N88" s="436">
        <v>1942</v>
      </c>
      <c r="O88" s="436">
        <v>2269776</v>
      </c>
      <c r="P88" s="422">
        <v>2862</v>
      </c>
      <c r="Q88" s="422">
        <v>2963505</v>
      </c>
      <c r="R88" s="422">
        <v>2009</v>
      </c>
      <c r="S88" s="422">
        <v>2248234</v>
      </c>
      <c r="T88" s="422">
        <v>1565</v>
      </c>
      <c r="U88" s="422">
        <v>1482993</v>
      </c>
      <c r="V88" s="422">
        <f>_xlfn.IFNA(VLOOKUP(A88,[6]進出口值表查詢結果!$C$11:$F$68,4,0),-[4]整車!$B$22)</f>
        <v>1783</v>
      </c>
      <c r="W88" s="422">
        <f>_xlfn.IFNA(VLOOKUP(A88,[6]進出口值表查詢結果!$C$11:$F$68,3,0),-[4]整車!$B$22)</f>
        <v>1858681</v>
      </c>
      <c r="X88" s="422">
        <f>_xlfn.IFNA(VLOOKUP(A88,[7]進出口值表查詢結果!$C$11:$F$68,4,0),-[4]整車!$B$22)</f>
        <v>2182</v>
      </c>
      <c r="Y88" s="422">
        <f>_xlfn.IFNA(VLOOKUP(A88,[7]進出口值表查詢結果!$C$11:$F$68,3,0),-[4]整車!$B$22)</f>
        <v>2014871</v>
      </c>
      <c r="Z88" s="416">
        <f t="shared" si="17"/>
        <v>16778</v>
      </c>
      <c r="AA88" s="416">
        <f t="shared" si="18"/>
        <v>17839264</v>
      </c>
    </row>
    <row r="89" spans="1:27">
      <c r="A89" s="459" t="s">
        <v>294</v>
      </c>
      <c r="B89" s="422"/>
      <c r="C89" s="422"/>
      <c r="D89" s="422"/>
      <c r="E89" s="422"/>
      <c r="F89" s="422">
        <v>0</v>
      </c>
      <c r="G89" s="422"/>
      <c r="H89" s="422">
        <v>0</v>
      </c>
      <c r="I89" s="422">
        <v>0</v>
      </c>
      <c r="J89" s="423" t="s">
        <v>59</v>
      </c>
      <c r="K89" s="426">
        <v>0</v>
      </c>
      <c r="L89" s="422">
        <v>0</v>
      </c>
      <c r="M89" s="422">
        <v>0</v>
      </c>
      <c r="N89" s="422">
        <v>0</v>
      </c>
      <c r="O89" s="422">
        <v>0</v>
      </c>
      <c r="P89" s="422">
        <v>0</v>
      </c>
      <c r="Q89" s="422">
        <v>0</v>
      </c>
      <c r="R89" s="422">
        <v>0</v>
      </c>
      <c r="S89" s="422">
        <v>0</v>
      </c>
      <c r="T89" s="422"/>
      <c r="U89" s="422"/>
      <c r="V89" s="422">
        <f>_xlfn.IFNA(VLOOKUP(A89,[6]進出口值表查詢結果!$C$11:$F$68,4,0),-[4]整車!$B$22)</f>
        <v>0</v>
      </c>
      <c r="W89" s="422">
        <f>_xlfn.IFNA(VLOOKUP(A89,[6]進出口值表查詢結果!$C$11:$F$68,3,0),-[4]整車!$B$22)</f>
        <v>0</v>
      </c>
      <c r="X89" s="422">
        <f>_xlfn.IFNA(VLOOKUP(A89,[7]進出口值表查詢結果!$C$11:$F$68,4,0),-[4]整車!$B$22)</f>
        <v>0</v>
      </c>
      <c r="Y89" s="422">
        <f>_xlfn.IFNA(VLOOKUP(A89,[7]進出口值表查詢結果!$C$11:$F$68,3,0),-[4]整車!$B$22)</f>
        <v>0</v>
      </c>
      <c r="Z89" s="416">
        <f t="shared" si="17"/>
        <v>0</v>
      </c>
      <c r="AA89" s="416">
        <f t="shared" si="18"/>
        <v>0</v>
      </c>
    </row>
    <row r="90" spans="1:27">
      <c r="A90" s="459" t="s">
        <v>293</v>
      </c>
      <c r="B90" s="422">
        <v>5</v>
      </c>
      <c r="C90" s="422">
        <v>13029</v>
      </c>
      <c r="D90" s="422">
        <v>25</v>
      </c>
      <c r="E90" s="422">
        <v>49299</v>
      </c>
      <c r="F90" s="422">
        <v>0</v>
      </c>
      <c r="G90" s="422"/>
      <c r="H90" s="422">
        <v>0</v>
      </c>
      <c r="I90" s="422">
        <v>0</v>
      </c>
      <c r="J90" s="423">
        <v>31</v>
      </c>
      <c r="K90" s="424">
        <v>67090</v>
      </c>
      <c r="L90" s="422">
        <v>166</v>
      </c>
      <c r="M90" s="422">
        <v>257004</v>
      </c>
      <c r="N90" s="436">
        <v>2</v>
      </c>
      <c r="O90" s="422">
        <v>2535</v>
      </c>
      <c r="P90" s="422">
        <v>72</v>
      </c>
      <c r="Q90" s="422">
        <v>110166</v>
      </c>
      <c r="R90" s="422">
        <v>20</v>
      </c>
      <c r="S90" s="422">
        <v>34952</v>
      </c>
      <c r="T90" s="422">
        <v>26</v>
      </c>
      <c r="U90" s="422">
        <v>45336</v>
      </c>
      <c r="V90" s="422">
        <f>_xlfn.IFNA(VLOOKUP(A90,[6]進出口值表查詢結果!$C$11:$F$68,4,0),-[4]整車!$B$22)</f>
        <v>156</v>
      </c>
      <c r="W90" s="422">
        <f>_xlfn.IFNA(VLOOKUP(A90,[6]進出口值表查詢結果!$C$11:$F$68,3,0),-[4]整車!$B$22)</f>
        <v>316499</v>
      </c>
      <c r="X90" s="422">
        <f>_xlfn.IFNA(VLOOKUP(A90,[7]進出口值表查詢結果!$C$11:$F$68,4,0),-[4]整車!$B$22)</f>
        <v>5</v>
      </c>
      <c r="Y90" s="422">
        <f>_xlfn.IFNA(VLOOKUP(A90,[7]進出口值表查詢結果!$C$11:$F$68,3,0),-[4]整車!$B$22)</f>
        <v>6718</v>
      </c>
      <c r="Z90" s="416">
        <f t="shared" si="17"/>
        <v>508</v>
      </c>
      <c r="AA90" s="416">
        <f t="shared" si="18"/>
        <v>902628</v>
      </c>
    </row>
    <row r="91" spans="1:27">
      <c r="A91" s="459" t="s">
        <v>295</v>
      </c>
      <c r="B91" s="422"/>
      <c r="C91" s="422"/>
      <c r="D91" s="422"/>
      <c r="E91" s="422"/>
      <c r="F91" s="422">
        <v>0</v>
      </c>
      <c r="G91" s="422"/>
      <c r="H91" s="422">
        <v>0</v>
      </c>
      <c r="I91" s="422">
        <v>0</v>
      </c>
      <c r="J91" s="423" t="s">
        <v>59</v>
      </c>
      <c r="K91" s="426">
        <v>0</v>
      </c>
      <c r="L91" s="422">
        <v>0</v>
      </c>
      <c r="M91" s="422">
        <v>0</v>
      </c>
      <c r="N91" s="422">
        <v>0</v>
      </c>
      <c r="O91" s="422">
        <v>0</v>
      </c>
      <c r="P91" s="422">
        <v>0</v>
      </c>
      <c r="Q91" s="422">
        <v>0</v>
      </c>
      <c r="R91" s="422">
        <v>0</v>
      </c>
      <c r="S91" s="422">
        <v>0</v>
      </c>
      <c r="T91" s="422"/>
      <c r="U91" s="422"/>
      <c r="V91" s="422">
        <f>_xlfn.IFNA(VLOOKUP(A91,[6]進出口值表查詢結果!$C$11:$F$68,4,0),-[4]整車!$B$22)</f>
        <v>0</v>
      </c>
      <c r="W91" s="422">
        <f>_xlfn.IFNA(VLOOKUP(A91,[6]進出口值表查詢結果!$C$11:$F$68,3,0),-[4]整車!$B$22)</f>
        <v>0</v>
      </c>
      <c r="X91" s="422">
        <f>_xlfn.IFNA(VLOOKUP(A91,[7]進出口值表查詢結果!$C$11:$F$68,4,0),-[4]整車!$B$22)</f>
        <v>0</v>
      </c>
      <c r="Y91" s="422">
        <f>_xlfn.IFNA(VLOOKUP(A91,[7]進出口值表查詢結果!$C$11:$F$68,3,0),-[4]整車!$B$22)</f>
        <v>0</v>
      </c>
      <c r="Z91" s="416">
        <f t="shared" si="17"/>
        <v>0</v>
      </c>
      <c r="AA91" s="416">
        <f t="shared" si="18"/>
        <v>0</v>
      </c>
    </row>
    <row r="92" spans="1:27">
      <c r="A92" s="459" t="s">
        <v>398</v>
      </c>
      <c r="B92" s="422">
        <v>26</v>
      </c>
      <c r="C92" s="422">
        <v>35988</v>
      </c>
      <c r="D92" s="422"/>
      <c r="E92" s="422"/>
      <c r="F92" s="422">
        <v>0</v>
      </c>
      <c r="G92" s="422"/>
      <c r="H92" s="422">
        <v>0</v>
      </c>
      <c r="I92" s="422">
        <v>0</v>
      </c>
      <c r="J92" s="423" t="s">
        <v>59</v>
      </c>
      <c r="K92" s="426">
        <v>0</v>
      </c>
      <c r="L92" s="422">
        <v>0</v>
      </c>
      <c r="M92" s="422">
        <v>0</v>
      </c>
      <c r="N92" s="422">
        <v>0</v>
      </c>
      <c r="O92" s="422">
        <v>0</v>
      </c>
      <c r="P92" s="422">
        <v>0</v>
      </c>
      <c r="Q92" s="422">
        <v>0</v>
      </c>
      <c r="R92" s="422">
        <v>0</v>
      </c>
      <c r="S92" s="422">
        <v>0</v>
      </c>
      <c r="T92" s="422"/>
      <c r="U92" s="422"/>
      <c r="V92" s="422">
        <f>_xlfn.IFNA(VLOOKUP(A92,[6]進出口值表查詢結果!$C$11:$F$68,4,0),-[4]整車!$B$22)</f>
        <v>25</v>
      </c>
      <c r="W92" s="422">
        <f>_xlfn.IFNA(VLOOKUP(A92,[6]進出口值表查詢結果!$C$11:$F$68,3,0),-[4]整車!$B$22)</f>
        <v>31889</v>
      </c>
      <c r="X92" s="422">
        <f>_xlfn.IFNA(VLOOKUP(A92,[7]進出口值表查詢結果!$C$11:$F$68,4,0),-[4]整車!$B$22)</f>
        <v>0</v>
      </c>
      <c r="Y92" s="422">
        <f>_xlfn.IFNA(VLOOKUP(A92,[7]進出口值表查詢結果!$C$11:$F$68,3,0),-[4]整車!$B$22)</f>
        <v>0</v>
      </c>
      <c r="Z92" s="416">
        <f t="shared" si="17"/>
        <v>51</v>
      </c>
      <c r="AA92" s="416">
        <f t="shared" si="18"/>
        <v>67877</v>
      </c>
    </row>
    <row r="93" spans="1:27">
      <c r="A93" s="459" t="s">
        <v>297</v>
      </c>
      <c r="B93" s="422"/>
      <c r="C93" s="422"/>
      <c r="D93" s="422"/>
      <c r="E93" s="422"/>
      <c r="F93" s="422">
        <v>0</v>
      </c>
      <c r="G93" s="422"/>
      <c r="H93" s="422">
        <v>0</v>
      </c>
      <c r="I93" s="422">
        <v>0</v>
      </c>
      <c r="J93" s="423" t="s">
        <v>59</v>
      </c>
      <c r="K93" s="426">
        <v>0</v>
      </c>
      <c r="L93" s="422">
        <v>0</v>
      </c>
      <c r="M93" s="422">
        <v>0</v>
      </c>
      <c r="N93" s="436">
        <v>35</v>
      </c>
      <c r="O93" s="436">
        <v>3414</v>
      </c>
      <c r="P93" s="422">
        <v>0</v>
      </c>
      <c r="Q93" s="422">
        <v>0</v>
      </c>
      <c r="R93" s="422">
        <v>0</v>
      </c>
      <c r="S93" s="422">
        <v>0</v>
      </c>
      <c r="T93" s="422"/>
      <c r="U93" s="422"/>
      <c r="V93" s="422">
        <f>_xlfn.IFNA(VLOOKUP(A93,[6]進出口值表查詢結果!$C$11:$F$68,4,0),-[4]整車!$B$22)</f>
        <v>0</v>
      </c>
      <c r="W93" s="422">
        <f>_xlfn.IFNA(VLOOKUP(A93,[6]進出口值表查詢結果!$C$11:$F$68,3,0),-[4]整車!$B$22)</f>
        <v>0</v>
      </c>
      <c r="X93" s="422">
        <f>_xlfn.IFNA(VLOOKUP(A93,[7]進出口值表查詢結果!$C$11:$F$68,4,0),-[4]整車!$B$22)</f>
        <v>0</v>
      </c>
      <c r="Y93" s="422">
        <f>_xlfn.IFNA(VLOOKUP(A93,[7]進出口值表查詢結果!$C$11:$F$68,3,0),-[4]整車!$B$22)</f>
        <v>0</v>
      </c>
      <c r="Z93" s="416">
        <f t="shared" si="17"/>
        <v>35</v>
      </c>
      <c r="AA93" s="416">
        <f t="shared" si="18"/>
        <v>3414</v>
      </c>
    </row>
    <row r="94" spans="1:27">
      <c r="A94" s="459" t="s">
        <v>296</v>
      </c>
      <c r="B94" s="422"/>
      <c r="C94" s="422"/>
      <c r="D94" s="422"/>
      <c r="E94" s="422"/>
      <c r="F94" s="422">
        <v>0</v>
      </c>
      <c r="G94" s="422"/>
      <c r="H94" s="422">
        <v>0</v>
      </c>
      <c r="I94" s="422">
        <v>0</v>
      </c>
      <c r="J94" s="423" t="s">
        <v>59</v>
      </c>
      <c r="K94" s="426">
        <v>0</v>
      </c>
      <c r="L94" s="422">
        <v>0</v>
      </c>
      <c r="M94" s="422">
        <v>0</v>
      </c>
      <c r="N94" s="422">
        <v>0</v>
      </c>
      <c r="O94" s="422">
        <v>0</v>
      </c>
      <c r="P94" s="422">
        <v>0</v>
      </c>
      <c r="Q94" s="422">
        <v>0</v>
      </c>
      <c r="R94" s="422">
        <v>0</v>
      </c>
      <c r="S94" s="422">
        <v>0</v>
      </c>
      <c r="T94" s="422"/>
      <c r="U94" s="422"/>
      <c r="V94" s="422">
        <f>_xlfn.IFNA(VLOOKUP(A94,[6]進出口值表查詢結果!$C$11:$F$68,4,0),-[4]整車!$B$22)</f>
        <v>0</v>
      </c>
      <c r="W94" s="422">
        <f>_xlfn.IFNA(VLOOKUP(A94,[6]進出口值表查詢結果!$C$11:$F$68,3,0),-[4]整車!$B$22)</f>
        <v>0</v>
      </c>
      <c r="X94" s="422">
        <f>_xlfn.IFNA(VLOOKUP(A94,[7]進出口值表查詢結果!$C$11:$F$68,4,0),-[4]整車!$B$22)</f>
        <v>0</v>
      </c>
      <c r="Y94" s="422">
        <f>_xlfn.IFNA(VLOOKUP(A94,[7]進出口值表查詢結果!$C$11:$F$68,3,0),-[4]整車!$B$22)</f>
        <v>0</v>
      </c>
      <c r="Z94" s="416">
        <f t="shared" si="17"/>
        <v>0</v>
      </c>
      <c r="AA94" s="416">
        <f t="shared" si="18"/>
        <v>0</v>
      </c>
    </row>
    <row r="95" spans="1:27">
      <c r="A95" s="461" t="s">
        <v>298</v>
      </c>
      <c r="B95" s="416"/>
      <c r="C95" s="416"/>
      <c r="D95" s="416"/>
      <c r="E95" s="422"/>
      <c r="F95" s="416">
        <v>0</v>
      </c>
      <c r="G95" s="416"/>
      <c r="H95" s="422">
        <v>0</v>
      </c>
      <c r="I95" s="422">
        <v>0</v>
      </c>
      <c r="J95" s="409" t="s">
        <v>59</v>
      </c>
      <c r="K95" s="426">
        <v>0</v>
      </c>
      <c r="L95" s="416">
        <v>0</v>
      </c>
      <c r="M95" s="416">
        <v>0</v>
      </c>
      <c r="N95" s="416">
        <v>0</v>
      </c>
      <c r="O95" s="416">
        <v>0</v>
      </c>
      <c r="P95" s="422">
        <v>0</v>
      </c>
      <c r="Q95" s="422">
        <v>0</v>
      </c>
      <c r="R95" s="422">
        <v>0</v>
      </c>
      <c r="S95" s="422">
        <v>0</v>
      </c>
      <c r="T95" s="416"/>
      <c r="U95" s="416"/>
      <c r="V95" s="422">
        <f>_xlfn.IFNA(VLOOKUP(A95,[6]進出口值表查詢結果!$C$11:$F$68,4,0),-[4]整車!$B$22)</f>
        <v>0</v>
      </c>
      <c r="W95" s="422">
        <f>_xlfn.IFNA(VLOOKUP(A95,[6]進出口值表查詢結果!$C$11:$F$68,3,0),-[4]整車!$B$22)</f>
        <v>0</v>
      </c>
      <c r="X95" s="422">
        <f>_xlfn.IFNA(VLOOKUP(A95,[7]進出口值表查詢結果!$C$11:$F$68,4,0),-[4]整車!$B$22)</f>
        <v>0</v>
      </c>
      <c r="Y95" s="422">
        <f>_xlfn.IFNA(VLOOKUP(A95,[7]進出口值表查詢結果!$C$11:$F$68,3,0),-[4]整車!$B$22)</f>
        <v>0</v>
      </c>
      <c r="Z95" s="416">
        <f t="shared" si="17"/>
        <v>0</v>
      </c>
      <c r="AA95" s="416">
        <f t="shared" si="18"/>
        <v>0</v>
      </c>
    </row>
    <row r="96" spans="1:27">
      <c r="A96" s="415"/>
      <c r="B96" s="416"/>
      <c r="C96" s="416"/>
      <c r="D96" s="416"/>
      <c r="E96" s="416"/>
      <c r="F96" s="416"/>
      <c r="G96" s="416"/>
      <c r="H96" s="416"/>
      <c r="I96" s="416"/>
      <c r="J96" s="409"/>
      <c r="K96" s="410"/>
      <c r="L96" s="416"/>
      <c r="M96" s="416"/>
      <c r="N96" s="416"/>
      <c r="O96" s="416"/>
      <c r="P96" s="416"/>
      <c r="Q96" s="416"/>
      <c r="R96" s="416"/>
      <c r="S96" s="416"/>
      <c r="T96" s="416"/>
      <c r="U96" s="416"/>
      <c r="V96" s="416"/>
      <c r="W96" s="416"/>
      <c r="X96" s="416"/>
      <c r="Y96" s="416"/>
      <c r="Z96" s="416"/>
      <c r="AA96" s="416"/>
    </row>
    <row r="97" spans="1:27">
      <c r="A97" s="442" t="s">
        <v>144</v>
      </c>
      <c r="B97" s="443">
        <f t="shared" ref="B97:Y97" si="19">SUM(B98:B100)</f>
        <v>52798</v>
      </c>
      <c r="C97" s="443">
        <f t="shared" si="19"/>
        <v>33121696</v>
      </c>
      <c r="D97" s="443">
        <f t="shared" si="19"/>
        <v>50400</v>
      </c>
      <c r="E97" s="443">
        <f t="shared" si="19"/>
        <v>31534279</v>
      </c>
      <c r="F97" s="443">
        <f t="shared" si="19"/>
        <v>40988</v>
      </c>
      <c r="G97" s="443">
        <f t="shared" si="19"/>
        <v>23973578</v>
      </c>
      <c r="H97" s="443">
        <f t="shared" si="19"/>
        <v>42311</v>
      </c>
      <c r="I97" s="443">
        <f t="shared" si="19"/>
        <v>22157100</v>
      </c>
      <c r="J97" s="444">
        <f t="shared" si="19"/>
        <v>68862</v>
      </c>
      <c r="K97" s="445">
        <f t="shared" si="19"/>
        <v>39539255</v>
      </c>
      <c r="L97" s="443">
        <f t="shared" si="19"/>
        <v>61547</v>
      </c>
      <c r="M97" s="443">
        <f t="shared" si="19"/>
        <v>41765283</v>
      </c>
      <c r="N97" s="443">
        <f t="shared" si="19"/>
        <v>57860</v>
      </c>
      <c r="O97" s="443">
        <f t="shared" si="19"/>
        <v>47576440</v>
      </c>
      <c r="P97" s="443">
        <f t="shared" si="19"/>
        <v>70020</v>
      </c>
      <c r="Q97" s="443">
        <f t="shared" si="19"/>
        <v>47975910</v>
      </c>
      <c r="R97" s="443">
        <f t="shared" si="19"/>
        <v>57029</v>
      </c>
      <c r="S97" s="443">
        <f t="shared" si="19"/>
        <v>32139611</v>
      </c>
      <c r="T97" s="443">
        <f t="shared" si="19"/>
        <v>68638</v>
      </c>
      <c r="U97" s="443">
        <f t="shared" si="19"/>
        <v>38723065</v>
      </c>
      <c r="V97" s="443">
        <f>SUM(V98:V100)</f>
        <v>76863</v>
      </c>
      <c r="W97" s="443">
        <f>SUM(W98:W100)</f>
        <v>36987555</v>
      </c>
      <c r="X97" s="443">
        <f t="shared" si="19"/>
        <v>64518</v>
      </c>
      <c r="Y97" s="443">
        <f t="shared" si="19"/>
        <v>35209517</v>
      </c>
      <c r="Z97" s="429">
        <f t="shared" ref="Z97:AA100" si="20">SUM(B97,D97,F97,H97,J97,L97,N97,P97,R97,T97,V97,X97)</f>
        <v>711834</v>
      </c>
      <c r="AA97" s="429">
        <f t="shared" si="20"/>
        <v>430703289</v>
      </c>
    </row>
    <row r="98" spans="1:27">
      <c r="A98" s="459" t="s">
        <v>164</v>
      </c>
      <c r="B98" s="422">
        <v>48120</v>
      </c>
      <c r="C98" s="422">
        <v>29498633</v>
      </c>
      <c r="D98" s="422">
        <v>44184</v>
      </c>
      <c r="E98" s="422">
        <v>25012824</v>
      </c>
      <c r="F98" s="422">
        <v>37364</v>
      </c>
      <c r="G98" s="422">
        <v>20911414</v>
      </c>
      <c r="H98" s="422">
        <v>40429</v>
      </c>
      <c r="I98" s="422">
        <v>20039545</v>
      </c>
      <c r="J98" s="423">
        <v>65721</v>
      </c>
      <c r="K98" s="424">
        <v>36235280</v>
      </c>
      <c r="L98" s="422">
        <v>57262</v>
      </c>
      <c r="M98" s="422">
        <v>37300973</v>
      </c>
      <c r="N98" s="422">
        <v>52826</v>
      </c>
      <c r="O98" s="422">
        <v>41788643</v>
      </c>
      <c r="P98" s="422">
        <v>65538</v>
      </c>
      <c r="Q98" s="422">
        <v>42663542</v>
      </c>
      <c r="R98" s="422">
        <v>54118</v>
      </c>
      <c r="S98" s="422">
        <v>29005811</v>
      </c>
      <c r="T98" s="422">
        <v>65331</v>
      </c>
      <c r="U98" s="422">
        <v>34634631</v>
      </c>
      <c r="V98" s="422">
        <f>_xlfn.IFNA(VLOOKUP(A98,[6]進出口值表查詢結果!$C$11:$F$68,4,0),-[4]整車!$B$22)</f>
        <v>73370</v>
      </c>
      <c r="W98" s="422">
        <f>_xlfn.IFNA(VLOOKUP(A98,[6]進出口值表查詢結果!$C$11:$F$68,3,0),-[4]整車!$B$22)</f>
        <v>33547174</v>
      </c>
      <c r="X98" s="422">
        <f>_xlfn.IFNA(VLOOKUP(A98,[7]進出口值表查詢結果!$C$11:$F$68,4,0),-[4]整車!$B$22)</f>
        <v>60970</v>
      </c>
      <c r="Y98" s="422">
        <f>_xlfn.IFNA(VLOOKUP(A98,[7]進出口值表查詢結果!$C$11:$F$68,3,0),-[4]整車!$B$22)</f>
        <v>32188211</v>
      </c>
      <c r="Z98" s="416">
        <f t="shared" si="20"/>
        <v>665233</v>
      </c>
      <c r="AA98" s="416">
        <f t="shared" si="20"/>
        <v>382826681</v>
      </c>
    </row>
    <row r="99" spans="1:27">
      <c r="A99" s="459" t="s">
        <v>174</v>
      </c>
      <c r="B99" s="422">
        <v>4285</v>
      </c>
      <c r="C99" s="422">
        <v>3224729</v>
      </c>
      <c r="D99" s="422">
        <v>5520</v>
      </c>
      <c r="E99" s="422">
        <v>5948302</v>
      </c>
      <c r="F99" s="422">
        <v>3453</v>
      </c>
      <c r="G99" s="422">
        <v>2889944</v>
      </c>
      <c r="H99" s="422">
        <v>1520</v>
      </c>
      <c r="I99" s="422">
        <v>1622558</v>
      </c>
      <c r="J99" s="423">
        <v>2611</v>
      </c>
      <c r="K99" s="424">
        <v>2499831</v>
      </c>
      <c r="L99" s="422">
        <v>3403</v>
      </c>
      <c r="M99" s="422">
        <v>3630698</v>
      </c>
      <c r="N99" s="422">
        <v>3856</v>
      </c>
      <c r="O99" s="422">
        <v>4296622</v>
      </c>
      <c r="P99" s="422">
        <v>3208</v>
      </c>
      <c r="Q99" s="422">
        <v>3679701</v>
      </c>
      <c r="R99" s="422">
        <v>2427</v>
      </c>
      <c r="S99" s="422">
        <v>2612605</v>
      </c>
      <c r="T99" s="422">
        <v>2276</v>
      </c>
      <c r="U99" s="422">
        <v>3152428</v>
      </c>
      <c r="V99" s="422">
        <f>_xlfn.IFNA(VLOOKUP(A99,[6]進出口值表查詢結果!$C$11:$F$68,4,0),-[4]整車!$B$22)</f>
        <v>2267</v>
      </c>
      <c r="W99" s="422">
        <f>_xlfn.IFNA(VLOOKUP(A99,[6]進出口值表查詢結果!$C$11:$F$68,3,0),-[4]整車!$B$22)</f>
        <v>2558579</v>
      </c>
      <c r="X99" s="422">
        <f>_xlfn.IFNA(VLOOKUP(A99,[7]進出口值表查詢結果!$C$11:$F$68,4,0),-[4]整車!$B$22)</f>
        <v>3014</v>
      </c>
      <c r="Y99" s="422">
        <f>_xlfn.IFNA(VLOOKUP(A99,[7]進出口值表查詢結果!$C$11:$F$68,3,0),-[4]整車!$B$22)</f>
        <v>2345835</v>
      </c>
      <c r="Z99" s="416">
        <f t="shared" si="20"/>
        <v>37840</v>
      </c>
      <c r="AA99" s="416">
        <f t="shared" si="20"/>
        <v>38461832</v>
      </c>
    </row>
    <row r="100" spans="1:27">
      <c r="A100" s="459" t="s">
        <v>197</v>
      </c>
      <c r="B100" s="422">
        <v>393</v>
      </c>
      <c r="C100" s="422">
        <v>398334</v>
      </c>
      <c r="D100" s="422">
        <v>696</v>
      </c>
      <c r="E100" s="422">
        <v>573153</v>
      </c>
      <c r="F100" s="422">
        <v>171</v>
      </c>
      <c r="G100" s="422">
        <v>172220</v>
      </c>
      <c r="H100" s="422">
        <v>362</v>
      </c>
      <c r="I100" s="422">
        <v>494997</v>
      </c>
      <c r="J100" s="423">
        <v>530</v>
      </c>
      <c r="K100" s="426">
        <v>804144</v>
      </c>
      <c r="L100" s="422">
        <v>882</v>
      </c>
      <c r="M100" s="422">
        <v>833612</v>
      </c>
      <c r="N100" s="422">
        <v>1178</v>
      </c>
      <c r="O100" s="422">
        <v>1491175</v>
      </c>
      <c r="P100" s="422">
        <v>1274</v>
      </c>
      <c r="Q100" s="422">
        <v>1632667</v>
      </c>
      <c r="R100" s="422">
        <v>484</v>
      </c>
      <c r="S100" s="422">
        <v>521195</v>
      </c>
      <c r="T100" s="422">
        <v>1031</v>
      </c>
      <c r="U100" s="422">
        <v>936006</v>
      </c>
      <c r="V100" s="422">
        <f>_xlfn.IFNA(VLOOKUP(A100,[6]進出口值表查詢結果!$C$11:$F$68,4,0),-[4]整車!$B$22)</f>
        <v>1226</v>
      </c>
      <c r="W100" s="422">
        <f>_xlfn.IFNA(VLOOKUP(A100,[6]進出口值表查詢結果!$C$11:$F$68,3,0),-[4]整車!$B$22)</f>
        <v>881802</v>
      </c>
      <c r="X100" s="422">
        <f>_xlfn.IFNA(VLOOKUP(A100,[7]進出口值表查詢結果!$C$11:$F$68,4,0),-[4]整車!$B$22)</f>
        <v>534</v>
      </c>
      <c r="Y100" s="422">
        <f>_xlfn.IFNA(VLOOKUP(A100,[7]進出口值表查詢結果!$C$11:$F$68,3,0),-[4]整車!$B$22)</f>
        <v>675471</v>
      </c>
      <c r="Z100" s="416">
        <f t="shared" si="20"/>
        <v>8761</v>
      </c>
      <c r="AA100" s="416">
        <f t="shared" si="20"/>
        <v>9414776</v>
      </c>
    </row>
    <row r="101" spans="1:27">
      <c r="A101" s="425"/>
      <c r="B101" s="422"/>
      <c r="C101" s="422"/>
      <c r="D101" s="422"/>
      <c r="E101" s="422"/>
      <c r="F101" s="422"/>
      <c r="G101" s="422"/>
      <c r="H101" s="422"/>
      <c r="I101" s="422"/>
      <c r="J101" s="423"/>
      <c r="K101" s="424"/>
      <c r="L101" s="422"/>
      <c r="M101" s="422"/>
      <c r="N101" s="422"/>
      <c r="O101" s="422"/>
      <c r="P101" s="422"/>
      <c r="Q101" s="422"/>
      <c r="R101" s="422"/>
      <c r="S101" s="422"/>
      <c r="T101" s="422"/>
      <c r="U101" s="422"/>
      <c r="V101" s="422"/>
      <c r="W101" s="422"/>
      <c r="X101" s="422"/>
      <c r="Y101" s="422"/>
      <c r="Z101" s="416"/>
      <c r="AA101" s="416"/>
    </row>
    <row r="102" spans="1:27">
      <c r="A102" s="442" t="s">
        <v>44</v>
      </c>
      <c r="B102" s="443">
        <f t="shared" ref="B102:Y102" si="21">SUM(B103:B134)</f>
        <v>1934</v>
      </c>
      <c r="C102" s="443">
        <f t="shared" si="21"/>
        <v>1731089</v>
      </c>
      <c r="D102" s="443">
        <f t="shared" si="21"/>
        <v>1633</v>
      </c>
      <c r="E102" s="443">
        <f t="shared" si="21"/>
        <v>1772448</v>
      </c>
      <c r="F102" s="443">
        <f t="shared" si="21"/>
        <v>1822</v>
      </c>
      <c r="G102" s="443">
        <f t="shared" si="21"/>
        <v>2077067</v>
      </c>
      <c r="H102" s="443">
        <f t="shared" si="21"/>
        <v>906</v>
      </c>
      <c r="I102" s="443">
        <f t="shared" si="21"/>
        <v>1075357</v>
      </c>
      <c r="J102" s="444">
        <f t="shared" si="21"/>
        <v>1957</v>
      </c>
      <c r="K102" s="445">
        <f t="shared" si="21"/>
        <v>3078550</v>
      </c>
      <c r="L102" s="443">
        <f t="shared" si="21"/>
        <v>3212</v>
      </c>
      <c r="M102" s="443">
        <f t="shared" si="21"/>
        <v>4353020</v>
      </c>
      <c r="N102" s="443">
        <f t="shared" si="21"/>
        <v>3748</v>
      </c>
      <c r="O102" s="443">
        <f t="shared" si="21"/>
        <v>4915548</v>
      </c>
      <c r="P102" s="443">
        <f t="shared" si="21"/>
        <v>2931</v>
      </c>
      <c r="Q102" s="443">
        <f t="shared" si="21"/>
        <v>4038698</v>
      </c>
      <c r="R102" s="443">
        <f t="shared" si="21"/>
        <v>2759</v>
      </c>
      <c r="S102" s="443">
        <f t="shared" si="21"/>
        <v>3387332</v>
      </c>
      <c r="T102" s="443">
        <f t="shared" si="21"/>
        <v>2949</v>
      </c>
      <c r="U102" s="443">
        <f t="shared" si="21"/>
        <v>3052841</v>
      </c>
      <c r="V102" s="443">
        <f>SUM(V103:V134)</f>
        <v>1812</v>
      </c>
      <c r="W102" s="443">
        <f>SUM(W103:W134)</f>
        <v>2019548</v>
      </c>
      <c r="X102" s="443">
        <f t="shared" si="21"/>
        <v>2688</v>
      </c>
      <c r="Y102" s="443">
        <f t="shared" si="21"/>
        <v>2319383</v>
      </c>
      <c r="Z102" s="429">
        <f t="shared" ref="Z102:Z134" si="22">SUM(B102,D102,F102,H102,J102,L102,N102,P102,R102,T102,V102,X102)</f>
        <v>28351</v>
      </c>
      <c r="AA102" s="429">
        <f t="shared" ref="AA102:AA134" si="23">SUM(C102,E102,G102,I102,K102,M102,O102,Q102,S102,U102,W102,Y102)</f>
        <v>33820881</v>
      </c>
    </row>
    <row r="103" spans="1:27">
      <c r="A103" s="459" t="s">
        <v>299</v>
      </c>
      <c r="B103" s="422"/>
      <c r="C103" s="422"/>
      <c r="D103" s="422"/>
      <c r="E103" s="422"/>
      <c r="F103" s="422">
        <v>0</v>
      </c>
      <c r="G103" s="422"/>
      <c r="H103" s="422">
        <v>0</v>
      </c>
      <c r="I103" s="422">
        <v>0</v>
      </c>
      <c r="J103" s="423" t="s">
        <v>59</v>
      </c>
      <c r="K103" s="426" t="s">
        <v>59</v>
      </c>
      <c r="L103" s="422"/>
      <c r="M103" s="422"/>
      <c r="N103" s="422"/>
      <c r="O103" s="422"/>
      <c r="P103" s="422">
        <v>0</v>
      </c>
      <c r="Q103" s="422">
        <v>0</v>
      </c>
      <c r="R103" s="422">
        <v>0</v>
      </c>
      <c r="S103" s="422">
        <v>0</v>
      </c>
      <c r="T103" s="422"/>
      <c r="U103" s="422"/>
      <c r="V103" s="422">
        <f>_xlfn.IFNA(VLOOKUP(A103,[6]進出口值表查詢結果!$C$11:$F$68,4,0),-[4]整車!$B$22)</f>
        <v>0</v>
      </c>
      <c r="W103" s="422">
        <f>_xlfn.IFNA(VLOOKUP(A103,[6]進出口值表查詢結果!$C$11:$F$68,3,0),-[4]整車!$B$22)</f>
        <v>0</v>
      </c>
      <c r="X103" s="422">
        <f>_xlfn.IFNA(VLOOKUP(A103,[7]進出口值表查詢結果!$C$11:$F$68,4,0),-[4]整車!$B$22)</f>
        <v>0</v>
      </c>
      <c r="Y103" s="422">
        <f>_xlfn.IFNA(VLOOKUP(A103,[7]進出口值表查詢結果!$C$11:$F$68,3,0),-[4]整車!$B$22)</f>
        <v>0</v>
      </c>
      <c r="Z103" s="416">
        <f t="shared" si="22"/>
        <v>0</v>
      </c>
      <c r="AA103" s="416">
        <f t="shared" si="23"/>
        <v>0</v>
      </c>
    </row>
    <row r="104" spans="1:27">
      <c r="A104" s="459" t="s">
        <v>300</v>
      </c>
      <c r="B104" s="422"/>
      <c r="C104" s="422"/>
      <c r="D104" s="422"/>
      <c r="E104" s="422"/>
      <c r="F104" s="422">
        <v>0</v>
      </c>
      <c r="G104" s="422"/>
      <c r="H104" s="422">
        <v>0</v>
      </c>
      <c r="I104" s="422">
        <v>0</v>
      </c>
      <c r="J104" s="423" t="s">
        <v>59</v>
      </c>
      <c r="K104" s="426" t="s">
        <v>59</v>
      </c>
      <c r="L104" s="422"/>
      <c r="M104" s="422"/>
      <c r="N104" s="422"/>
      <c r="O104" s="422"/>
      <c r="P104" s="422">
        <v>0</v>
      </c>
      <c r="Q104" s="422">
        <v>0</v>
      </c>
      <c r="R104" s="422">
        <v>0</v>
      </c>
      <c r="S104" s="422">
        <v>0</v>
      </c>
      <c r="T104" s="422"/>
      <c r="U104" s="422"/>
      <c r="V104" s="422">
        <f>_xlfn.IFNA(VLOOKUP(A104,[6]進出口值表查詢結果!$C$11:$F$68,4,0),-[4]整車!$B$22)</f>
        <v>0</v>
      </c>
      <c r="W104" s="422">
        <f>_xlfn.IFNA(VLOOKUP(A104,[6]進出口值表查詢結果!$C$11:$F$68,3,0),-[4]整車!$B$22)</f>
        <v>0</v>
      </c>
      <c r="X104" s="422">
        <f>_xlfn.IFNA(VLOOKUP(A104,[7]進出口值表查詢結果!$C$11:$F$68,4,0),-[4]整車!$B$22)</f>
        <v>0</v>
      </c>
      <c r="Y104" s="422">
        <f>_xlfn.IFNA(VLOOKUP(A104,[7]進出口值表查詢結果!$C$11:$F$68,3,0),-[4]整車!$B$22)</f>
        <v>0</v>
      </c>
      <c r="Z104" s="416">
        <f t="shared" si="22"/>
        <v>0</v>
      </c>
      <c r="AA104" s="416">
        <f t="shared" si="23"/>
        <v>0</v>
      </c>
    </row>
    <row r="105" spans="1:27">
      <c r="A105" s="459" t="s">
        <v>190</v>
      </c>
      <c r="B105" s="422">
        <v>382</v>
      </c>
      <c r="C105" s="422">
        <v>382841</v>
      </c>
      <c r="D105" s="422">
        <v>506</v>
      </c>
      <c r="E105" s="422">
        <v>765722</v>
      </c>
      <c r="F105" s="422">
        <v>527</v>
      </c>
      <c r="G105" s="422">
        <v>600067</v>
      </c>
      <c r="H105" s="422">
        <v>281</v>
      </c>
      <c r="I105" s="422">
        <v>404903</v>
      </c>
      <c r="J105" s="423">
        <v>848</v>
      </c>
      <c r="K105" s="424">
        <v>1410992</v>
      </c>
      <c r="L105" s="422">
        <v>1653</v>
      </c>
      <c r="M105" s="422">
        <v>2346012</v>
      </c>
      <c r="N105" s="436">
        <v>944</v>
      </c>
      <c r="O105" s="436">
        <v>1389114</v>
      </c>
      <c r="P105" s="422">
        <v>509</v>
      </c>
      <c r="Q105" s="422">
        <v>808506</v>
      </c>
      <c r="R105" s="422">
        <v>533</v>
      </c>
      <c r="S105" s="422">
        <v>864334</v>
      </c>
      <c r="T105" s="422">
        <v>159</v>
      </c>
      <c r="U105" s="422">
        <v>215147</v>
      </c>
      <c r="V105" s="422">
        <f>_xlfn.IFNA(VLOOKUP(A105,[6]進出口值表查詢結果!$C$11:$F$68,4,0),-[4]整車!$B$22)</f>
        <v>323</v>
      </c>
      <c r="W105" s="422">
        <f>_xlfn.IFNA(VLOOKUP(A105,[6]進出口值表查詢結果!$C$11:$F$68,3,0),-[4]整車!$B$22)</f>
        <v>284126</v>
      </c>
      <c r="X105" s="422">
        <f>_xlfn.IFNA(VLOOKUP(A105,[7]進出口值表查詢結果!$C$11:$F$68,4,0),-[4]整車!$B$22)</f>
        <v>146</v>
      </c>
      <c r="Y105" s="422">
        <f>_xlfn.IFNA(VLOOKUP(A105,[7]進出口值表查詢結果!$C$11:$F$68,3,0),-[4]整車!$B$22)</f>
        <v>145591</v>
      </c>
      <c r="Z105" s="416">
        <f t="shared" si="22"/>
        <v>6811</v>
      </c>
      <c r="AA105" s="416">
        <f t="shared" si="23"/>
        <v>9617355</v>
      </c>
    </row>
    <row r="106" spans="1:27">
      <c r="A106" s="459" t="s">
        <v>302</v>
      </c>
      <c r="B106" s="422">
        <v>192</v>
      </c>
      <c r="C106" s="422">
        <v>147251</v>
      </c>
      <c r="D106" s="422">
        <v>186</v>
      </c>
      <c r="E106" s="422">
        <v>185042</v>
      </c>
      <c r="F106" s="422">
        <v>10</v>
      </c>
      <c r="G106" s="422">
        <v>16229</v>
      </c>
      <c r="H106" s="422">
        <v>0</v>
      </c>
      <c r="I106" s="422">
        <v>0</v>
      </c>
      <c r="J106" s="423" t="s">
        <v>59</v>
      </c>
      <c r="K106" s="426" t="s">
        <v>59</v>
      </c>
      <c r="L106" s="422">
        <v>204</v>
      </c>
      <c r="M106" s="422">
        <v>355563</v>
      </c>
      <c r="N106" s="436">
        <v>92</v>
      </c>
      <c r="O106" s="436">
        <v>125017</v>
      </c>
      <c r="P106" s="422">
        <v>232</v>
      </c>
      <c r="Q106" s="422">
        <v>213453</v>
      </c>
      <c r="R106" s="422">
        <v>211</v>
      </c>
      <c r="S106" s="422">
        <v>248506</v>
      </c>
      <c r="T106" s="422">
        <v>234</v>
      </c>
      <c r="U106" s="422">
        <v>172701</v>
      </c>
      <c r="V106" s="422">
        <f>_xlfn.IFNA(VLOOKUP(A106,[6]進出口值表查詢結果!$C$11:$F$68,4,0),-[4]整車!$B$22)</f>
        <v>169</v>
      </c>
      <c r="W106" s="422">
        <f>_xlfn.IFNA(VLOOKUP(A106,[6]進出口值表查詢結果!$C$11:$F$68,3,0),-[4]整車!$B$22)</f>
        <v>193761</v>
      </c>
      <c r="X106" s="422">
        <f>_xlfn.IFNA(VLOOKUP(A106,[7]進出口值表查詢結果!$C$11:$F$68,4,0),-[4]整車!$B$22)</f>
        <v>364</v>
      </c>
      <c r="Y106" s="422">
        <f>_xlfn.IFNA(VLOOKUP(A106,[7]進出口值表查詢結果!$C$11:$F$68,3,0),-[4]整車!$B$22)</f>
        <v>300945</v>
      </c>
      <c r="Z106" s="416">
        <f t="shared" si="22"/>
        <v>1894</v>
      </c>
      <c r="AA106" s="416">
        <f t="shared" si="23"/>
        <v>1958468</v>
      </c>
    </row>
    <row r="107" spans="1:27">
      <c r="A107" s="459" t="s">
        <v>303</v>
      </c>
      <c r="B107" s="422">
        <v>781</v>
      </c>
      <c r="C107" s="422">
        <v>548150</v>
      </c>
      <c r="D107" s="422">
        <v>111</v>
      </c>
      <c r="E107" s="422">
        <v>89240</v>
      </c>
      <c r="F107" s="422">
        <v>351</v>
      </c>
      <c r="G107" s="422">
        <v>470294</v>
      </c>
      <c r="H107" s="422">
        <v>198</v>
      </c>
      <c r="I107" s="422">
        <v>307652</v>
      </c>
      <c r="J107" s="423">
        <v>229</v>
      </c>
      <c r="K107" s="424">
        <v>430170</v>
      </c>
      <c r="L107" s="422">
        <v>510</v>
      </c>
      <c r="M107" s="422">
        <v>633446</v>
      </c>
      <c r="N107" s="436">
        <v>1151</v>
      </c>
      <c r="O107" s="436">
        <v>1551960</v>
      </c>
      <c r="P107" s="422">
        <v>889</v>
      </c>
      <c r="Q107" s="422">
        <v>1212809</v>
      </c>
      <c r="R107" s="422">
        <v>540</v>
      </c>
      <c r="S107" s="422">
        <v>582846</v>
      </c>
      <c r="T107" s="422">
        <v>602</v>
      </c>
      <c r="U107" s="422">
        <v>676489</v>
      </c>
      <c r="V107" s="422">
        <f>_xlfn.IFNA(VLOOKUP(A107,[6]進出口值表查詢結果!$C$11:$F$68,4,0),-[4]整車!$B$22)</f>
        <v>546</v>
      </c>
      <c r="W107" s="422">
        <f>_xlfn.IFNA(VLOOKUP(A107,[6]進出口值表查詢結果!$C$11:$F$68,3,0),-[4]整車!$B$22)</f>
        <v>727903</v>
      </c>
      <c r="X107" s="422">
        <f>_xlfn.IFNA(VLOOKUP(A107,[7]進出口值表查詢結果!$C$11:$F$68,4,0),-[4]整車!$B$22)</f>
        <v>233</v>
      </c>
      <c r="Y107" s="422">
        <f>_xlfn.IFNA(VLOOKUP(A107,[7]進出口值表查詢結果!$C$11:$F$68,3,0),-[4]整車!$B$22)</f>
        <v>261722</v>
      </c>
      <c r="Z107" s="416">
        <f t="shared" si="22"/>
        <v>6141</v>
      </c>
      <c r="AA107" s="416">
        <f t="shared" si="23"/>
        <v>7492681</v>
      </c>
    </row>
    <row r="108" spans="1:27">
      <c r="A108" s="459" t="s">
        <v>304</v>
      </c>
      <c r="B108" s="422">
        <v>17</v>
      </c>
      <c r="C108" s="422">
        <v>25258</v>
      </c>
      <c r="D108" s="422"/>
      <c r="E108" s="422"/>
      <c r="F108" s="422">
        <v>35</v>
      </c>
      <c r="G108" s="422">
        <v>25788</v>
      </c>
      <c r="H108" s="422">
        <v>12</v>
      </c>
      <c r="I108" s="422">
        <v>16694</v>
      </c>
      <c r="J108" s="423">
        <v>206</v>
      </c>
      <c r="K108" s="426">
        <v>450652</v>
      </c>
      <c r="L108" s="422">
        <v>105</v>
      </c>
      <c r="M108" s="422">
        <v>123626</v>
      </c>
      <c r="N108" s="422">
        <v>201</v>
      </c>
      <c r="O108" s="436">
        <v>350913</v>
      </c>
      <c r="P108" s="422">
        <v>238</v>
      </c>
      <c r="Q108" s="422">
        <v>267808</v>
      </c>
      <c r="R108" s="422">
        <v>35</v>
      </c>
      <c r="S108" s="422">
        <v>51563</v>
      </c>
      <c r="T108" s="422">
        <v>445</v>
      </c>
      <c r="U108" s="422">
        <v>486920</v>
      </c>
      <c r="V108" s="422">
        <f>_xlfn.IFNA(VLOOKUP(A108,[6]進出口值表查詢結果!$C$11:$F$68,4,0),-[4]整車!$B$22)</f>
        <v>432</v>
      </c>
      <c r="W108" s="422">
        <f>_xlfn.IFNA(VLOOKUP(A108,[6]進出口值表查詢結果!$C$11:$F$68,3,0),-[4]整車!$B$22)</f>
        <v>333448</v>
      </c>
      <c r="X108" s="422">
        <f>_xlfn.IFNA(VLOOKUP(A108,[7]進出口值表查詢結果!$C$11:$F$68,4,0),-[4]整車!$B$22)</f>
        <v>408</v>
      </c>
      <c r="Y108" s="422">
        <f>_xlfn.IFNA(VLOOKUP(A108,[7]進出口值表查詢結果!$C$11:$F$68,3,0),-[4]整車!$B$22)</f>
        <v>492827</v>
      </c>
      <c r="Z108" s="416">
        <f t="shared" si="22"/>
        <v>2134</v>
      </c>
      <c r="AA108" s="416">
        <f t="shared" si="23"/>
        <v>2625497</v>
      </c>
    </row>
    <row r="109" spans="1:27">
      <c r="A109" s="459" t="s">
        <v>399</v>
      </c>
      <c r="B109" s="422">
        <v>21</v>
      </c>
      <c r="C109" s="422">
        <v>26824</v>
      </c>
      <c r="D109" s="422"/>
      <c r="E109" s="422"/>
      <c r="F109" s="422">
        <v>99</v>
      </c>
      <c r="G109" s="422">
        <v>93761</v>
      </c>
      <c r="H109" s="422">
        <v>0</v>
      </c>
      <c r="I109" s="422">
        <v>0</v>
      </c>
      <c r="J109" s="423">
        <v>106</v>
      </c>
      <c r="K109" s="424">
        <v>83461</v>
      </c>
      <c r="L109" s="422">
        <v>38</v>
      </c>
      <c r="M109" s="422">
        <v>42862</v>
      </c>
      <c r="N109" s="436">
        <v>99</v>
      </c>
      <c r="O109" s="436">
        <v>102704</v>
      </c>
      <c r="P109" s="422">
        <v>90</v>
      </c>
      <c r="Q109" s="422">
        <v>90308</v>
      </c>
      <c r="R109" s="422">
        <v>58</v>
      </c>
      <c r="S109" s="422">
        <v>70380</v>
      </c>
      <c r="T109" s="422">
        <v>106</v>
      </c>
      <c r="U109" s="422">
        <v>106953</v>
      </c>
      <c r="V109" s="422">
        <f>_xlfn.IFNA(VLOOKUP(A109,[6]進出口值表查詢結果!$C$11:$F$68,4,0),-[4]整車!$B$22)</f>
        <v>50</v>
      </c>
      <c r="W109" s="422">
        <f>_xlfn.IFNA(VLOOKUP(A109,[6]進出口值表查詢結果!$C$11:$F$68,3,0),-[4]整車!$B$22)</f>
        <v>61248</v>
      </c>
      <c r="X109" s="422">
        <f>_xlfn.IFNA(VLOOKUP(A109,[7]進出口值表查詢結果!$C$11:$F$68,4,0),-[4]整車!$B$22)</f>
        <v>24</v>
      </c>
      <c r="Y109" s="422">
        <f>_xlfn.IFNA(VLOOKUP(A109,[7]進出口值表查詢結果!$C$11:$F$68,3,0),-[4]整車!$B$22)</f>
        <v>4829</v>
      </c>
      <c r="Z109" s="416">
        <f t="shared" si="22"/>
        <v>691</v>
      </c>
      <c r="AA109" s="416">
        <f t="shared" si="23"/>
        <v>683330</v>
      </c>
    </row>
    <row r="110" spans="1:27">
      <c r="A110" s="459" t="s">
        <v>305</v>
      </c>
      <c r="B110" s="422"/>
      <c r="C110" s="422"/>
      <c r="D110" s="422">
        <v>26</v>
      </c>
      <c r="E110" s="422">
        <v>36509</v>
      </c>
      <c r="F110" s="422">
        <v>69</v>
      </c>
      <c r="G110" s="422">
        <v>58115</v>
      </c>
      <c r="H110" s="422">
        <v>0</v>
      </c>
      <c r="I110" s="422">
        <v>0</v>
      </c>
      <c r="J110" s="423" t="s">
        <v>59</v>
      </c>
      <c r="K110" s="426" t="s">
        <v>59</v>
      </c>
      <c r="L110" s="422"/>
      <c r="M110" s="422"/>
      <c r="N110" s="422"/>
      <c r="O110" s="422"/>
      <c r="P110" s="422">
        <v>0</v>
      </c>
      <c r="Q110" s="422">
        <v>0</v>
      </c>
      <c r="R110" s="422">
        <v>0</v>
      </c>
      <c r="S110" s="422">
        <v>0</v>
      </c>
      <c r="T110" s="422"/>
      <c r="U110" s="422"/>
      <c r="V110" s="422">
        <f>_xlfn.IFNA(VLOOKUP(A110,[6]進出口值表查詢結果!$C$11:$F$68,4,0),-[4]整車!$B$22)</f>
        <v>0</v>
      </c>
      <c r="W110" s="422">
        <f>_xlfn.IFNA(VLOOKUP(A110,[6]進出口值表查詢結果!$C$11:$F$68,3,0),-[4]整車!$B$22)</f>
        <v>0</v>
      </c>
      <c r="X110" s="422">
        <f>_xlfn.IFNA(VLOOKUP(A110,[7]進出口值表查詢結果!$C$11:$F$68,4,0),-[4]整車!$B$22)</f>
        <v>0</v>
      </c>
      <c r="Y110" s="422">
        <f>_xlfn.IFNA(VLOOKUP(A110,[7]進出口值表查詢結果!$C$11:$F$68,3,0),-[4]整車!$B$22)</f>
        <v>0</v>
      </c>
      <c r="Z110" s="416">
        <f t="shared" si="22"/>
        <v>95</v>
      </c>
      <c r="AA110" s="416">
        <f t="shared" si="23"/>
        <v>94624</v>
      </c>
    </row>
    <row r="111" spans="1:27">
      <c r="A111" s="459" t="s">
        <v>306</v>
      </c>
      <c r="B111" s="422">
        <v>38</v>
      </c>
      <c r="C111" s="422">
        <v>57613</v>
      </c>
      <c r="D111" s="422">
        <v>239</v>
      </c>
      <c r="E111" s="422">
        <v>192071</v>
      </c>
      <c r="F111" s="422">
        <v>218</v>
      </c>
      <c r="G111" s="422">
        <v>140890</v>
      </c>
      <c r="H111" s="422">
        <v>5</v>
      </c>
      <c r="I111" s="422">
        <v>10500</v>
      </c>
      <c r="J111" s="423">
        <v>175</v>
      </c>
      <c r="K111" s="426">
        <v>220849</v>
      </c>
      <c r="L111" s="422">
        <v>319</v>
      </c>
      <c r="M111" s="422">
        <v>305430</v>
      </c>
      <c r="N111" s="436">
        <v>392</v>
      </c>
      <c r="O111" s="436">
        <v>586309</v>
      </c>
      <c r="P111" s="422">
        <v>106</v>
      </c>
      <c r="Q111" s="422">
        <v>196069</v>
      </c>
      <c r="R111" s="422">
        <v>435</v>
      </c>
      <c r="S111" s="422">
        <v>558493</v>
      </c>
      <c r="T111" s="422">
        <v>345</v>
      </c>
      <c r="U111" s="422">
        <v>422823</v>
      </c>
      <c r="V111" s="422">
        <f>_xlfn.IFNA(VLOOKUP(A111,[6]進出口值表查詢結果!$C$11:$F$68,4,0),-[4]整車!$B$22)</f>
        <v>81</v>
      </c>
      <c r="W111" s="422">
        <f>_xlfn.IFNA(VLOOKUP(A111,[6]進出口值表查詢結果!$C$11:$F$68,3,0),-[4]整車!$B$22)</f>
        <v>132131</v>
      </c>
      <c r="X111" s="422">
        <f>_xlfn.IFNA(VLOOKUP(A111,[7]進出口值表查詢結果!$C$11:$F$68,4,0),-[4]整車!$B$22)</f>
        <v>22</v>
      </c>
      <c r="Y111" s="422">
        <f>_xlfn.IFNA(VLOOKUP(A111,[7]進出口值表查詢結果!$C$11:$F$68,3,0),-[4]整車!$B$22)</f>
        <v>32015</v>
      </c>
      <c r="Z111" s="416">
        <f t="shared" si="22"/>
        <v>2375</v>
      </c>
      <c r="AA111" s="416">
        <f t="shared" si="23"/>
        <v>2855193</v>
      </c>
    </row>
    <row r="112" spans="1:27">
      <c r="A112" s="459" t="s">
        <v>308</v>
      </c>
      <c r="B112" s="422">
        <v>271</v>
      </c>
      <c r="C112" s="422">
        <v>335554</v>
      </c>
      <c r="D112" s="422">
        <v>333</v>
      </c>
      <c r="E112" s="422">
        <v>314324</v>
      </c>
      <c r="F112" s="422">
        <v>378</v>
      </c>
      <c r="G112" s="422">
        <v>429439</v>
      </c>
      <c r="H112" s="422">
        <v>379</v>
      </c>
      <c r="I112" s="422">
        <v>273535</v>
      </c>
      <c r="J112" s="423">
        <v>257</v>
      </c>
      <c r="K112" s="424">
        <v>307852</v>
      </c>
      <c r="L112" s="422">
        <v>224</v>
      </c>
      <c r="M112" s="422">
        <v>305162</v>
      </c>
      <c r="N112" s="436">
        <v>431</v>
      </c>
      <c r="O112" s="436">
        <v>330830</v>
      </c>
      <c r="P112" s="422">
        <v>626</v>
      </c>
      <c r="Q112" s="422">
        <v>920976</v>
      </c>
      <c r="R112" s="422">
        <v>781</v>
      </c>
      <c r="S112" s="422">
        <v>864845</v>
      </c>
      <c r="T112" s="422">
        <v>613</v>
      </c>
      <c r="U112" s="422">
        <v>641240</v>
      </c>
      <c r="V112" s="422">
        <f>_xlfn.IFNA(VLOOKUP(A112,[6]進出口值表查詢結果!$C$11:$F$68,4,0),-[4]整車!$B$22)</f>
        <v>188</v>
      </c>
      <c r="W112" s="422">
        <f>_xlfn.IFNA(VLOOKUP(A112,[6]進出口值表查詢結果!$C$11:$F$68,3,0),-[4]整車!$B$22)</f>
        <v>254834</v>
      </c>
      <c r="X112" s="422">
        <f>_xlfn.IFNA(VLOOKUP(A112,[7]進出口值表查詢結果!$C$11:$F$68,4,0),-[4]整車!$B$22)</f>
        <v>933</v>
      </c>
      <c r="Y112" s="422">
        <f>_xlfn.IFNA(VLOOKUP(A112,[7]進出口值表查詢結果!$C$11:$F$68,3,0),-[4]整車!$B$22)</f>
        <v>495836</v>
      </c>
      <c r="Z112" s="416">
        <f t="shared" si="22"/>
        <v>5414</v>
      </c>
      <c r="AA112" s="416">
        <f t="shared" si="23"/>
        <v>5474427</v>
      </c>
    </row>
    <row r="113" spans="1:27">
      <c r="A113" s="459" t="s">
        <v>309</v>
      </c>
      <c r="B113" s="422"/>
      <c r="C113" s="422"/>
      <c r="D113" s="422">
        <v>64</v>
      </c>
      <c r="E113" s="422">
        <v>60093</v>
      </c>
      <c r="F113" s="422">
        <v>13</v>
      </c>
      <c r="G113" s="422">
        <v>12413</v>
      </c>
      <c r="H113" s="422">
        <v>0</v>
      </c>
      <c r="I113" s="422">
        <v>0</v>
      </c>
      <c r="J113" s="423">
        <v>52</v>
      </c>
      <c r="K113" s="426">
        <v>77514</v>
      </c>
      <c r="L113" s="422">
        <v>0</v>
      </c>
      <c r="M113" s="422">
        <v>0</v>
      </c>
      <c r="N113" s="436">
        <v>105</v>
      </c>
      <c r="O113" s="436">
        <v>127620</v>
      </c>
      <c r="P113" s="422">
        <v>125</v>
      </c>
      <c r="Q113" s="422">
        <v>149169</v>
      </c>
      <c r="R113" s="422">
        <v>27</v>
      </c>
      <c r="S113" s="422">
        <v>36039</v>
      </c>
      <c r="T113" s="422">
        <v>211</v>
      </c>
      <c r="U113" s="422">
        <v>20138</v>
      </c>
      <c r="V113" s="422">
        <f>_xlfn.IFNA(VLOOKUP(A113,[6]進出口值表查詢結果!$C$11:$F$68,4,0),-[4]整車!$B$22)</f>
        <v>0</v>
      </c>
      <c r="W113" s="422">
        <f>_xlfn.IFNA(VLOOKUP(A113,[6]進出口值表查詢結果!$C$11:$F$68,3,0),-[4]整車!$B$22)</f>
        <v>0</v>
      </c>
      <c r="X113" s="422">
        <f>_xlfn.IFNA(VLOOKUP(A113,[7]進出口值表查詢結果!$C$11:$F$68,4,0),-[4]整車!$B$22)</f>
        <v>38</v>
      </c>
      <c r="Y113" s="422">
        <f>_xlfn.IFNA(VLOOKUP(A113,[7]進出口值表查詢結果!$C$11:$F$68,3,0),-[4]整車!$B$22)</f>
        <v>41358</v>
      </c>
      <c r="Z113" s="416">
        <f t="shared" si="22"/>
        <v>635</v>
      </c>
      <c r="AA113" s="416">
        <f t="shared" si="23"/>
        <v>524344</v>
      </c>
    </row>
    <row r="114" spans="1:27">
      <c r="A114" s="459" t="s">
        <v>310</v>
      </c>
      <c r="B114" s="422"/>
      <c r="C114" s="422"/>
      <c r="D114" s="422"/>
      <c r="E114" s="422"/>
      <c r="F114" s="422">
        <v>0</v>
      </c>
      <c r="G114" s="422"/>
      <c r="H114" s="422">
        <v>0</v>
      </c>
      <c r="I114" s="422">
        <v>0</v>
      </c>
      <c r="J114" s="423" t="s">
        <v>59</v>
      </c>
      <c r="K114" s="426" t="s">
        <v>59</v>
      </c>
      <c r="L114" s="422">
        <v>0</v>
      </c>
      <c r="M114" s="422">
        <v>0</v>
      </c>
      <c r="N114" s="422">
        <v>0</v>
      </c>
      <c r="O114" s="422">
        <v>0</v>
      </c>
      <c r="P114" s="422">
        <v>0</v>
      </c>
      <c r="Q114" s="422">
        <v>0</v>
      </c>
      <c r="R114" s="422">
        <v>65</v>
      </c>
      <c r="S114" s="422">
        <v>16882</v>
      </c>
      <c r="T114" s="422"/>
      <c r="U114" s="422"/>
      <c r="V114" s="422">
        <f>_xlfn.IFNA(VLOOKUP(A114,[6]進出口值表查詢結果!$C$11:$F$68,4,0),-[4]整車!$B$22)</f>
        <v>0</v>
      </c>
      <c r="W114" s="422">
        <f>_xlfn.IFNA(VLOOKUP(A114,[6]進出口值表查詢結果!$C$11:$F$68,3,0),-[4]整車!$B$22)</f>
        <v>0</v>
      </c>
      <c r="X114" s="422">
        <f>_xlfn.IFNA(VLOOKUP(A114,[7]進出口值表查詢結果!$C$11:$F$68,4,0),-[4]整車!$B$22)</f>
        <v>0</v>
      </c>
      <c r="Y114" s="422">
        <f>_xlfn.IFNA(VLOOKUP(A114,[7]進出口值表查詢結果!$C$11:$F$68,3,0),-[4]整車!$B$22)</f>
        <v>0</v>
      </c>
      <c r="Z114" s="416">
        <f t="shared" si="22"/>
        <v>65</v>
      </c>
      <c r="AA114" s="416">
        <f t="shared" si="23"/>
        <v>16882</v>
      </c>
    </row>
    <row r="115" spans="1:27">
      <c r="A115" s="459" t="s">
        <v>188</v>
      </c>
      <c r="B115" s="422"/>
      <c r="C115" s="422"/>
      <c r="D115" s="422"/>
      <c r="E115" s="422"/>
      <c r="F115" s="422">
        <v>0</v>
      </c>
      <c r="G115" s="422"/>
      <c r="H115" s="422">
        <v>0</v>
      </c>
      <c r="I115" s="422">
        <v>0</v>
      </c>
      <c r="J115" s="423" t="s">
        <v>59</v>
      </c>
      <c r="K115" s="426" t="s">
        <v>59</v>
      </c>
      <c r="L115" s="422">
        <v>0</v>
      </c>
      <c r="M115" s="422">
        <v>0</v>
      </c>
      <c r="N115" s="436">
        <v>36</v>
      </c>
      <c r="O115" s="436">
        <v>54902</v>
      </c>
      <c r="P115" s="422">
        <v>0</v>
      </c>
      <c r="Q115" s="422">
        <v>0</v>
      </c>
      <c r="R115" s="422">
        <v>59</v>
      </c>
      <c r="S115" s="422">
        <v>60292</v>
      </c>
      <c r="T115" s="422">
        <v>13</v>
      </c>
      <c r="U115" s="422">
        <v>24991</v>
      </c>
      <c r="V115" s="422">
        <f>_xlfn.IFNA(VLOOKUP(A115,[6]進出口值表查詢結果!$C$11:$F$68,4,0),-[4]整車!$B$22)</f>
        <v>0</v>
      </c>
      <c r="W115" s="422">
        <f>_xlfn.IFNA(VLOOKUP(A115,[6]進出口值表查詢結果!$C$11:$F$68,3,0),-[4]整車!$B$22)</f>
        <v>0</v>
      </c>
      <c r="X115" s="422">
        <f>_xlfn.IFNA(VLOOKUP(A115,[7]進出口值表查詢結果!$C$11:$F$68,4,0),-[4]整車!$B$22)</f>
        <v>90</v>
      </c>
      <c r="Y115" s="422">
        <f>_xlfn.IFNA(VLOOKUP(A115,[7]進出口值表查詢結果!$C$11:$F$68,3,0),-[4]整車!$B$22)</f>
        <v>155913</v>
      </c>
      <c r="Z115" s="416">
        <f t="shared" si="22"/>
        <v>198</v>
      </c>
      <c r="AA115" s="416">
        <f t="shared" si="23"/>
        <v>296098</v>
      </c>
    </row>
    <row r="116" spans="1:27">
      <c r="A116" s="459" t="s">
        <v>311</v>
      </c>
      <c r="B116" s="422"/>
      <c r="C116" s="422"/>
      <c r="D116" s="422">
        <v>58</v>
      </c>
      <c r="E116" s="422">
        <v>17155</v>
      </c>
      <c r="F116" s="422">
        <v>0</v>
      </c>
      <c r="G116" s="422"/>
      <c r="H116" s="422">
        <v>0</v>
      </c>
      <c r="I116" s="422">
        <v>0</v>
      </c>
      <c r="J116" s="423" t="s">
        <v>59</v>
      </c>
      <c r="K116" s="426" t="s">
        <v>59</v>
      </c>
      <c r="L116" s="422">
        <v>66</v>
      </c>
      <c r="M116" s="422">
        <v>91388</v>
      </c>
      <c r="N116" s="436">
        <v>93</v>
      </c>
      <c r="O116" s="436">
        <v>28161</v>
      </c>
      <c r="P116" s="422">
        <v>1</v>
      </c>
      <c r="Q116" s="422">
        <v>1898</v>
      </c>
      <c r="R116" s="422">
        <v>0</v>
      </c>
      <c r="S116" s="422">
        <v>0</v>
      </c>
      <c r="T116" s="422">
        <v>70</v>
      </c>
      <c r="U116" s="422">
        <v>76661</v>
      </c>
      <c r="V116" s="422">
        <f>_xlfn.IFNA(VLOOKUP(A116,[6]進出口值表查詢結果!$C$11:$F$68,4,0),-[4]整車!$B$22)</f>
        <v>0</v>
      </c>
      <c r="W116" s="422">
        <f>_xlfn.IFNA(VLOOKUP(A116,[6]進出口值表查詢結果!$C$11:$F$68,3,0),-[4]整車!$B$22)</f>
        <v>0</v>
      </c>
      <c r="X116" s="422">
        <f>_xlfn.IFNA(VLOOKUP(A116,[7]進出口值表查詢結果!$C$11:$F$68,4,0),-[4]整車!$B$22)</f>
        <v>0</v>
      </c>
      <c r="Y116" s="422">
        <f>_xlfn.IFNA(VLOOKUP(A116,[7]進出口值表查詢結果!$C$11:$F$68,3,0),-[4]整車!$B$22)</f>
        <v>0</v>
      </c>
      <c r="Z116" s="416">
        <f t="shared" si="22"/>
        <v>288</v>
      </c>
      <c r="AA116" s="416">
        <f t="shared" si="23"/>
        <v>215263</v>
      </c>
    </row>
    <row r="117" spans="1:27">
      <c r="A117" s="459" t="s">
        <v>312</v>
      </c>
      <c r="B117" s="422">
        <v>91</v>
      </c>
      <c r="C117" s="422">
        <v>105365</v>
      </c>
      <c r="D117" s="422"/>
      <c r="E117" s="422"/>
      <c r="F117" s="422">
        <v>0</v>
      </c>
      <c r="G117" s="422"/>
      <c r="H117" s="422">
        <v>0</v>
      </c>
      <c r="I117" s="422">
        <v>0</v>
      </c>
      <c r="J117" s="423" t="s">
        <v>59</v>
      </c>
      <c r="K117" s="426" t="s">
        <v>59</v>
      </c>
      <c r="L117" s="422">
        <v>0</v>
      </c>
      <c r="M117" s="422">
        <v>0</v>
      </c>
      <c r="N117" s="436">
        <v>92</v>
      </c>
      <c r="O117" s="436">
        <v>98850</v>
      </c>
      <c r="P117" s="422">
        <v>0</v>
      </c>
      <c r="Q117" s="422">
        <v>0</v>
      </c>
      <c r="R117" s="422">
        <v>0</v>
      </c>
      <c r="S117" s="422">
        <v>0</v>
      </c>
      <c r="T117" s="422"/>
      <c r="U117" s="422"/>
      <c r="V117" s="422">
        <f>_xlfn.IFNA(VLOOKUP(A117,[6]進出口值表查詢結果!$C$11:$F$68,4,0),-[4]整車!$B$22)</f>
        <v>22</v>
      </c>
      <c r="W117" s="422">
        <f>_xlfn.IFNA(VLOOKUP(A117,[6]進出口值表查詢結果!$C$11:$F$68,3,0),-[4]整車!$B$22)</f>
        <v>28492</v>
      </c>
      <c r="X117" s="422">
        <f>_xlfn.IFNA(VLOOKUP(A117,[7]進出口值表查詢結果!$C$11:$F$68,4,0),-[4]整車!$B$22)</f>
        <v>0</v>
      </c>
      <c r="Y117" s="422">
        <f>_xlfn.IFNA(VLOOKUP(A117,[7]進出口值表查詢結果!$C$11:$F$68,3,0),-[4]整車!$B$22)</f>
        <v>0</v>
      </c>
      <c r="Z117" s="416">
        <f t="shared" si="22"/>
        <v>205</v>
      </c>
      <c r="AA117" s="416">
        <f t="shared" si="23"/>
        <v>232707</v>
      </c>
    </row>
    <row r="118" spans="1:27">
      <c r="A118" s="459" t="s">
        <v>313</v>
      </c>
      <c r="B118" s="422"/>
      <c r="C118" s="422"/>
      <c r="D118" s="422"/>
      <c r="E118" s="422"/>
      <c r="F118" s="422">
        <v>0</v>
      </c>
      <c r="G118" s="422"/>
      <c r="H118" s="422">
        <v>0</v>
      </c>
      <c r="I118" s="422">
        <v>0</v>
      </c>
      <c r="J118" s="423" t="s">
        <v>59</v>
      </c>
      <c r="K118" s="426" t="s">
        <v>59</v>
      </c>
      <c r="L118" s="422">
        <v>0</v>
      </c>
      <c r="M118" s="422">
        <v>0</v>
      </c>
      <c r="N118" s="422">
        <v>0</v>
      </c>
      <c r="O118" s="422">
        <v>0</v>
      </c>
      <c r="P118" s="422">
        <v>0</v>
      </c>
      <c r="Q118" s="422">
        <v>0</v>
      </c>
      <c r="R118" s="422">
        <v>4</v>
      </c>
      <c r="S118" s="422">
        <v>4008</v>
      </c>
      <c r="T118" s="422"/>
      <c r="U118" s="422"/>
      <c r="V118" s="422">
        <f>_xlfn.IFNA(VLOOKUP(A118,[6]進出口值表查詢結果!$C$11:$F$68,4,0),-[4]整車!$B$22)</f>
        <v>0</v>
      </c>
      <c r="W118" s="422">
        <f>_xlfn.IFNA(VLOOKUP(A118,[6]進出口值表查詢結果!$C$11:$F$68,3,0),-[4]整車!$B$22)</f>
        <v>0</v>
      </c>
      <c r="X118" s="422">
        <f>_xlfn.IFNA(VLOOKUP(A118,[7]進出口值表查詢結果!$C$11:$F$68,4,0),-[4]整車!$B$22)</f>
        <v>0</v>
      </c>
      <c r="Y118" s="422">
        <f>_xlfn.IFNA(VLOOKUP(A118,[7]進出口值表查詢結果!$C$11:$F$68,3,0),-[4]整車!$B$22)</f>
        <v>0</v>
      </c>
      <c r="Z118" s="416">
        <f t="shared" si="22"/>
        <v>4</v>
      </c>
      <c r="AA118" s="416">
        <f t="shared" si="23"/>
        <v>4008</v>
      </c>
    </row>
    <row r="119" spans="1:27">
      <c r="A119" s="459" t="s">
        <v>314</v>
      </c>
      <c r="B119" s="422"/>
      <c r="C119" s="422"/>
      <c r="D119" s="422"/>
      <c r="E119" s="422"/>
      <c r="F119" s="422">
        <v>0</v>
      </c>
      <c r="G119" s="422"/>
      <c r="H119" s="422">
        <v>0</v>
      </c>
      <c r="I119" s="422">
        <v>0</v>
      </c>
      <c r="J119" s="423" t="s">
        <v>59</v>
      </c>
      <c r="K119" s="426" t="s">
        <v>59</v>
      </c>
      <c r="L119" s="422">
        <v>0</v>
      </c>
      <c r="M119" s="422">
        <v>0</v>
      </c>
      <c r="N119" s="422">
        <v>0</v>
      </c>
      <c r="O119" s="422">
        <v>0</v>
      </c>
      <c r="P119" s="422">
        <v>0</v>
      </c>
      <c r="Q119" s="422">
        <v>0</v>
      </c>
      <c r="R119" s="422">
        <v>0</v>
      </c>
      <c r="S119" s="422">
        <v>0</v>
      </c>
      <c r="T119" s="422"/>
      <c r="U119" s="422"/>
      <c r="V119" s="422">
        <f>_xlfn.IFNA(VLOOKUP(A119,[6]進出口值表查詢結果!$C$11:$F$68,4,0),-[4]整車!$B$22)</f>
        <v>0</v>
      </c>
      <c r="W119" s="422">
        <f>_xlfn.IFNA(VLOOKUP(A119,[6]進出口值表查詢結果!$C$11:$F$68,3,0),-[4]整車!$B$22)</f>
        <v>0</v>
      </c>
      <c r="X119" s="422">
        <f>_xlfn.IFNA(VLOOKUP(A119,[7]進出口值表查詢結果!$C$11:$F$68,4,0),-[4]整車!$B$22)</f>
        <v>0</v>
      </c>
      <c r="Y119" s="422">
        <f>_xlfn.IFNA(VLOOKUP(A119,[7]進出口值表查詢結果!$C$11:$F$68,3,0),-[4]整車!$B$22)</f>
        <v>0</v>
      </c>
      <c r="Z119" s="416">
        <f t="shared" si="22"/>
        <v>0</v>
      </c>
      <c r="AA119" s="416">
        <f t="shared" si="23"/>
        <v>0</v>
      </c>
    </row>
    <row r="120" spans="1:27">
      <c r="A120" s="459" t="s">
        <v>400</v>
      </c>
      <c r="B120" s="422">
        <v>30</v>
      </c>
      <c r="C120" s="422">
        <v>47684</v>
      </c>
      <c r="D120" s="422">
        <v>18</v>
      </c>
      <c r="E120" s="422">
        <v>21652</v>
      </c>
      <c r="F120" s="422">
        <v>40</v>
      </c>
      <c r="G120" s="422">
        <v>80054</v>
      </c>
      <c r="H120" s="422">
        <v>31</v>
      </c>
      <c r="I120" s="422">
        <v>62073</v>
      </c>
      <c r="J120" s="423" t="s">
        <v>59</v>
      </c>
      <c r="K120" s="426" t="s">
        <v>59</v>
      </c>
      <c r="L120" s="422">
        <v>93</v>
      </c>
      <c r="M120" s="422">
        <v>149531</v>
      </c>
      <c r="N120" s="436">
        <v>44</v>
      </c>
      <c r="O120" s="436">
        <v>69675</v>
      </c>
      <c r="P120" s="422">
        <v>115</v>
      </c>
      <c r="Q120" s="422">
        <v>177702</v>
      </c>
      <c r="R120" s="422">
        <v>11</v>
      </c>
      <c r="S120" s="422">
        <v>29144</v>
      </c>
      <c r="T120" s="422">
        <v>86</v>
      </c>
      <c r="U120" s="422">
        <v>116179</v>
      </c>
      <c r="V120" s="422">
        <f>_xlfn.IFNA(VLOOKUP(A120,[6]進出口值表查詢結果!$C$11:$F$68,4,0),-[4]整車!$B$22)</f>
        <v>1</v>
      </c>
      <c r="W120" s="422">
        <f>_xlfn.IFNA(VLOOKUP(A120,[6]進出口值表查詢結果!$C$11:$F$68,3,0),-[4]整車!$B$22)</f>
        <v>3605</v>
      </c>
      <c r="X120" s="422">
        <f>_xlfn.IFNA(VLOOKUP(A120,[7]進出口值表查詢結果!$C$11:$F$68,4,0),-[4]整車!$B$22)</f>
        <v>246</v>
      </c>
      <c r="Y120" s="422">
        <f>_xlfn.IFNA(VLOOKUP(A120,[7]進出口值表查詢結果!$C$11:$F$68,3,0),-[4]整車!$B$22)</f>
        <v>224562</v>
      </c>
      <c r="Z120" s="416">
        <f t="shared" si="22"/>
        <v>715</v>
      </c>
      <c r="AA120" s="416">
        <f t="shared" si="23"/>
        <v>981861</v>
      </c>
    </row>
    <row r="121" spans="1:27">
      <c r="A121" s="459" t="s">
        <v>315</v>
      </c>
      <c r="B121" s="422"/>
      <c r="C121" s="422"/>
      <c r="D121" s="422"/>
      <c r="E121" s="422"/>
      <c r="F121" s="422">
        <v>0</v>
      </c>
      <c r="G121" s="422"/>
      <c r="H121" s="422">
        <v>0</v>
      </c>
      <c r="I121" s="422">
        <v>0</v>
      </c>
      <c r="J121" s="423" t="s">
        <v>59</v>
      </c>
      <c r="K121" s="426" t="s">
        <v>59</v>
      </c>
      <c r="L121" s="422">
        <v>0</v>
      </c>
      <c r="M121" s="422">
        <v>0</v>
      </c>
      <c r="N121" s="422">
        <v>0</v>
      </c>
      <c r="O121" s="422">
        <v>0</v>
      </c>
      <c r="P121" s="422">
        <v>0</v>
      </c>
      <c r="Q121" s="422">
        <v>0</v>
      </c>
      <c r="R121" s="422">
        <v>0</v>
      </c>
      <c r="S121" s="422">
        <v>0</v>
      </c>
      <c r="T121" s="422"/>
      <c r="U121" s="422"/>
      <c r="V121" s="422">
        <f>_xlfn.IFNA(VLOOKUP(A121,[6]進出口值表查詢結果!$C$11:$F$68,4,0),-[4]整車!$B$22)</f>
        <v>0</v>
      </c>
      <c r="W121" s="422">
        <f>_xlfn.IFNA(VLOOKUP(A121,[6]進出口值表查詢結果!$C$11:$F$68,3,0),-[4]整車!$B$22)</f>
        <v>0</v>
      </c>
      <c r="X121" s="422">
        <f>_xlfn.IFNA(VLOOKUP(A121,[7]進出口值表查詢結果!$C$11:$F$68,4,0),-[4]整車!$B$22)</f>
        <v>0</v>
      </c>
      <c r="Y121" s="422">
        <f>_xlfn.IFNA(VLOOKUP(A121,[7]進出口值表查詢結果!$C$11:$F$68,3,0),-[4]整車!$B$22)</f>
        <v>0</v>
      </c>
      <c r="Z121" s="416">
        <f t="shared" si="22"/>
        <v>0</v>
      </c>
      <c r="AA121" s="416">
        <f t="shared" si="23"/>
        <v>0</v>
      </c>
    </row>
    <row r="122" spans="1:27">
      <c r="A122" s="459" t="s">
        <v>316</v>
      </c>
      <c r="B122" s="422"/>
      <c r="C122" s="422"/>
      <c r="D122" s="422"/>
      <c r="E122" s="422"/>
      <c r="F122" s="422">
        <v>0</v>
      </c>
      <c r="G122" s="422"/>
      <c r="H122" s="422">
        <v>0</v>
      </c>
      <c r="I122" s="422">
        <v>0</v>
      </c>
      <c r="J122" s="423" t="s">
        <v>59</v>
      </c>
      <c r="K122" s="426" t="s">
        <v>59</v>
      </c>
      <c r="L122" s="422">
        <v>0</v>
      </c>
      <c r="M122" s="422">
        <v>0</v>
      </c>
      <c r="N122" s="422">
        <v>0</v>
      </c>
      <c r="O122" s="422">
        <v>0</v>
      </c>
      <c r="P122" s="422">
        <v>0</v>
      </c>
      <c r="Q122" s="422">
        <v>0</v>
      </c>
      <c r="R122" s="422">
        <v>0</v>
      </c>
      <c r="S122" s="422">
        <v>0</v>
      </c>
      <c r="T122" s="422"/>
      <c r="U122" s="422"/>
      <c r="V122" s="422">
        <f>_xlfn.IFNA(VLOOKUP(A122,[6]進出口值表查詢結果!$C$11:$F$68,4,0),-[4]整車!$B$22)</f>
        <v>0</v>
      </c>
      <c r="W122" s="422">
        <f>_xlfn.IFNA(VLOOKUP(A122,[6]進出口值表查詢結果!$C$11:$F$68,3,0),-[4]整車!$B$22)</f>
        <v>0</v>
      </c>
      <c r="X122" s="422">
        <f>_xlfn.IFNA(VLOOKUP(A122,[7]進出口值表查詢結果!$C$11:$F$68,4,0),-[4]整車!$B$22)</f>
        <v>0</v>
      </c>
      <c r="Y122" s="422">
        <f>_xlfn.IFNA(VLOOKUP(A122,[7]進出口值表查詢結果!$C$11:$F$68,3,0),-[4]整車!$B$22)</f>
        <v>0</v>
      </c>
      <c r="Z122" s="416">
        <f t="shared" si="22"/>
        <v>0</v>
      </c>
      <c r="AA122" s="416">
        <f t="shared" si="23"/>
        <v>0</v>
      </c>
    </row>
    <row r="123" spans="1:27">
      <c r="A123" s="459" t="s">
        <v>317</v>
      </c>
      <c r="B123" s="422"/>
      <c r="C123" s="422"/>
      <c r="D123" s="422"/>
      <c r="E123" s="422"/>
      <c r="F123" s="422">
        <v>0</v>
      </c>
      <c r="G123" s="422"/>
      <c r="H123" s="422">
        <v>0</v>
      </c>
      <c r="I123" s="422">
        <v>0</v>
      </c>
      <c r="J123" s="423" t="s">
        <v>59</v>
      </c>
      <c r="K123" s="426" t="s">
        <v>59</v>
      </c>
      <c r="L123" s="422">
        <v>0</v>
      </c>
      <c r="M123" s="422">
        <v>0</v>
      </c>
      <c r="N123" s="422">
        <v>0</v>
      </c>
      <c r="O123" s="422">
        <v>0</v>
      </c>
      <c r="P123" s="422">
        <v>0</v>
      </c>
      <c r="Q123" s="422">
        <v>0</v>
      </c>
      <c r="R123" s="422">
        <v>0</v>
      </c>
      <c r="S123" s="422">
        <v>0</v>
      </c>
      <c r="T123" s="422"/>
      <c r="U123" s="422"/>
      <c r="V123" s="422">
        <f>_xlfn.IFNA(VLOOKUP(A123,[6]進出口值表查詢結果!$C$11:$F$68,4,0),-[4]整車!$B$22)</f>
        <v>0</v>
      </c>
      <c r="W123" s="422">
        <f>_xlfn.IFNA(VLOOKUP(A123,[6]進出口值表查詢結果!$C$11:$F$68,3,0),-[4]整車!$B$22)</f>
        <v>0</v>
      </c>
      <c r="X123" s="422">
        <f>_xlfn.IFNA(VLOOKUP(A123,[7]進出口值表查詢結果!$C$11:$F$68,4,0),-[4]整車!$B$22)</f>
        <v>0</v>
      </c>
      <c r="Y123" s="422">
        <f>_xlfn.IFNA(VLOOKUP(A123,[7]進出口值表查詢結果!$C$11:$F$68,3,0),-[4]整車!$B$22)</f>
        <v>0</v>
      </c>
      <c r="Z123" s="416">
        <f t="shared" si="22"/>
        <v>0</v>
      </c>
      <c r="AA123" s="416">
        <f t="shared" si="23"/>
        <v>0</v>
      </c>
    </row>
    <row r="124" spans="1:27">
      <c r="A124" s="459" t="s">
        <v>318</v>
      </c>
      <c r="B124" s="422"/>
      <c r="C124" s="422"/>
      <c r="D124" s="422"/>
      <c r="E124" s="422"/>
      <c r="F124" s="422">
        <v>0</v>
      </c>
      <c r="G124" s="422"/>
      <c r="H124" s="422">
        <v>0</v>
      </c>
      <c r="I124" s="422">
        <v>0</v>
      </c>
      <c r="J124" s="423" t="s">
        <v>59</v>
      </c>
      <c r="K124" s="426" t="s">
        <v>59</v>
      </c>
      <c r="L124" s="422">
        <v>0</v>
      </c>
      <c r="M124" s="422">
        <v>0</v>
      </c>
      <c r="N124" s="422">
        <v>0</v>
      </c>
      <c r="O124" s="422">
        <v>0</v>
      </c>
      <c r="P124" s="422">
        <v>0</v>
      </c>
      <c r="Q124" s="422">
        <v>0</v>
      </c>
      <c r="R124" s="422">
        <v>0</v>
      </c>
      <c r="S124" s="422">
        <v>0</v>
      </c>
      <c r="T124" s="422"/>
      <c r="U124" s="422"/>
      <c r="V124" s="422">
        <f>_xlfn.IFNA(VLOOKUP(A124,[6]進出口值表查詢結果!$C$11:$F$68,4,0),-[4]整車!$B$22)</f>
        <v>0</v>
      </c>
      <c r="W124" s="422">
        <f>_xlfn.IFNA(VLOOKUP(A124,[6]進出口值表查詢結果!$C$11:$F$68,3,0),-[4]整車!$B$22)</f>
        <v>0</v>
      </c>
      <c r="X124" s="422">
        <f>_xlfn.IFNA(VLOOKUP(A124,[7]進出口值表查詢結果!$C$11:$F$68,4,0),-[4]整車!$B$22)</f>
        <v>0</v>
      </c>
      <c r="Y124" s="422">
        <f>_xlfn.IFNA(VLOOKUP(A124,[7]進出口值表查詢結果!$C$11:$F$68,3,0),-[4]整車!$B$22)</f>
        <v>0</v>
      </c>
      <c r="Z124" s="416">
        <f t="shared" si="22"/>
        <v>0</v>
      </c>
      <c r="AA124" s="416">
        <f t="shared" si="23"/>
        <v>0</v>
      </c>
    </row>
    <row r="125" spans="1:27">
      <c r="A125" s="459" t="s">
        <v>319</v>
      </c>
      <c r="B125" s="422"/>
      <c r="C125" s="422"/>
      <c r="D125" s="422"/>
      <c r="E125" s="422"/>
      <c r="F125" s="422">
        <v>0</v>
      </c>
      <c r="G125" s="422"/>
      <c r="H125" s="422">
        <v>0</v>
      </c>
      <c r="I125" s="422">
        <v>0</v>
      </c>
      <c r="J125" s="423" t="s">
        <v>59</v>
      </c>
      <c r="K125" s="426" t="s">
        <v>59</v>
      </c>
      <c r="L125" s="422">
        <v>0</v>
      </c>
      <c r="M125" s="422">
        <v>0</v>
      </c>
      <c r="N125" s="422">
        <v>0</v>
      </c>
      <c r="O125" s="422">
        <v>0</v>
      </c>
      <c r="P125" s="422">
        <v>0</v>
      </c>
      <c r="Q125" s="422">
        <v>0</v>
      </c>
      <c r="R125" s="422">
        <v>0</v>
      </c>
      <c r="S125" s="422">
        <v>0</v>
      </c>
      <c r="T125" s="422"/>
      <c r="U125" s="422"/>
      <c r="V125" s="422">
        <f>_xlfn.IFNA(VLOOKUP(A125,[6]進出口值表查詢結果!$C$11:$F$68,4,0),-[4]整車!$B$22)</f>
        <v>0</v>
      </c>
      <c r="W125" s="422">
        <f>_xlfn.IFNA(VLOOKUP(A125,[6]進出口值表查詢結果!$C$11:$F$68,3,0),-[4]整車!$B$22)</f>
        <v>0</v>
      </c>
      <c r="X125" s="422">
        <f>_xlfn.IFNA(VLOOKUP(A125,[7]進出口值表查詢結果!$C$11:$F$68,4,0),-[4]整車!$B$22)</f>
        <v>0</v>
      </c>
      <c r="Y125" s="422">
        <f>_xlfn.IFNA(VLOOKUP(A125,[7]進出口值表查詢結果!$C$11:$F$68,3,0),-[4]整車!$B$22)</f>
        <v>0</v>
      </c>
      <c r="Z125" s="416">
        <f t="shared" si="22"/>
        <v>0</v>
      </c>
      <c r="AA125" s="416">
        <f t="shared" si="23"/>
        <v>0</v>
      </c>
    </row>
    <row r="126" spans="1:27">
      <c r="A126" s="459" t="s">
        <v>194</v>
      </c>
      <c r="B126" s="422"/>
      <c r="C126" s="422"/>
      <c r="D126" s="422"/>
      <c r="E126" s="422"/>
      <c r="F126" s="422">
        <v>0</v>
      </c>
      <c r="G126" s="422"/>
      <c r="H126" s="422">
        <v>0</v>
      </c>
      <c r="I126" s="422">
        <v>0</v>
      </c>
      <c r="J126" s="423" t="s">
        <v>59</v>
      </c>
      <c r="K126" s="426" t="s">
        <v>59</v>
      </c>
      <c r="L126" s="422">
        <v>0</v>
      </c>
      <c r="M126" s="422">
        <v>0</v>
      </c>
      <c r="N126" s="422">
        <v>0</v>
      </c>
      <c r="O126" s="422">
        <v>0</v>
      </c>
      <c r="P126" s="422">
        <v>0</v>
      </c>
      <c r="Q126" s="422">
        <v>0</v>
      </c>
      <c r="R126" s="422">
        <v>0</v>
      </c>
      <c r="S126" s="422">
        <v>0</v>
      </c>
      <c r="T126" s="422"/>
      <c r="U126" s="422"/>
      <c r="V126" s="422">
        <f>_xlfn.IFNA(VLOOKUP(A126,[6]進出口值表查詢結果!$C$11:$F$68,4,0),-[4]整車!$B$22)</f>
        <v>0</v>
      </c>
      <c r="W126" s="422">
        <f>_xlfn.IFNA(VLOOKUP(A126,[6]進出口值表查詢結果!$C$11:$F$68,3,0),-[4]整車!$B$22)</f>
        <v>0</v>
      </c>
      <c r="X126" s="422">
        <f>_xlfn.IFNA(VLOOKUP(A126,[7]進出口值表查詢結果!$C$11:$F$68,4,0),-[4]整車!$B$22)</f>
        <v>0</v>
      </c>
      <c r="Y126" s="422">
        <f>_xlfn.IFNA(VLOOKUP(A126,[7]進出口值表查詢結果!$C$11:$F$68,3,0),-[4]整車!$B$22)</f>
        <v>0</v>
      </c>
      <c r="Z126" s="416">
        <f t="shared" si="22"/>
        <v>0</v>
      </c>
      <c r="AA126" s="416">
        <f t="shared" si="23"/>
        <v>0</v>
      </c>
    </row>
    <row r="127" spans="1:27">
      <c r="A127" s="459" t="s">
        <v>320</v>
      </c>
      <c r="B127" s="422">
        <v>111</v>
      </c>
      <c r="C127" s="422">
        <v>54549</v>
      </c>
      <c r="D127" s="422">
        <v>92</v>
      </c>
      <c r="E127" s="422">
        <v>90640</v>
      </c>
      <c r="F127" s="422">
        <v>82</v>
      </c>
      <c r="G127" s="422">
        <v>150017</v>
      </c>
      <c r="H127" s="422">
        <v>0</v>
      </c>
      <c r="I127" s="422">
        <v>0</v>
      </c>
      <c r="J127" s="423">
        <v>84</v>
      </c>
      <c r="K127" s="424">
        <v>97060</v>
      </c>
      <c r="L127" s="422">
        <v>0</v>
      </c>
      <c r="M127" s="422">
        <v>0</v>
      </c>
      <c r="N127" s="436">
        <v>68</v>
      </c>
      <c r="O127" s="436">
        <v>99493</v>
      </c>
      <c r="P127" s="422">
        <v>0</v>
      </c>
      <c r="Q127" s="422">
        <v>0</v>
      </c>
      <c r="R127" s="422">
        <v>0</v>
      </c>
      <c r="S127" s="422">
        <v>0</v>
      </c>
      <c r="T127" s="422">
        <v>65</v>
      </c>
      <c r="U127" s="422">
        <v>92599</v>
      </c>
      <c r="V127" s="422">
        <f>_xlfn.IFNA(VLOOKUP(A127,[6]進出口值表查詢結果!$C$11:$F$68,4,0),-[4]整車!$B$22)</f>
        <v>0</v>
      </c>
      <c r="W127" s="422">
        <f>_xlfn.IFNA(VLOOKUP(A127,[6]進出口值表查詢結果!$C$11:$F$68,3,0),-[4]整車!$B$22)</f>
        <v>0</v>
      </c>
      <c r="X127" s="422">
        <f>_xlfn.IFNA(VLOOKUP(A127,[7]進出口值表查詢結果!$C$11:$F$68,4,0),-[4]整車!$B$22)</f>
        <v>184</v>
      </c>
      <c r="Y127" s="422">
        <f>_xlfn.IFNA(VLOOKUP(A127,[7]進出口值表查詢結果!$C$11:$F$68,3,0),-[4]整車!$B$22)</f>
        <v>163785</v>
      </c>
      <c r="Z127" s="416">
        <f t="shared" si="22"/>
        <v>686</v>
      </c>
      <c r="AA127" s="416">
        <f t="shared" si="23"/>
        <v>748143</v>
      </c>
    </row>
    <row r="128" spans="1:27">
      <c r="A128" s="459" t="s">
        <v>321</v>
      </c>
      <c r="B128" s="422"/>
      <c r="C128" s="422"/>
      <c r="D128" s="422"/>
      <c r="E128" s="422"/>
      <c r="F128" s="422">
        <v>0</v>
      </c>
      <c r="G128" s="422"/>
      <c r="H128" s="422">
        <v>0</v>
      </c>
      <c r="I128" s="422">
        <v>0</v>
      </c>
      <c r="J128" s="423" t="s">
        <v>59</v>
      </c>
      <c r="K128" s="426" t="s">
        <v>59</v>
      </c>
      <c r="L128" s="422">
        <v>0</v>
      </c>
      <c r="M128" s="422">
        <v>0</v>
      </c>
      <c r="N128" s="422">
        <v>0</v>
      </c>
      <c r="O128" s="422">
        <v>0</v>
      </c>
      <c r="P128" s="422">
        <v>0</v>
      </c>
      <c r="Q128" s="422">
        <v>0</v>
      </c>
      <c r="R128" s="422">
        <v>0</v>
      </c>
      <c r="S128" s="422">
        <v>0</v>
      </c>
      <c r="T128" s="422"/>
      <c r="U128" s="422"/>
      <c r="V128" s="422">
        <f>_xlfn.IFNA(VLOOKUP(A128,[6]進出口值表查詢結果!$C$11:$F$68,4,0),-[4]整車!$B$22)</f>
        <v>0</v>
      </c>
      <c r="W128" s="422">
        <f>_xlfn.IFNA(VLOOKUP(A128,[6]進出口值表查詢結果!$C$11:$F$68,3,0),-[4]整車!$B$22)</f>
        <v>0</v>
      </c>
      <c r="X128" s="422">
        <f>_xlfn.IFNA(VLOOKUP(A128,[7]進出口值表查詢結果!$C$11:$F$68,4,0),-[4]整車!$B$22)</f>
        <v>0</v>
      </c>
      <c r="Y128" s="422">
        <f>_xlfn.IFNA(VLOOKUP(A128,[7]進出口值表查詢結果!$C$11:$F$68,3,0),-[4]整車!$B$22)</f>
        <v>0</v>
      </c>
      <c r="Z128" s="416">
        <f t="shared" si="22"/>
        <v>0</v>
      </c>
      <c r="AA128" s="416">
        <f t="shared" si="23"/>
        <v>0</v>
      </c>
    </row>
    <row r="129" spans="1:27">
      <c r="A129" s="459" t="s">
        <v>322</v>
      </c>
      <c r="B129" s="422"/>
      <c r="C129" s="422"/>
      <c r="D129" s="422"/>
      <c r="E129" s="422"/>
      <c r="F129" s="422">
        <v>0</v>
      </c>
      <c r="G129" s="422"/>
      <c r="H129" s="422">
        <v>0</v>
      </c>
      <c r="I129" s="422">
        <v>0</v>
      </c>
      <c r="J129" s="423" t="s">
        <v>59</v>
      </c>
      <c r="K129" s="426" t="s">
        <v>59</v>
      </c>
      <c r="L129" s="422">
        <v>0</v>
      </c>
      <c r="M129" s="422">
        <v>0</v>
      </c>
      <c r="N129" s="422">
        <v>0</v>
      </c>
      <c r="O129" s="422">
        <v>0</v>
      </c>
      <c r="P129" s="422">
        <v>0</v>
      </c>
      <c r="Q129" s="422">
        <v>0</v>
      </c>
      <c r="R129" s="422">
        <v>0</v>
      </c>
      <c r="S129" s="422">
        <v>0</v>
      </c>
      <c r="T129" s="422"/>
      <c r="U129" s="422"/>
      <c r="V129" s="422">
        <f>_xlfn.IFNA(VLOOKUP(A129,[6]進出口值表查詢結果!$C$11:$F$68,4,0),-[4]整車!$B$22)</f>
        <v>0</v>
      </c>
      <c r="W129" s="422">
        <f>_xlfn.IFNA(VLOOKUP(A129,[6]進出口值表查詢結果!$C$11:$F$68,3,0),-[4]整車!$B$22)</f>
        <v>0</v>
      </c>
      <c r="X129" s="422">
        <f>_xlfn.IFNA(VLOOKUP(A129,[7]進出口值表查詢結果!$C$11:$F$68,4,0),-[4]整車!$B$22)</f>
        <v>0</v>
      </c>
      <c r="Y129" s="422">
        <f>_xlfn.IFNA(VLOOKUP(A129,[7]進出口值表查詢結果!$C$11:$F$68,3,0),-[4]整車!$B$22)</f>
        <v>0</v>
      </c>
      <c r="Z129" s="416">
        <f t="shared" si="22"/>
        <v>0</v>
      </c>
      <c r="AA129" s="416">
        <f t="shared" si="23"/>
        <v>0</v>
      </c>
    </row>
    <row r="130" spans="1:27">
      <c r="A130" s="421" t="s">
        <v>323</v>
      </c>
      <c r="B130" s="422"/>
      <c r="C130" s="422"/>
      <c r="D130" s="422"/>
      <c r="E130" s="422"/>
      <c r="F130" s="422">
        <v>0</v>
      </c>
      <c r="G130" s="422"/>
      <c r="H130" s="422">
        <v>0</v>
      </c>
      <c r="I130" s="422">
        <v>0</v>
      </c>
      <c r="J130" s="423" t="s">
        <v>59</v>
      </c>
      <c r="K130" s="426" t="s">
        <v>59</v>
      </c>
      <c r="L130" s="422">
        <v>0</v>
      </c>
      <c r="M130" s="422">
        <v>0</v>
      </c>
      <c r="N130" s="422">
        <v>0</v>
      </c>
      <c r="O130" s="422">
        <v>0</v>
      </c>
      <c r="P130" s="422">
        <v>0</v>
      </c>
      <c r="Q130" s="422">
        <v>0</v>
      </c>
      <c r="R130" s="422">
        <v>0</v>
      </c>
      <c r="S130" s="422">
        <v>0</v>
      </c>
      <c r="T130" s="422"/>
      <c r="U130" s="422"/>
      <c r="V130" s="422">
        <f>_xlfn.IFNA(VLOOKUP(A130,[6]進出口值表查詢結果!$C$11:$F$68,4,0),-[4]整車!$B$22)</f>
        <v>0</v>
      </c>
      <c r="W130" s="422">
        <f>_xlfn.IFNA(VLOOKUP(A130,[6]進出口值表查詢結果!$C$11:$F$68,3,0),-[4]整車!$B$22)</f>
        <v>0</v>
      </c>
      <c r="X130" s="422">
        <f>_xlfn.IFNA(VLOOKUP(A130,[7]進出口值表查詢結果!$C$11:$F$68,4,0),-[4]整車!$B$22)</f>
        <v>0</v>
      </c>
      <c r="Y130" s="422">
        <f>_xlfn.IFNA(VLOOKUP(A130,[7]進出口值表查詢結果!$C$11:$F$68,3,0),-[4]整車!$B$22)</f>
        <v>0</v>
      </c>
      <c r="Z130" s="416">
        <f t="shared" si="22"/>
        <v>0</v>
      </c>
      <c r="AA130" s="416">
        <f t="shared" si="23"/>
        <v>0</v>
      </c>
    </row>
    <row r="131" spans="1:27">
      <c r="A131" s="459" t="s">
        <v>324</v>
      </c>
      <c r="B131" s="422"/>
      <c r="C131" s="422"/>
      <c r="D131" s="422"/>
      <c r="E131" s="422"/>
      <c r="F131" s="422">
        <v>0</v>
      </c>
      <c r="G131" s="422"/>
      <c r="H131" s="422">
        <v>0</v>
      </c>
      <c r="I131" s="422">
        <v>0</v>
      </c>
      <c r="J131" s="423" t="s">
        <v>59</v>
      </c>
      <c r="K131" s="426" t="s">
        <v>59</v>
      </c>
      <c r="L131" s="422">
        <v>0</v>
      </c>
      <c r="M131" s="422">
        <v>0</v>
      </c>
      <c r="N131" s="422">
        <v>0</v>
      </c>
      <c r="O131" s="422">
        <v>0</v>
      </c>
      <c r="P131" s="422">
        <v>0</v>
      </c>
      <c r="Q131" s="422">
        <v>0</v>
      </c>
      <c r="R131" s="422">
        <v>0</v>
      </c>
      <c r="S131" s="422">
        <v>0</v>
      </c>
      <c r="T131" s="422"/>
      <c r="U131" s="422"/>
      <c r="V131" s="422">
        <f>_xlfn.IFNA(VLOOKUP(A131,[6]進出口值表查詢結果!$C$11:$F$68,4,0),-[4]整車!$B$22)</f>
        <v>0</v>
      </c>
      <c r="W131" s="422">
        <f>_xlfn.IFNA(VLOOKUP(A131,[6]進出口值表查詢結果!$C$11:$F$68,3,0),-[4]整車!$B$22)</f>
        <v>0</v>
      </c>
      <c r="X131" s="422">
        <f>_xlfn.IFNA(VLOOKUP(A131,[7]進出口值表查詢結果!$C$11:$F$68,4,0),-[4]整車!$B$22)</f>
        <v>0</v>
      </c>
      <c r="Y131" s="422">
        <f>_xlfn.IFNA(VLOOKUP(A131,[7]進出口值表查詢結果!$C$11:$F$68,3,0),-[4]整車!$B$22)</f>
        <v>0</v>
      </c>
      <c r="Z131" s="416">
        <f t="shared" si="22"/>
        <v>0</v>
      </c>
      <c r="AA131" s="416">
        <f t="shared" si="23"/>
        <v>0</v>
      </c>
    </row>
    <row r="132" spans="1:27">
      <c r="A132" s="459" t="s">
        <v>325</v>
      </c>
      <c r="B132" s="422"/>
      <c r="C132" s="422"/>
      <c r="D132" s="422"/>
      <c r="E132" s="422"/>
      <c r="F132" s="422">
        <v>0</v>
      </c>
      <c r="G132" s="422"/>
      <c r="H132" s="422">
        <v>0</v>
      </c>
      <c r="I132" s="422">
        <v>0</v>
      </c>
      <c r="J132" s="423" t="s">
        <v>59</v>
      </c>
      <c r="K132" s="426" t="s">
        <v>59</v>
      </c>
      <c r="L132" s="422">
        <v>0</v>
      </c>
      <c r="M132" s="422">
        <v>0</v>
      </c>
      <c r="N132" s="422">
        <v>0</v>
      </c>
      <c r="O132" s="422">
        <v>0</v>
      </c>
      <c r="P132" s="422">
        <v>0</v>
      </c>
      <c r="Q132" s="422">
        <v>0</v>
      </c>
      <c r="R132" s="422">
        <v>0</v>
      </c>
      <c r="S132" s="422">
        <v>0</v>
      </c>
      <c r="T132" s="422"/>
      <c r="U132" s="422"/>
      <c r="V132" s="422">
        <f>_xlfn.IFNA(VLOOKUP(A132,[6]進出口值表查詢結果!$C$11:$F$68,4,0),-[4]整車!$B$22)</f>
        <v>0</v>
      </c>
      <c r="W132" s="422">
        <f>_xlfn.IFNA(VLOOKUP(A132,[6]進出口值表查詢結果!$C$11:$F$68,3,0),-[4]整車!$B$22)</f>
        <v>0</v>
      </c>
      <c r="X132" s="422">
        <f>_xlfn.IFNA(VLOOKUP(A132,[7]進出口值表查詢結果!$C$11:$F$68,4,0),-[4]整車!$B$22)</f>
        <v>0</v>
      </c>
      <c r="Y132" s="422">
        <f>_xlfn.IFNA(VLOOKUP(A132,[7]進出口值表查詢結果!$C$11:$F$68,3,0),-[4]整車!$B$22)</f>
        <v>0</v>
      </c>
      <c r="Z132" s="416">
        <f t="shared" si="22"/>
        <v>0</v>
      </c>
      <c r="AA132" s="416">
        <f t="shared" si="23"/>
        <v>0</v>
      </c>
    </row>
    <row r="133" spans="1:27">
      <c r="A133" s="459" t="s">
        <v>326</v>
      </c>
      <c r="B133" s="422"/>
      <c r="C133" s="422"/>
      <c r="D133" s="422"/>
      <c r="E133" s="422"/>
      <c r="F133" s="422">
        <v>0</v>
      </c>
      <c r="G133" s="422"/>
      <c r="H133" s="422">
        <v>0</v>
      </c>
      <c r="I133" s="422">
        <v>0</v>
      </c>
      <c r="J133" s="423" t="s">
        <v>59</v>
      </c>
      <c r="K133" s="426" t="s">
        <v>59</v>
      </c>
      <c r="L133" s="422">
        <v>0</v>
      </c>
      <c r="M133" s="422">
        <v>0</v>
      </c>
      <c r="N133" s="422">
        <v>0</v>
      </c>
      <c r="O133" s="422">
        <v>0</v>
      </c>
      <c r="P133" s="422">
        <v>0</v>
      </c>
      <c r="Q133" s="422">
        <v>0</v>
      </c>
      <c r="R133" s="422">
        <v>0</v>
      </c>
      <c r="S133" s="422">
        <v>0</v>
      </c>
      <c r="T133" s="422"/>
      <c r="U133" s="422"/>
      <c r="V133" s="422">
        <f>_xlfn.IFNA(VLOOKUP(A133,[6]進出口值表查詢結果!$C$11:$F$68,4,0),-[4]整車!$B$22)</f>
        <v>0</v>
      </c>
      <c r="W133" s="422">
        <f>_xlfn.IFNA(VLOOKUP(A133,[6]進出口值表查詢結果!$C$11:$F$68,3,0),-[4]整車!$B$22)</f>
        <v>0</v>
      </c>
      <c r="X133" s="422">
        <f>_xlfn.IFNA(VLOOKUP(A133,[7]進出口值表查詢結果!$C$11:$F$68,4,0),-[4]整車!$B$22)</f>
        <v>0</v>
      </c>
      <c r="Y133" s="422">
        <f>_xlfn.IFNA(VLOOKUP(A133,[7]進出口值表查詢結果!$C$11:$F$68,3,0),-[4]整車!$B$22)</f>
        <v>0</v>
      </c>
      <c r="Z133" s="416">
        <f t="shared" si="22"/>
        <v>0</v>
      </c>
      <c r="AA133" s="416">
        <f t="shared" si="23"/>
        <v>0</v>
      </c>
    </row>
    <row r="134" spans="1:27">
      <c r="A134" s="459" t="s">
        <v>327</v>
      </c>
      <c r="B134" s="422"/>
      <c r="C134" s="422"/>
      <c r="D134" s="422"/>
      <c r="E134" s="422"/>
      <c r="F134" s="422">
        <v>0</v>
      </c>
      <c r="G134" s="422"/>
      <c r="H134" s="422">
        <v>0</v>
      </c>
      <c r="I134" s="422">
        <v>0</v>
      </c>
      <c r="J134" s="423" t="s">
        <v>59</v>
      </c>
      <c r="K134" s="446" t="s">
        <v>59</v>
      </c>
      <c r="L134" s="422">
        <v>0</v>
      </c>
      <c r="M134" s="422">
        <v>0</v>
      </c>
      <c r="N134" s="422">
        <v>0</v>
      </c>
      <c r="O134" s="422">
        <v>0</v>
      </c>
      <c r="P134" s="422">
        <v>0</v>
      </c>
      <c r="Q134" s="422">
        <v>0</v>
      </c>
      <c r="R134" s="422">
        <v>0</v>
      </c>
      <c r="S134" s="422">
        <v>0</v>
      </c>
      <c r="T134" s="422"/>
      <c r="U134" s="422"/>
      <c r="V134" s="422">
        <f>_xlfn.IFNA(VLOOKUP(A134,[6]進出口值表查詢結果!$C$11:$F$68,4,0),-[4]整車!$B$22)</f>
        <v>0</v>
      </c>
      <c r="W134" s="422">
        <f>_xlfn.IFNA(VLOOKUP(A134,[6]進出口值表查詢結果!$C$11:$F$68,3,0),-[4]整車!$B$22)</f>
        <v>0</v>
      </c>
      <c r="X134" s="422">
        <f>_xlfn.IFNA(VLOOKUP(A134,[7]進出口值表查詢結果!$C$11:$F$68,4,0),-[4]整車!$B$22)</f>
        <v>0</v>
      </c>
      <c r="Y134" s="422">
        <f>_xlfn.IFNA(VLOOKUP(A134,[7]進出口值表查詢結果!$C$11:$F$68,3,0),-[4]整車!$B$22)</f>
        <v>0</v>
      </c>
      <c r="Z134" s="416">
        <f t="shared" si="22"/>
        <v>0</v>
      </c>
      <c r="AA134" s="416">
        <f t="shared" si="23"/>
        <v>0</v>
      </c>
    </row>
    <row r="135" spans="1:27">
      <c r="A135" s="425"/>
      <c r="B135" s="422"/>
      <c r="C135" s="422"/>
      <c r="D135" s="422"/>
      <c r="E135" s="422"/>
      <c r="F135" s="422"/>
      <c r="G135" s="422"/>
      <c r="H135" s="422"/>
      <c r="I135" s="422"/>
      <c r="J135" s="423"/>
      <c r="K135" s="424"/>
      <c r="L135" s="422"/>
      <c r="M135" s="422"/>
      <c r="N135" s="422"/>
      <c r="O135" s="422"/>
      <c r="P135" s="422"/>
      <c r="Q135" s="422"/>
      <c r="R135" s="422"/>
      <c r="S135" s="422"/>
      <c r="T135" s="422"/>
      <c r="U135" s="422"/>
      <c r="V135" s="422"/>
      <c r="W135" s="422"/>
      <c r="X135" s="422"/>
      <c r="Y135" s="422"/>
      <c r="Z135" s="416"/>
      <c r="AA135" s="416"/>
    </row>
    <row r="136" spans="1:27">
      <c r="A136" s="442" t="s">
        <v>145</v>
      </c>
      <c r="B136" s="443">
        <f t="shared" ref="B136:M136" si="24">SUM(B137:B150)</f>
        <v>391</v>
      </c>
      <c r="C136" s="443">
        <f t="shared" si="24"/>
        <v>601333</v>
      </c>
      <c r="D136" s="443">
        <f t="shared" si="24"/>
        <v>195</v>
      </c>
      <c r="E136" s="443">
        <f t="shared" si="24"/>
        <v>250399</v>
      </c>
      <c r="F136" s="443">
        <f t="shared" si="24"/>
        <v>714</v>
      </c>
      <c r="G136" s="443">
        <f t="shared" si="24"/>
        <v>599636</v>
      </c>
      <c r="H136" s="443">
        <f t="shared" si="24"/>
        <v>1024</v>
      </c>
      <c r="I136" s="443">
        <f t="shared" si="24"/>
        <v>190726</v>
      </c>
      <c r="J136" s="444">
        <f t="shared" si="24"/>
        <v>1213</v>
      </c>
      <c r="K136" s="445">
        <f t="shared" si="24"/>
        <v>446610</v>
      </c>
      <c r="L136" s="443">
        <f t="shared" si="24"/>
        <v>517</v>
      </c>
      <c r="M136" s="443">
        <f t="shared" si="24"/>
        <v>504422</v>
      </c>
      <c r="N136" s="443">
        <f>SUM(N137:N150)</f>
        <v>1680</v>
      </c>
      <c r="O136" s="443">
        <f>SUM(O137:O150)</f>
        <v>1034923</v>
      </c>
      <c r="P136" s="443">
        <f>SUM(P137:P149)</f>
        <v>1055</v>
      </c>
      <c r="Q136" s="443">
        <f>SUM(Q137:Q149)</f>
        <v>1060011</v>
      </c>
      <c r="R136" s="443">
        <f t="shared" ref="R136:Y136" si="25">SUM(R137:R150)</f>
        <v>1394</v>
      </c>
      <c r="S136" s="443">
        <f t="shared" si="25"/>
        <v>1001461</v>
      </c>
      <c r="T136" s="443">
        <f t="shared" si="25"/>
        <v>2073</v>
      </c>
      <c r="U136" s="443">
        <f t="shared" si="25"/>
        <v>1401961</v>
      </c>
      <c r="V136" s="443">
        <f>SUM(V137:V150)</f>
        <v>747</v>
      </c>
      <c r="W136" s="443">
        <f>SUM(W137:W150)</f>
        <v>547003</v>
      </c>
      <c r="X136" s="443">
        <f t="shared" si="25"/>
        <v>325</v>
      </c>
      <c r="Y136" s="443">
        <f t="shared" si="25"/>
        <v>457417</v>
      </c>
      <c r="Z136" s="429">
        <f t="shared" ref="Z136:Z167" si="26">SUM(B136,D136,F136,H136,J136,L136,N136,P136,R136,T136,V136,X136)</f>
        <v>11328</v>
      </c>
      <c r="AA136" s="429">
        <f t="shared" ref="AA136:AA167" si="27">SUM(C136,E136,G136,I136,K136,M136,O136,Q136,S136,U136,W136,Y136)</f>
        <v>8095902</v>
      </c>
    </row>
    <row r="137" spans="1:27">
      <c r="A137" s="464" t="s">
        <v>224</v>
      </c>
      <c r="B137" s="422">
        <v>7</v>
      </c>
      <c r="C137" s="422">
        <v>13229</v>
      </c>
      <c r="D137" s="422">
        <v>3</v>
      </c>
      <c r="E137" s="422">
        <v>2398</v>
      </c>
      <c r="F137" s="422">
        <v>74</v>
      </c>
      <c r="G137" s="422">
        <v>133887</v>
      </c>
      <c r="H137" s="422">
        <v>96</v>
      </c>
      <c r="I137" s="422">
        <v>168964</v>
      </c>
      <c r="J137" s="423"/>
      <c r="K137" s="424"/>
      <c r="L137" s="422">
        <v>198</v>
      </c>
      <c r="M137" s="422">
        <v>94268</v>
      </c>
      <c r="N137" s="422">
        <v>356</v>
      </c>
      <c r="O137" s="422">
        <v>453280</v>
      </c>
      <c r="P137" s="422">
        <v>591</v>
      </c>
      <c r="Q137" s="422">
        <v>597186</v>
      </c>
      <c r="R137" s="422">
        <v>397</v>
      </c>
      <c r="S137" s="422">
        <v>182473</v>
      </c>
      <c r="T137" s="422">
        <v>225</v>
      </c>
      <c r="U137" s="422">
        <v>224164</v>
      </c>
      <c r="V137" s="422">
        <f>_xlfn.IFNA(VLOOKUP(A137,[6]進出口值表查詢結果!$C$11:$F$68,4,0),-[4]整車!$B$22)</f>
        <v>121</v>
      </c>
      <c r="W137" s="422">
        <f>_xlfn.IFNA(VLOOKUP(A137,[6]進出口值表查詢結果!$C$11:$F$68,3,0),-[4]整車!$B$22)</f>
        <v>63501</v>
      </c>
      <c r="X137" s="422">
        <f>_xlfn.IFNA(VLOOKUP(A137,[7]進出口值表查詢結果!$C$11:$F$68,4,0),-[4]整車!$B$22)</f>
        <v>123</v>
      </c>
      <c r="Y137" s="422">
        <f>_xlfn.IFNA(VLOOKUP(A137,[7]進出口值表查詢結果!$C$11:$F$68,3,0),-[4]整車!$B$22)</f>
        <v>156263</v>
      </c>
      <c r="Z137" s="416">
        <f t="shared" si="26"/>
        <v>2191</v>
      </c>
      <c r="AA137" s="416">
        <f t="shared" si="27"/>
        <v>2089613</v>
      </c>
    </row>
    <row r="138" spans="1:27">
      <c r="A138" s="459" t="s">
        <v>168</v>
      </c>
      <c r="B138" s="422"/>
      <c r="C138" s="422"/>
      <c r="D138" s="422"/>
      <c r="E138" s="422"/>
      <c r="F138" s="422">
        <v>0</v>
      </c>
      <c r="G138" s="422"/>
      <c r="H138" s="422">
        <v>0</v>
      </c>
      <c r="I138" s="422">
        <v>0</v>
      </c>
      <c r="J138" s="423"/>
      <c r="K138" s="424"/>
      <c r="L138" s="422">
        <v>0</v>
      </c>
      <c r="M138" s="422">
        <v>0</v>
      </c>
      <c r="N138" s="422">
        <v>123</v>
      </c>
      <c r="O138" s="422">
        <v>61292</v>
      </c>
      <c r="P138" s="422">
        <v>0</v>
      </c>
      <c r="Q138" s="422">
        <v>0</v>
      </c>
      <c r="R138" s="422">
        <v>0</v>
      </c>
      <c r="S138" s="422">
        <v>0</v>
      </c>
      <c r="T138" s="422">
        <v>84</v>
      </c>
      <c r="U138" s="422">
        <v>105611</v>
      </c>
      <c r="V138" s="422">
        <f>_xlfn.IFNA(VLOOKUP(A138,[6]進出口值表查詢結果!$C$11:$F$68,4,0),-[4]整車!$B$22)</f>
        <v>68</v>
      </c>
      <c r="W138" s="422">
        <f>_xlfn.IFNA(VLOOKUP(A138,[6]進出口值表查詢結果!$C$11:$F$68,3,0),-[4]整車!$B$22)</f>
        <v>64056</v>
      </c>
      <c r="X138" s="422">
        <f>_xlfn.IFNA(VLOOKUP(A138,[7]進出口值表查詢結果!$C$11:$F$68,4,0),-[4]整車!$B$22)</f>
        <v>0</v>
      </c>
      <c r="Y138" s="422">
        <f>_xlfn.IFNA(VLOOKUP(A138,[7]進出口值表查詢結果!$C$11:$F$68,3,0),-[4]整車!$B$22)</f>
        <v>0</v>
      </c>
      <c r="Z138" s="416">
        <f t="shared" si="26"/>
        <v>275</v>
      </c>
      <c r="AA138" s="416">
        <f t="shared" si="27"/>
        <v>230959</v>
      </c>
    </row>
    <row r="139" spans="1:27">
      <c r="A139" s="459" t="s">
        <v>196</v>
      </c>
      <c r="B139" s="422">
        <v>280</v>
      </c>
      <c r="C139" s="422">
        <v>479573</v>
      </c>
      <c r="D139" s="422">
        <v>172</v>
      </c>
      <c r="E139" s="422">
        <v>228214</v>
      </c>
      <c r="F139" s="422">
        <v>600</v>
      </c>
      <c r="G139" s="422">
        <v>459244</v>
      </c>
      <c r="H139" s="422">
        <v>0</v>
      </c>
      <c r="I139" s="422">
        <v>0</v>
      </c>
      <c r="J139" s="423">
        <v>1213</v>
      </c>
      <c r="K139" s="424">
        <v>446610</v>
      </c>
      <c r="L139" s="422">
        <v>165</v>
      </c>
      <c r="M139" s="422">
        <v>220979</v>
      </c>
      <c r="N139" s="422">
        <v>339</v>
      </c>
      <c r="O139" s="422">
        <v>507640</v>
      </c>
      <c r="P139" s="422">
        <v>425</v>
      </c>
      <c r="Q139" s="422">
        <v>413046</v>
      </c>
      <c r="R139" s="422">
        <v>740</v>
      </c>
      <c r="S139" s="422">
        <v>667120</v>
      </c>
      <c r="T139" s="422">
        <v>1704</v>
      </c>
      <c r="U139" s="422">
        <v>1071291</v>
      </c>
      <c r="V139" s="422">
        <f>_xlfn.IFNA(VLOOKUP(A139,[6]進出口值表查詢結果!$C$11:$F$68,4,0),-[4]整車!$B$22)</f>
        <v>552</v>
      </c>
      <c r="W139" s="422">
        <f>_xlfn.IFNA(VLOOKUP(A139,[6]進出口值表查詢結果!$C$11:$F$68,3,0),-[4]整車!$B$22)</f>
        <v>411890</v>
      </c>
      <c r="X139" s="422">
        <f>_xlfn.IFNA(VLOOKUP(A139,[7]進出口值表查詢結果!$C$11:$F$68,4,0),-[4]整車!$B$22)</f>
        <v>108</v>
      </c>
      <c r="Y139" s="422">
        <f>_xlfn.IFNA(VLOOKUP(A139,[7]進出口值表查詢結果!$C$11:$F$68,3,0),-[4]整車!$B$22)</f>
        <v>192722</v>
      </c>
      <c r="Z139" s="416">
        <f t="shared" si="26"/>
        <v>6298</v>
      </c>
      <c r="AA139" s="416">
        <f t="shared" si="27"/>
        <v>5098329</v>
      </c>
    </row>
    <row r="140" spans="1:27">
      <c r="A140" s="459" t="s">
        <v>328</v>
      </c>
      <c r="B140" s="422"/>
      <c r="C140" s="422"/>
      <c r="D140" s="422"/>
      <c r="E140" s="422"/>
      <c r="F140" s="422">
        <v>0</v>
      </c>
      <c r="G140" s="422"/>
      <c r="H140" s="422">
        <v>0</v>
      </c>
      <c r="I140" s="422">
        <v>0</v>
      </c>
      <c r="J140" s="423"/>
      <c r="K140" s="424"/>
      <c r="L140" s="422">
        <v>0</v>
      </c>
      <c r="M140" s="422">
        <v>0</v>
      </c>
      <c r="N140" s="422">
        <v>0</v>
      </c>
      <c r="O140" s="422">
        <v>0</v>
      </c>
      <c r="P140" s="422">
        <v>0</v>
      </c>
      <c r="Q140" s="422">
        <v>0</v>
      </c>
      <c r="R140" s="422">
        <v>0</v>
      </c>
      <c r="S140" s="422">
        <v>0</v>
      </c>
      <c r="T140" s="422"/>
      <c r="U140" s="422"/>
      <c r="V140" s="422">
        <f>_xlfn.IFNA(VLOOKUP(A140,[6]進出口值表查詢結果!$C$11:$F$68,4,0),-[4]整車!$B$22)</f>
        <v>0</v>
      </c>
      <c r="W140" s="422">
        <f>_xlfn.IFNA(VLOOKUP(A140,[6]進出口值表查詢結果!$C$11:$F$68,3,0),-[4]整車!$B$22)</f>
        <v>0</v>
      </c>
      <c r="X140" s="422">
        <f>_xlfn.IFNA(VLOOKUP(A140,[7]進出口值表查詢結果!$C$11:$F$68,4,0),-[4]整車!$B$22)</f>
        <v>0</v>
      </c>
      <c r="Y140" s="422">
        <f>_xlfn.IFNA(VLOOKUP(A140,[7]進出口值表查詢結果!$C$11:$F$68,3,0),-[4]整車!$B$22)</f>
        <v>0</v>
      </c>
      <c r="Z140" s="416">
        <f t="shared" si="26"/>
        <v>0</v>
      </c>
      <c r="AA140" s="416">
        <f t="shared" si="27"/>
        <v>0</v>
      </c>
    </row>
    <row r="141" spans="1:27">
      <c r="A141" s="459" t="s">
        <v>329</v>
      </c>
      <c r="B141" s="422"/>
      <c r="C141" s="422"/>
      <c r="D141" s="422"/>
      <c r="E141" s="422"/>
      <c r="F141" s="422">
        <v>0</v>
      </c>
      <c r="G141" s="422"/>
      <c r="H141" s="422">
        <v>0</v>
      </c>
      <c r="I141" s="422">
        <v>0</v>
      </c>
      <c r="J141" s="423"/>
      <c r="K141" s="424"/>
      <c r="L141" s="422">
        <v>0</v>
      </c>
      <c r="M141" s="422">
        <v>0</v>
      </c>
      <c r="N141" s="422">
        <v>0</v>
      </c>
      <c r="O141" s="422">
        <v>0</v>
      </c>
      <c r="P141" s="422">
        <v>0</v>
      </c>
      <c r="Q141" s="422">
        <v>0</v>
      </c>
      <c r="R141" s="422">
        <v>0</v>
      </c>
      <c r="S141" s="422">
        <v>0</v>
      </c>
      <c r="T141" s="422"/>
      <c r="U141" s="422"/>
      <c r="V141" s="422">
        <f>_xlfn.IFNA(VLOOKUP(A141,[6]進出口值表查詢結果!$C$11:$F$68,4,0),-[4]整車!$B$22)</f>
        <v>0</v>
      </c>
      <c r="W141" s="422">
        <f>_xlfn.IFNA(VLOOKUP(A141,[6]進出口值表查詢結果!$C$11:$F$68,3,0),-[4]整車!$B$22)</f>
        <v>0</v>
      </c>
      <c r="X141" s="422">
        <f>_xlfn.IFNA(VLOOKUP(A141,[7]進出口值表查詢結果!$C$11:$F$68,4,0),-[4]整車!$B$22)</f>
        <v>0</v>
      </c>
      <c r="Y141" s="422">
        <f>_xlfn.IFNA(VLOOKUP(A141,[7]進出口值表查詢結果!$C$11:$F$68,3,0),-[4]整車!$B$22)</f>
        <v>0</v>
      </c>
      <c r="Z141" s="416">
        <f t="shared" si="26"/>
        <v>0</v>
      </c>
      <c r="AA141" s="416">
        <f t="shared" si="27"/>
        <v>0</v>
      </c>
    </row>
    <row r="142" spans="1:27">
      <c r="A142" s="459" t="s">
        <v>330</v>
      </c>
      <c r="B142" s="422">
        <v>77</v>
      </c>
      <c r="C142" s="422">
        <v>80740</v>
      </c>
      <c r="D142" s="422"/>
      <c r="E142" s="422"/>
      <c r="F142" s="422">
        <v>40</v>
      </c>
      <c r="G142" s="422">
        <v>6505</v>
      </c>
      <c r="H142" s="422">
        <v>0</v>
      </c>
      <c r="I142" s="422">
        <v>0</v>
      </c>
      <c r="J142" s="423"/>
      <c r="K142" s="424"/>
      <c r="L142" s="422">
        <v>101</v>
      </c>
      <c r="M142" s="422">
        <v>139946</v>
      </c>
      <c r="N142" s="422">
        <v>0</v>
      </c>
      <c r="O142" s="422">
        <v>0</v>
      </c>
      <c r="P142" s="422">
        <v>0</v>
      </c>
      <c r="Q142" s="422">
        <v>0</v>
      </c>
      <c r="R142" s="422">
        <v>0</v>
      </c>
      <c r="S142" s="422">
        <v>0</v>
      </c>
      <c r="T142" s="422"/>
      <c r="U142" s="422"/>
      <c r="V142" s="422">
        <f>_xlfn.IFNA(VLOOKUP(A142,[6]進出口值表查詢結果!$C$11:$F$68,4,0),-[4]整車!$B$22)</f>
        <v>0</v>
      </c>
      <c r="W142" s="422">
        <f>_xlfn.IFNA(VLOOKUP(A142,[6]進出口值表查詢結果!$C$11:$F$68,3,0),-[4]整車!$B$22)</f>
        <v>0</v>
      </c>
      <c r="X142" s="422">
        <f>_xlfn.IFNA(VLOOKUP(A142,[7]進出口值表查詢結果!$C$11:$F$68,4,0),-[4]整車!$B$22)</f>
        <v>94</v>
      </c>
      <c r="Y142" s="422">
        <f>_xlfn.IFNA(VLOOKUP(A142,[7]進出口值表查詢結果!$C$11:$F$68,3,0),-[4]整車!$B$22)</f>
        <v>108432</v>
      </c>
      <c r="Z142" s="416">
        <f t="shared" si="26"/>
        <v>312</v>
      </c>
      <c r="AA142" s="416">
        <f t="shared" si="27"/>
        <v>335623</v>
      </c>
    </row>
    <row r="143" spans="1:27">
      <c r="A143" s="459" t="s">
        <v>331</v>
      </c>
      <c r="B143" s="422"/>
      <c r="C143" s="422"/>
      <c r="D143" s="422"/>
      <c r="E143" s="422"/>
      <c r="F143" s="422">
        <v>0</v>
      </c>
      <c r="G143" s="422"/>
      <c r="H143" s="422">
        <v>0</v>
      </c>
      <c r="I143" s="422">
        <v>0</v>
      </c>
      <c r="J143" s="423"/>
      <c r="K143" s="424"/>
      <c r="L143" s="422">
        <v>25</v>
      </c>
      <c r="M143" s="422">
        <v>25972</v>
      </c>
      <c r="N143" s="422">
        <v>2</v>
      </c>
      <c r="O143" s="422">
        <v>3989</v>
      </c>
      <c r="P143" s="422">
        <v>6</v>
      </c>
      <c r="Q143" s="422">
        <v>5727</v>
      </c>
      <c r="R143" s="422">
        <v>5</v>
      </c>
      <c r="S143" s="422">
        <v>5843</v>
      </c>
      <c r="T143" s="422"/>
      <c r="U143" s="422"/>
      <c r="V143" s="422">
        <f>_xlfn.IFNA(VLOOKUP(A143,[6]進出口值表查詢結果!$C$11:$F$68,4,0),-[4]整車!$B$22)</f>
        <v>6</v>
      </c>
      <c r="W143" s="422">
        <f>_xlfn.IFNA(VLOOKUP(A143,[6]進出口值表查詢結果!$C$11:$F$68,3,0),-[4]整車!$B$22)</f>
        <v>7556</v>
      </c>
      <c r="X143" s="422">
        <f>_xlfn.IFNA(VLOOKUP(A143,[7]進出口值表查詢結果!$C$11:$F$68,4,0),-[4]整車!$B$22)</f>
        <v>0</v>
      </c>
      <c r="Y143" s="422">
        <f>_xlfn.IFNA(VLOOKUP(A143,[7]進出口值表查詢結果!$C$11:$F$68,3,0),-[4]整車!$B$22)</f>
        <v>0</v>
      </c>
      <c r="Z143" s="416">
        <f t="shared" si="26"/>
        <v>44</v>
      </c>
      <c r="AA143" s="416">
        <f t="shared" si="27"/>
        <v>49087</v>
      </c>
    </row>
    <row r="144" spans="1:27">
      <c r="A144" s="459" t="s">
        <v>332</v>
      </c>
      <c r="B144" s="422"/>
      <c r="C144" s="422"/>
      <c r="D144" s="422"/>
      <c r="E144" s="422"/>
      <c r="F144" s="422">
        <v>0</v>
      </c>
      <c r="G144" s="422"/>
      <c r="H144" s="422">
        <v>0</v>
      </c>
      <c r="I144" s="422">
        <v>0</v>
      </c>
      <c r="J144" s="423"/>
      <c r="K144" s="424"/>
      <c r="L144" s="422">
        <v>0</v>
      </c>
      <c r="M144" s="422">
        <v>0</v>
      </c>
      <c r="N144" s="422">
        <v>0</v>
      </c>
      <c r="O144" s="422">
        <v>0</v>
      </c>
      <c r="P144" s="422">
        <v>0</v>
      </c>
      <c r="Q144" s="422">
        <v>0</v>
      </c>
      <c r="R144" s="422">
        <v>0</v>
      </c>
      <c r="S144" s="422">
        <v>0</v>
      </c>
      <c r="T144" s="422"/>
      <c r="U144" s="422"/>
      <c r="V144" s="422">
        <f>_xlfn.IFNA(VLOOKUP(A144,[6]進出口值表查詢結果!$C$11:$F$68,4,0),-[4]整車!$B$22)</f>
        <v>0</v>
      </c>
      <c r="W144" s="422">
        <f>_xlfn.IFNA(VLOOKUP(A144,[6]進出口值表查詢結果!$C$11:$F$68,3,0),-[4]整車!$B$22)</f>
        <v>0</v>
      </c>
      <c r="X144" s="422">
        <f>_xlfn.IFNA(VLOOKUP(A144,[7]進出口值表查詢結果!$C$11:$F$68,4,0),-[4]整車!$B$22)</f>
        <v>0</v>
      </c>
      <c r="Y144" s="422">
        <f>_xlfn.IFNA(VLOOKUP(A144,[7]進出口值表查詢結果!$C$11:$F$68,3,0),-[4]整車!$B$22)</f>
        <v>0</v>
      </c>
      <c r="Z144" s="416">
        <f t="shared" si="26"/>
        <v>0</v>
      </c>
      <c r="AA144" s="416">
        <f t="shared" si="27"/>
        <v>0</v>
      </c>
    </row>
    <row r="145" spans="1:27">
      <c r="A145" s="459" t="s">
        <v>333</v>
      </c>
      <c r="B145" s="422"/>
      <c r="C145" s="422"/>
      <c r="D145" s="422">
        <v>20</v>
      </c>
      <c r="E145" s="422">
        <v>19787</v>
      </c>
      <c r="F145" s="422">
        <v>0</v>
      </c>
      <c r="G145" s="422"/>
      <c r="H145" s="422">
        <v>0</v>
      </c>
      <c r="I145" s="422">
        <v>0</v>
      </c>
      <c r="J145" s="423"/>
      <c r="K145" s="424"/>
      <c r="L145" s="422">
        <v>0</v>
      </c>
      <c r="M145" s="422">
        <v>0</v>
      </c>
      <c r="N145" s="422">
        <v>0</v>
      </c>
      <c r="O145" s="422">
        <v>0</v>
      </c>
      <c r="P145" s="422">
        <v>0</v>
      </c>
      <c r="Q145" s="422">
        <v>0</v>
      </c>
      <c r="R145" s="422">
        <v>0</v>
      </c>
      <c r="S145" s="422">
        <v>0</v>
      </c>
      <c r="T145" s="422"/>
      <c r="U145" s="422"/>
      <c r="V145" s="422">
        <f>_xlfn.IFNA(VLOOKUP(A145,[6]進出口值表查詢結果!$C$11:$F$68,4,0),-[4]整車!$B$22)</f>
        <v>0</v>
      </c>
      <c r="W145" s="422">
        <f>_xlfn.IFNA(VLOOKUP(A145,[6]進出口值表查詢結果!$C$11:$F$68,3,0),-[4]整車!$B$22)</f>
        <v>0</v>
      </c>
      <c r="X145" s="422">
        <f>_xlfn.IFNA(VLOOKUP(A145,[7]進出口值表查詢結果!$C$11:$F$68,4,0),-[4]整車!$B$22)</f>
        <v>0</v>
      </c>
      <c r="Y145" s="422">
        <f>_xlfn.IFNA(VLOOKUP(A145,[7]進出口值表查詢結果!$C$11:$F$68,3,0),-[4]整車!$B$22)</f>
        <v>0</v>
      </c>
      <c r="Z145" s="416">
        <f t="shared" si="26"/>
        <v>20</v>
      </c>
      <c r="AA145" s="416">
        <f t="shared" si="27"/>
        <v>19787</v>
      </c>
    </row>
    <row r="146" spans="1:27">
      <c r="A146" s="459" t="s">
        <v>334</v>
      </c>
      <c r="B146" s="422"/>
      <c r="C146" s="422"/>
      <c r="D146" s="422"/>
      <c r="E146" s="422"/>
      <c r="F146" s="422">
        <v>0</v>
      </c>
      <c r="G146" s="422"/>
      <c r="H146" s="422">
        <v>0</v>
      </c>
      <c r="I146" s="422">
        <v>0</v>
      </c>
      <c r="J146" s="423"/>
      <c r="K146" s="424"/>
      <c r="L146" s="422">
        <v>0</v>
      </c>
      <c r="M146" s="422">
        <v>0</v>
      </c>
      <c r="N146" s="422">
        <v>0</v>
      </c>
      <c r="O146" s="422">
        <v>0</v>
      </c>
      <c r="P146" s="422">
        <v>0</v>
      </c>
      <c r="Q146" s="422">
        <v>0</v>
      </c>
      <c r="R146" s="422">
        <v>0</v>
      </c>
      <c r="S146" s="422">
        <v>0</v>
      </c>
      <c r="T146" s="422"/>
      <c r="U146" s="422"/>
      <c r="V146" s="422">
        <f>_xlfn.IFNA(VLOOKUP(A146,[6]進出口值表查詢結果!$C$11:$F$68,4,0),-[4]整車!$B$22)</f>
        <v>0</v>
      </c>
      <c r="W146" s="422">
        <f>_xlfn.IFNA(VLOOKUP(A146,[6]進出口值表查詢結果!$C$11:$F$68,3,0),-[4]整車!$B$22)</f>
        <v>0</v>
      </c>
      <c r="X146" s="422">
        <f>_xlfn.IFNA(VLOOKUP(A146,[7]進出口值表查詢結果!$C$11:$F$68,4,0),-[4]整車!$B$22)</f>
        <v>0</v>
      </c>
      <c r="Y146" s="422">
        <f>_xlfn.IFNA(VLOOKUP(A146,[7]進出口值表查詢結果!$C$11:$F$68,3,0),-[4]整車!$B$22)</f>
        <v>0</v>
      </c>
      <c r="Z146" s="416">
        <f t="shared" si="26"/>
        <v>0</v>
      </c>
      <c r="AA146" s="416">
        <f t="shared" si="27"/>
        <v>0</v>
      </c>
    </row>
    <row r="147" spans="1:27">
      <c r="A147" s="459" t="s">
        <v>335</v>
      </c>
      <c r="B147" s="422">
        <v>27</v>
      </c>
      <c r="C147" s="422">
        <v>27791</v>
      </c>
      <c r="D147" s="422"/>
      <c r="E147" s="422"/>
      <c r="F147" s="422">
        <v>0</v>
      </c>
      <c r="G147" s="422"/>
      <c r="H147" s="422">
        <v>16</v>
      </c>
      <c r="I147" s="422">
        <v>12686</v>
      </c>
      <c r="J147" s="423"/>
      <c r="K147" s="424"/>
      <c r="L147" s="422">
        <v>28</v>
      </c>
      <c r="M147" s="422">
        <v>23257</v>
      </c>
      <c r="N147" s="422">
        <v>0</v>
      </c>
      <c r="O147" s="422">
        <v>0</v>
      </c>
      <c r="P147" s="422">
        <v>33</v>
      </c>
      <c r="Q147" s="422">
        <v>44052</v>
      </c>
      <c r="R147" s="422">
        <v>252</v>
      </c>
      <c r="S147" s="422">
        <v>146025</v>
      </c>
      <c r="T147" s="422"/>
      <c r="U147" s="422"/>
      <c r="V147" s="422">
        <f>_xlfn.IFNA(VLOOKUP(A147,[6]進出口值表查詢結果!$C$11:$F$68,4,0),-[4]整車!$B$22)</f>
        <v>0</v>
      </c>
      <c r="W147" s="422">
        <f>_xlfn.IFNA(VLOOKUP(A147,[6]進出口值表查詢結果!$C$11:$F$68,3,0),-[4]整車!$B$22)</f>
        <v>0</v>
      </c>
      <c r="X147" s="422">
        <f>_xlfn.IFNA(VLOOKUP(A147,[7]進出口值表查詢結果!$C$11:$F$68,4,0),-[4]整車!$B$22)</f>
        <v>0</v>
      </c>
      <c r="Y147" s="422">
        <f>_xlfn.IFNA(VLOOKUP(A147,[7]進出口值表查詢結果!$C$11:$F$68,3,0),-[4]整車!$B$22)</f>
        <v>0</v>
      </c>
      <c r="Z147" s="416">
        <f t="shared" si="26"/>
        <v>356</v>
      </c>
      <c r="AA147" s="416">
        <f t="shared" si="27"/>
        <v>253811</v>
      </c>
    </row>
    <row r="148" spans="1:27">
      <c r="A148" s="459" t="s">
        <v>336</v>
      </c>
      <c r="B148" s="422"/>
      <c r="C148" s="422"/>
      <c r="D148" s="422"/>
      <c r="E148" s="422"/>
      <c r="F148" s="422">
        <v>0</v>
      </c>
      <c r="G148" s="422"/>
      <c r="H148" s="422">
        <v>0</v>
      </c>
      <c r="I148" s="422">
        <v>0</v>
      </c>
      <c r="J148" s="423"/>
      <c r="K148" s="424"/>
      <c r="L148" s="422">
        <v>0</v>
      </c>
      <c r="M148" s="422">
        <v>0</v>
      </c>
      <c r="N148" s="422">
        <v>0</v>
      </c>
      <c r="O148" s="422">
        <v>0</v>
      </c>
      <c r="P148" s="422">
        <v>0</v>
      </c>
      <c r="Q148" s="422">
        <v>0</v>
      </c>
      <c r="R148" s="422">
        <v>0</v>
      </c>
      <c r="S148" s="422">
        <v>0</v>
      </c>
      <c r="T148" s="422"/>
      <c r="U148" s="422"/>
      <c r="V148" s="422">
        <f>_xlfn.IFNA(VLOOKUP(A148,[6]進出口值表查詢結果!$C$11:$F$68,4,0),-[4]整車!$B$22)</f>
        <v>0</v>
      </c>
      <c r="W148" s="422">
        <f>_xlfn.IFNA(VLOOKUP(A148,[6]進出口值表查詢結果!$C$11:$F$68,3,0),-[4]整車!$B$22)</f>
        <v>0</v>
      </c>
      <c r="X148" s="422">
        <f>_xlfn.IFNA(VLOOKUP(A148,[7]進出口值表查詢結果!$C$11:$F$68,4,0),-[4]整車!$B$22)</f>
        <v>0</v>
      </c>
      <c r="Y148" s="422">
        <f>_xlfn.IFNA(VLOOKUP(A148,[7]進出口值表查詢結果!$C$11:$F$68,3,0),-[4]整車!$B$22)</f>
        <v>0</v>
      </c>
      <c r="Z148" s="416">
        <f t="shared" si="26"/>
        <v>0</v>
      </c>
      <c r="AA148" s="416">
        <f t="shared" si="27"/>
        <v>0</v>
      </c>
    </row>
    <row r="149" spans="1:27">
      <c r="A149" s="459" t="s">
        <v>337</v>
      </c>
      <c r="B149" s="422"/>
      <c r="C149" s="422"/>
      <c r="D149" s="422"/>
      <c r="E149" s="422"/>
      <c r="F149" s="422">
        <v>0</v>
      </c>
      <c r="G149" s="422"/>
      <c r="H149" s="422">
        <v>0</v>
      </c>
      <c r="I149" s="422">
        <v>0</v>
      </c>
      <c r="J149" s="423"/>
      <c r="K149" s="424"/>
      <c r="L149" s="422">
        <v>0</v>
      </c>
      <c r="M149" s="422">
        <v>0</v>
      </c>
      <c r="N149" s="422">
        <v>0</v>
      </c>
      <c r="O149" s="422">
        <v>0</v>
      </c>
      <c r="P149" s="422">
        <v>0</v>
      </c>
      <c r="Q149" s="422">
        <v>0</v>
      </c>
      <c r="R149" s="422">
        <v>0</v>
      </c>
      <c r="S149" s="422">
        <v>0</v>
      </c>
      <c r="T149" s="422"/>
      <c r="U149" s="422"/>
      <c r="V149" s="422">
        <f>_xlfn.IFNA(VLOOKUP(A149,[6]進出口值表查詢結果!$C$11:$F$68,4,0),-[4]整車!$B$22)</f>
        <v>0</v>
      </c>
      <c r="W149" s="422">
        <f>_xlfn.IFNA(VLOOKUP(A149,[6]進出口值表查詢結果!$C$11:$F$68,3,0),-[4]整車!$B$22)</f>
        <v>0</v>
      </c>
      <c r="X149" s="422">
        <f>_xlfn.IFNA(VLOOKUP(A149,[7]進出口值表查詢結果!$C$11:$F$68,4,0),-[4]整車!$B$22)</f>
        <v>0</v>
      </c>
      <c r="Y149" s="422">
        <f>_xlfn.IFNA(VLOOKUP(A149,[7]進出口值表查詢結果!$C$11:$F$68,3,0),-[4]整車!$B$22)</f>
        <v>0</v>
      </c>
      <c r="Z149" s="416">
        <f t="shared" si="26"/>
        <v>0</v>
      </c>
      <c r="AA149" s="416">
        <f t="shared" si="27"/>
        <v>0</v>
      </c>
    </row>
    <row r="150" spans="1:27">
      <c r="A150" s="459" t="s">
        <v>338</v>
      </c>
      <c r="B150" s="422"/>
      <c r="C150" s="422"/>
      <c r="D150" s="422"/>
      <c r="E150" s="422"/>
      <c r="F150" s="422">
        <v>0</v>
      </c>
      <c r="G150" s="422"/>
      <c r="H150" s="422">
        <v>912</v>
      </c>
      <c r="I150" s="422">
        <v>9076</v>
      </c>
      <c r="J150" s="423"/>
      <c r="K150" s="424"/>
      <c r="L150" s="422">
        <v>0</v>
      </c>
      <c r="M150" s="422">
        <v>0</v>
      </c>
      <c r="N150" s="422">
        <v>860</v>
      </c>
      <c r="O150" s="422">
        <v>8722</v>
      </c>
      <c r="P150" s="422">
        <v>0</v>
      </c>
      <c r="Q150" s="422">
        <v>0</v>
      </c>
      <c r="R150" s="422">
        <v>0</v>
      </c>
      <c r="S150" s="422">
        <v>0</v>
      </c>
      <c r="T150" s="422">
        <v>60</v>
      </c>
      <c r="U150" s="422">
        <v>895</v>
      </c>
      <c r="V150" s="422">
        <f>_xlfn.IFNA(VLOOKUP(A150,[6]進出口值表查詢結果!$C$11:$F$68,4,0),-[4]整車!$B$22)</f>
        <v>0</v>
      </c>
      <c r="W150" s="422">
        <f>_xlfn.IFNA(VLOOKUP(A150,[6]進出口值表查詢結果!$C$11:$F$68,3,0),-[4]整車!$B$22)</f>
        <v>0</v>
      </c>
      <c r="X150" s="422">
        <f>_xlfn.IFNA(VLOOKUP(A150,[7]進出口值表查詢結果!$C$11:$F$68,4,0),-[4]整車!$B$22)</f>
        <v>0</v>
      </c>
      <c r="Y150" s="422">
        <f>_xlfn.IFNA(VLOOKUP(A150,[7]進出口值表查詢結果!$C$11:$F$68,3,0),-[4]整車!$B$22)</f>
        <v>0</v>
      </c>
      <c r="Z150" s="416">
        <f t="shared" si="26"/>
        <v>1832</v>
      </c>
      <c r="AA150" s="416">
        <f t="shared" si="27"/>
        <v>18693</v>
      </c>
    </row>
    <row r="151" spans="1:27">
      <c r="A151" s="465" t="s">
        <v>339</v>
      </c>
      <c r="B151" s="443">
        <f t="shared" ref="B151:Y151" si="28">SUM(B152:B188)</f>
        <v>438</v>
      </c>
      <c r="C151" s="443">
        <f t="shared" si="28"/>
        <v>697135</v>
      </c>
      <c r="D151" s="443">
        <f t="shared" si="28"/>
        <v>255</v>
      </c>
      <c r="E151" s="443">
        <f t="shared" si="28"/>
        <v>237208</v>
      </c>
      <c r="F151" s="443">
        <f t="shared" si="28"/>
        <v>115</v>
      </c>
      <c r="G151" s="443">
        <f t="shared" si="28"/>
        <v>139562</v>
      </c>
      <c r="H151" s="443">
        <f t="shared" si="28"/>
        <v>86</v>
      </c>
      <c r="I151" s="443">
        <f t="shared" si="28"/>
        <v>117092</v>
      </c>
      <c r="J151" s="444">
        <f t="shared" si="28"/>
        <v>613</v>
      </c>
      <c r="K151" s="445">
        <f>SUM(K152:K188)</f>
        <v>1036854</v>
      </c>
      <c r="L151" s="443">
        <f t="shared" si="28"/>
        <v>427</v>
      </c>
      <c r="M151" s="443">
        <f t="shared" si="28"/>
        <v>494605</v>
      </c>
      <c r="N151" s="443">
        <f t="shared" si="28"/>
        <v>849</v>
      </c>
      <c r="O151" s="443">
        <f t="shared" si="28"/>
        <v>1256457</v>
      </c>
      <c r="P151" s="443">
        <f t="shared" si="28"/>
        <v>1223</v>
      </c>
      <c r="Q151" s="443">
        <f t="shared" si="28"/>
        <v>669332</v>
      </c>
      <c r="R151" s="443">
        <f t="shared" si="28"/>
        <v>709</v>
      </c>
      <c r="S151" s="443">
        <f t="shared" si="28"/>
        <v>987195</v>
      </c>
      <c r="T151" s="443">
        <f t="shared" si="28"/>
        <v>318</v>
      </c>
      <c r="U151" s="443">
        <f t="shared" si="28"/>
        <v>309983</v>
      </c>
      <c r="V151" s="443">
        <f>SUM(V152:V188)</f>
        <v>638</v>
      </c>
      <c r="W151" s="443">
        <f>SUM(W152:W188)</f>
        <v>766517</v>
      </c>
      <c r="X151" s="443">
        <f t="shared" si="28"/>
        <v>526</v>
      </c>
      <c r="Y151" s="443">
        <f t="shared" si="28"/>
        <v>550560</v>
      </c>
      <c r="Z151" s="429">
        <f t="shared" si="26"/>
        <v>6197</v>
      </c>
      <c r="AA151" s="429">
        <f t="shared" si="27"/>
        <v>7262500</v>
      </c>
    </row>
    <row r="152" spans="1:27">
      <c r="A152" s="459" t="s">
        <v>185</v>
      </c>
      <c r="B152" s="422">
        <v>384</v>
      </c>
      <c r="C152" s="422">
        <v>666044</v>
      </c>
      <c r="D152" s="422">
        <v>225</v>
      </c>
      <c r="E152" s="422">
        <v>237041</v>
      </c>
      <c r="F152" s="422">
        <v>111</v>
      </c>
      <c r="G152" s="422">
        <v>136011</v>
      </c>
      <c r="H152" s="422">
        <v>36</v>
      </c>
      <c r="I152" s="422">
        <v>67009</v>
      </c>
      <c r="J152" s="423">
        <v>449</v>
      </c>
      <c r="K152" s="424">
        <v>996359</v>
      </c>
      <c r="L152" s="422">
        <v>306</v>
      </c>
      <c r="M152" s="422">
        <v>433512</v>
      </c>
      <c r="N152" s="422">
        <v>849</v>
      </c>
      <c r="O152" s="422">
        <v>1256457</v>
      </c>
      <c r="P152" s="422">
        <v>395</v>
      </c>
      <c r="Q152" s="422">
        <v>604709</v>
      </c>
      <c r="R152" s="422">
        <v>684</v>
      </c>
      <c r="S152" s="422">
        <v>986787</v>
      </c>
      <c r="T152" s="422">
        <v>211</v>
      </c>
      <c r="U152" s="422">
        <v>279759</v>
      </c>
      <c r="V152" s="422">
        <f>_xlfn.IFNA(VLOOKUP(A152,[6]進出口值表查詢結果!$C$11:$F$68,4,0),-[4]整車!$B$22)</f>
        <v>506</v>
      </c>
      <c r="W152" s="422">
        <f>_xlfn.IFNA(VLOOKUP(A152,[6]進出口值表查詢結果!$C$11:$F$68,3,0),-[4]整車!$B$22)</f>
        <v>630607</v>
      </c>
      <c r="X152" s="422">
        <f>_xlfn.IFNA(VLOOKUP(A152,[7]進出口值表查詢結果!$C$11:$F$68,4,0),-[4]整車!$B$22)</f>
        <v>360</v>
      </c>
      <c r="Y152" s="422">
        <f>_xlfn.IFNA(VLOOKUP(A152,[7]進出口值表查詢結果!$C$11:$F$68,3,0),-[4]整車!$B$22)</f>
        <v>482820</v>
      </c>
      <c r="Z152" s="416">
        <f t="shared" si="26"/>
        <v>4516</v>
      </c>
      <c r="AA152" s="416">
        <f t="shared" si="27"/>
        <v>6777115</v>
      </c>
    </row>
    <row r="153" spans="1:27">
      <c r="A153" s="459" t="s">
        <v>341</v>
      </c>
      <c r="B153" s="422">
        <v>1</v>
      </c>
      <c r="C153" s="422">
        <v>2333</v>
      </c>
      <c r="D153" s="422"/>
      <c r="E153" s="422"/>
      <c r="F153" s="422">
        <v>0</v>
      </c>
      <c r="G153" s="422"/>
      <c r="H153" s="422">
        <v>15</v>
      </c>
      <c r="I153" s="422">
        <v>19675</v>
      </c>
      <c r="J153" s="423">
        <v>39</v>
      </c>
      <c r="K153" s="424">
        <v>39292</v>
      </c>
      <c r="L153" s="422">
        <v>0</v>
      </c>
      <c r="M153" s="422">
        <v>0</v>
      </c>
      <c r="N153" s="422">
        <v>0</v>
      </c>
      <c r="O153" s="422">
        <v>0</v>
      </c>
      <c r="P153" s="422">
        <v>0</v>
      </c>
      <c r="Q153" s="422">
        <v>0</v>
      </c>
      <c r="R153" s="422">
        <v>0</v>
      </c>
      <c r="S153" s="422">
        <v>0</v>
      </c>
      <c r="T153" s="422"/>
      <c r="U153" s="422"/>
      <c r="V153" s="422">
        <f>_xlfn.IFNA(VLOOKUP(A153,[6]進出口值表查詢結果!$C$11:$F$68,4,0),-[4]整車!$B$22)</f>
        <v>132</v>
      </c>
      <c r="W153" s="422">
        <f>_xlfn.IFNA(VLOOKUP(A153,[6]進出口值表查詢結果!$C$11:$F$68,3,0),-[4]整車!$B$22)</f>
        <v>135910</v>
      </c>
      <c r="X153" s="422">
        <f>_xlfn.IFNA(VLOOKUP(A153,[7]進出口值表查詢結果!$C$11:$F$68,4,0),-[4]整車!$B$22)</f>
        <v>0</v>
      </c>
      <c r="Y153" s="422">
        <f>_xlfn.IFNA(VLOOKUP(A153,[7]進出口值表查詢結果!$C$11:$F$68,3,0),-[4]整車!$B$22)</f>
        <v>0</v>
      </c>
      <c r="Z153" s="416">
        <f t="shared" si="26"/>
        <v>187</v>
      </c>
      <c r="AA153" s="416">
        <f t="shared" si="27"/>
        <v>197210</v>
      </c>
    </row>
    <row r="154" spans="1:27">
      <c r="A154" s="459" t="s">
        <v>342</v>
      </c>
      <c r="B154" s="422"/>
      <c r="C154" s="422"/>
      <c r="D154" s="422"/>
      <c r="E154" s="422"/>
      <c r="F154" s="422">
        <v>0</v>
      </c>
      <c r="G154" s="422"/>
      <c r="H154" s="422">
        <v>0</v>
      </c>
      <c r="I154" s="422">
        <v>0</v>
      </c>
      <c r="J154" s="423"/>
      <c r="K154" s="424"/>
      <c r="L154" s="422">
        <v>0</v>
      </c>
      <c r="M154" s="422">
        <v>0</v>
      </c>
      <c r="N154" s="422">
        <v>0</v>
      </c>
      <c r="O154" s="422">
        <v>0</v>
      </c>
      <c r="P154" s="422">
        <v>0</v>
      </c>
      <c r="Q154" s="422">
        <v>0</v>
      </c>
      <c r="R154" s="422">
        <v>0</v>
      </c>
      <c r="S154" s="422">
        <v>0</v>
      </c>
      <c r="T154" s="422"/>
      <c r="U154" s="422"/>
      <c r="V154" s="422">
        <f>_xlfn.IFNA(VLOOKUP(A154,[6]進出口值表查詢結果!$C$11:$F$68,4,0),-[4]整車!$B$22)</f>
        <v>0</v>
      </c>
      <c r="W154" s="422">
        <f>_xlfn.IFNA(VLOOKUP(A154,[6]進出口值表查詢結果!$C$11:$F$68,3,0),-[4]整車!$B$22)</f>
        <v>0</v>
      </c>
      <c r="X154" s="422">
        <f>_xlfn.IFNA(VLOOKUP(A154,[7]進出口值表查詢結果!$C$11:$F$68,4,0),-[4]整車!$B$22)</f>
        <v>0</v>
      </c>
      <c r="Y154" s="422">
        <f>_xlfn.IFNA(VLOOKUP(A154,[7]進出口值表查詢結果!$C$11:$F$68,3,0),-[4]整車!$B$22)</f>
        <v>0</v>
      </c>
      <c r="Z154" s="416">
        <f t="shared" si="26"/>
        <v>0</v>
      </c>
      <c r="AA154" s="416">
        <f t="shared" si="27"/>
        <v>0</v>
      </c>
    </row>
    <row r="155" spans="1:27">
      <c r="A155" s="459" t="s">
        <v>343</v>
      </c>
      <c r="B155" s="422"/>
      <c r="C155" s="422"/>
      <c r="D155" s="422"/>
      <c r="E155" s="422"/>
      <c r="F155" s="422">
        <v>0</v>
      </c>
      <c r="G155" s="422"/>
      <c r="H155" s="422">
        <v>0</v>
      </c>
      <c r="I155" s="422">
        <v>0</v>
      </c>
      <c r="J155" s="423"/>
      <c r="K155" s="424"/>
      <c r="L155" s="422">
        <v>0</v>
      </c>
      <c r="M155" s="422">
        <v>0</v>
      </c>
      <c r="N155" s="422">
        <v>0</v>
      </c>
      <c r="O155" s="422">
        <v>0</v>
      </c>
      <c r="P155" s="422">
        <v>0</v>
      </c>
      <c r="Q155" s="422">
        <v>0</v>
      </c>
      <c r="R155" s="422">
        <v>0</v>
      </c>
      <c r="S155" s="422">
        <v>0</v>
      </c>
      <c r="T155" s="422"/>
      <c r="U155" s="422"/>
      <c r="V155" s="422">
        <f>_xlfn.IFNA(VLOOKUP(A155,[6]進出口值表查詢結果!$C$11:$F$68,4,0),-[4]整車!$B$22)</f>
        <v>0</v>
      </c>
      <c r="W155" s="422">
        <f>_xlfn.IFNA(VLOOKUP(A155,[6]進出口值表查詢結果!$C$11:$F$68,3,0),-[4]整車!$B$22)</f>
        <v>0</v>
      </c>
      <c r="X155" s="422">
        <f>_xlfn.IFNA(VLOOKUP(A155,[7]進出口值表查詢結果!$C$11:$F$68,4,0),-[4]整車!$B$22)</f>
        <v>0</v>
      </c>
      <c r="Y155" s="422">
        <f>_xlfn.IFNA(VLOOKUP(A155,[7]進出口值表查詢結果!$C$11:$F$68,3,0),-[4]整車!$B$22)</f>
        <v>0</v>
      </c>
      <c r="Z155" s="416">
        <f t="shared" si="26"/>
        <v>0</v>
      </c>
      <c r="AA155" s="416">
        <f t="shared" si="27"/>
        <v>0</v>
      </c>
    </row>
    <row r="156" spans="1:27">
      <c r="A156" s="459" t="s">
        <v>200</v>
      </c>
      <c r="B156" s="422"/>
      <c r="C156" s="422"/>
      <c r="D156" s="422"/>
      <c r="E156" s="422"/>
      <c r="F156" s="422">
        <v>0</v>
      </c>
      <c r="G156" s="422"/>
      <c r="H156" s="422">
        <v>0</v>
      </c>
      <c r="I156" s="422">
        <v>0</v>
      </c>
      <c r="J156" s="423"/>
      <c r="K156" s="424"/>
      <c r="L156" s="422">
        <v>0</v>
      </c>
      <c r="M156" s="422">
        <v>0</v>
      </c>
      <c r="N156" s="422">
        <v>0</v>
      </c>
      <c r="O156" s="422">
        <v>0</v>
      </c>
      <c r="P156" s="422">
        <v>0</v>
      </c>
      <c r="Q156" s="422">
        <v>0</v>
      </c>
      <c r="R156" s="422">
        <v>0</v>
      </c>
      <c r="S156" s="422">
        <v>0</v>
      </c>
      <c r="T156" s="422"/>
      <c r="U156" s="422"/>
      <c r="V156" s="422">
        <f>_xlfn.IFNA(VLOOKUP(A156,[6]進出口值表查詢結果!$C$11:$F$68,4,0),-[4]整車!$B$22)</f>
        <v>0</v>
      </c>
      <c r="W156" s="422">
        <f>_xlfn.IFNA(VLOOKUP(A156,[6]進出口值表查詢結果!$C$11:$F$68,3,0),-[4]整車!$B$22)</f>
        <v>0</v>
      </c>
      <c r="X156" s="422">
        <f>_xlfn.IFNA(VLOOKUP(A156,[7]進出口值表查詢結果!$C$11:$F$68,4,0),-[4]整車!$B$22)</f>
        <v>0</v>
      </c>
      <c r="Y156" s="422">
        <f>_xlfn.IFNA(VLOOKUP(A156,[7]進出口值表查詢結果!$C$11:$F$68,3,0),-[4]整車!$B$22)</f>
        <v>0</v>
      </c>
      <c r="Z156" s="416">
        <f t="shared" si="26"/>
        <v>0</v>
      </c>
      <c r="AA156" s="416">
        <f t="shared" si="27"/>
        <v>0</v>
      </c>
    </row>
    <row r="157" spans="1:27">
      <c r="A157" s="459" t="s">
        <v>344</v>
      </c>
      <c r="B157" s="422"/>
      <c r="C157" s="422"/>
      <c r="D157" s="422"/>
      <c r="E157" s="422"/>
      <c r="F157" s="422">
        <v>0</v>
      </c>
      <c r="G157" s="422"/>
      <c r="H157" s="422">
        <v>0</v>
      </c>
      <c r="I157" s="422">
        <v>0</v>
      </c>
      <c r="J157" s="423"/>
      <c r="K157" s="424"/>
      <c r="L157" s="422">
        <v>0</v>
      </c>
      <c r="M157" s="422">
        <v>0</v>
      </c>
      <c r="N157" s="422">
        <v>0</v>
      </c>
      <c r="O157" s="422">
        <v>0</v>
      </c>
      <c r="P157" s="422">
        <v>113</v>
      </c>
      <c r="Q157" s="422">
        <v>610</v>
      </c>
      <c r="R157" s="422">
        <v>25</v>
      </c>
      <c r="S157" s="422">
        <v>408</v>
      </c>
      <c r="T157" s="422">
        <v>56</v>
      </c>
      <c r="U157" s="422">
        <v>448</v>
      </c>
      <c r="V157" s="422">
        <f>_xlfn.IFNA(VLOOKUP(A157,[6]進出口值表查詢結果!$C$11:$F$68,4,0),-[4]整車!$B$22)</f>
        <v>0</v>
      </c>
      <c r="W157" s="422">
        <f>_xlfn.IFNA(VLOOKUP(A157,[6]進出口值表查詢結果!$C$11:$F$68,3,0),-[4]整車!$B$22)</f>
        <v>0</v>
      </c>
      <c r="X157" s="422">
        <f>_xlfn.IFNA(VLOOKUP(A157,[7]進出口值表查詢結果!$C$11:$F$75,4,0),-[4]整車!$B$22)</f>
        <v>6</v>
      </c>
      <c r="Y157" s="422">
        <f>_xlfn.IFNA(VLOOKUP(A157,[7]進出口值表查詢結果!$C$11:$F$75,3,0),-[4]整車!$B$22)</f>
        <v>175</v>
      </c>
      <c r="Z157" s="416">
        <f t="shared" si="26"/>
        <v>200</v>
      </c>
      <c r="AA157" s="416">
        <f t="shared" si="27"/>
        <v>1641</v>
      </c>
    </row>
    <row r="158" spans="1:27">
      <c r="A158" s="459" t="s">
        <v>345</v>
      </c>
      <c r="B158" s="422"/>
      <c r="C158" s="422"/>
      <c r="D158" s="422"/>
      <c r="E158" s="422"/>
      <c r="F158" s="422">
        <v>0</v>
      </c>
      <c r="G158" s="422"/>
      <c r="H158" s="422">
        <v>0</v>
      </c>
      <c r="I158" s="422">
        <v>0</v>
      </c>
      <c r="J158" s="423"/>
      <c r="K158" s="424"/>
      <c r="L158" s="422">
        <v>0</v>
      </c>
      <c r="M158" s="422">
        <v>0</v>
      </c>
      <c r="N158" s="422">
        <v>0</v>
      </c>
      <c r="O158" s="422">
        <v>0</v>
      </c>
      <c r="P158" s="422">
        <v>0</v>
      </c>
      <c r="Q158" s="422">
        <v>0</v>
      </c>
      <c r="R158" s="422">
        <v>0</v>
      </c>
      <c r="S158" s="422">
        <v>0</v>
      </c>
      <c r="T158" s="422"/>
      <c r="U158" s="422"/>
      <c r="V158" s="422">
        <f>_xlfn.IFNA(VLOOKUP(A158,[6]進出口值表查詢結果!$C$11:$F$68,4,0),-[4]整車!$B$22)</f>
        <v>0</v>
      </c>
      <c r="W158" s="422">
        <f>_xlfn.IFNA(VLOOKUP(A158,[6]進出口值表查詢結果!$C$11:$F$68,3,0),-[4]整車!$B$22)</f>
        <v>0</v>
      </c>
      <c r="X158" s="422">
        <f>_xlfn.IFNA(VLOOKUP(A158,[7]進出口值表查詢結果!$C$11:$F$75,4,0),-[4]整車!$B$22)</f>
        <v>0</v>
      </c>
      <c r="Y158" s="422">
        <f>_xlfn.IFNA(VLOOKUP(A158,[7]進出口值表查詢結果!$C$11:$F$75,3,0),-[4]整車!$B$22)</f>
        <v>0</v>
      </c>
      <c r="Z158" s="416">
        <f t="shared" si="26"/>
        <v>0</v>
      </c>
      <c r="AA158" s="416">
        <f t="shared" si="27"/>
        <v>0</v>
      </c>
    </row>
    <row r="159" spans="1:27">
      <c r="A159" s="459" t="s">
        <v>346</v>
      </c>
      <c r="B159" s="422"/>
      <c r="C159" s="422"/>
      <c r="D159" s="422"/>
      <c r="E159" s="422"/>
      <c r="F159" s="422">
        <v>0</v>
      </c>
      <c r="G159" s="422"/>
      <c r="H159" s="422">
        <v>0</v>
      </c>
      <c r="I159" s="422">
        <v>0</v>
      </c>
      <c r="J159" s="423"/>
      <c r="K159" s="424"/>
      <c r="L159" s="422">
        <v>0</v>
      </c>
      <c r="M159" s="422">
        <v>0</v>
      </c>
      <c r="N159" s="422">
        <v>0</v>
      </c>
      <c r="O159" s="422">
        <v>0</v>
      </c>
      <c r="P159" s="422">
        <v>0</v>
      </c>
      <c r="Q159" s="422">
        <v>0</v>
      </c>
      <c r="R159" s="422">
        <v>0</v>
      </c>
      <c r="S159" s="422">
        <v>0</v>
      </c>
      <c r="T159" s="422"/>
      <c r="U159" s="422"/>
      <c r="V159" s="422">
        <f>_xlfn.IFNA(VLOOKUP(A159,[6]進出口值表查詢結果!$C$11:$F$68,4,0),-[4]整車!$B$22)</f>
        <v>0</v>
      </c>
      <c r="W159" s="422">
        <f>_xlfn.IFNA(VLOOKUP(A159,[6]進出口值表查詢結果!$C$11:$F$68,3,0),-[4]整車!$B$22)</f>
        <v>0</v>
      </c>
      <c r="X159" s="422">
        <f>_xlfn.IFNA(VLOOKUP(A159,[7]進出口值表查詢結果!$C$11:$F$75,4,0),-[4]整車!$B$22)</f>
        <v>0</v>
      </c>
      <c r="Y159" s="422">
        <f>_xlfn.IFNA(VLOOKUP(A159,[7]進出口值表查詢結果!$C$11:$F$75,3,0),-[4]整車!$B$22)</f>
        <v>0</v>
      </c>
      <c r="Z159" s="416">
        <f t="shared" si="26"/>
        <v>0</v>
      </c>
      <c r="AA159" s="416">
        <f t="shared" si="27"/>
        <v>0</v>
      </c>
    </row>
    <row r="160" spans="1:27">
      <c r="A160" s="459" t="s">
        <v>347</v>
      </c>
      <c r="B160" s="422"/>
      <c r="C160" s="422"/>
      <c r="D160" s="422"/>
      <c r="E160" s="422"/>
      <c r="F160" s="422">
        <v>4</v>
      </c>
      <c r="G160" s="422">
        <v>3551</v>
      </c>
      <c r="H160" s="422">
        <v>0</v>
      </c>
      <c r="I160" s="422">
        <v>0</v>
      </c>
      <c r="J160" s="423"/>
      <c r="K160" s="424"/>
      <c r="L160" s="422">
        <v>0</v>
      </c>
      <c r="M160" s="422">
        <v>0</v>
      </c>
      <c r="N160" s="422">
        <v>0</v>
      </c>
      <c r="O160" s="422">
        <v>0</v>
      </c>
      <c r="P160" s="422">
        <v>155</v>
      </c>
      <c r="Q160" s="422">
        <v>20061</v>
      </c>
      <c r="R160" s="422">
        <v>0</v>
      </c>
      <c r="S160" s="422">
        <v>0</v>
      </c>
      <c r="T160" s="422"/>
      <c r="U160" s="422"/>
      <c r="V160" s="422">
        <f>_xlfn.IFNA(VLOOKUP(A160,[6]進出口值表查詢結果!$C$11:$F$68,4,0),-[4]整車!$B$22)</f>
        <v>0</v>
      </c>
      <c r="W160" s="422">
        <f>_xlfn.IFNA(VLOOKUP(A160,[6]進出口值表查詢結果!$C$11:$F$68,3,0),-[4]整車!$B$22)</f>
        <v>0</v>
      </c>
      <c r="X160" s="422">
        <f>_xlfn.IFNA(VLOOKUP(A160,[7]進出口值表查詢結果!$C$11:$F$75,4,0),-[4]整車!$B$22)</f>
        <v>0</v>
      </c>
      <c r="Y160" s="422">
        <f>_xlfn.IFNA(VLOOKUP(A160,[7]進出口值表查詢結果!$C$11:$F$75,3,0),-[4]整車!$B$22)</f>
        <v>0</v>
      </c>
      <c r="Z160" s="416">
        <f t="shared" si="26"/>
        <v>159</v>
      </c>
      <c r="AA160" s="416">
        <f t="shared" si="27"/>
        <v>23612</v>
      </c>
    </row>
    <row r="161" spans="1:27">
      <c r="A161" s="459" t="s">
        <v>348</v>
      </c>
      <c r="B161" s="422">
        <v>17</v>
      </c>
      <c r="C161" s="422">
        <v>28291</v>
      </c>
      <c r="D161" s="422"/>
      <c r="E161" s="422"/>
      <c r="F161" s="422">
        <v>0</v>
      </c>
      <c r="G161" s="422"/>
      <c r="H161" s="422">
        <v>35</v>
      </c>
      <c r="I161" s="422">
        <v>30408</v>
      </c>
      <c r="J161" s="423"/>
      <c r="K161" s="424"/>
      <c r="L161" s="422">
        <v>39</v>
      </c>
      <c r="M161" s="422">
        <v>54290</v>
      </c>
      <c r="N161" s="422">
        <v>0</v>
      </c>
      <c r="O161" s="422">
        <v>0</v>
      </c>
      <c r="P161" s="422">
        <v>36</v>
      </c>
      <c r="Q161" s="422">
        <v>38326</v>
      </c>
      <c r="R161" s="422">
        <v>0</v>
      </c>
      <c r="S161" s="422">
        <v>0</v>
      </c>
      <c r="T161" s="422">
        <v>41</v>
      </c>
      <c r="U161" s="422">
        <v>29673</v>
      </c>
      <c r="V161" s="422">
        <f>_xlfn.IFNA(VLOOKUP(A161,[6]進出口值表查詢結果!$C$11:$F$68,4,0),-[4]整車!$B$22)</f>
        <v>0</v>
      </c>
      <c r="W161" s="422">
        <f>_xlfn.IFNA(VLOOKUP(A161,[6]進出口值表查詢結果!$C$11:$F$68,3,0),-[4]整車!$B$22)</f>
        <v>0</v>
      </c>
      <c r="X161" s="422">
        <f>_xlfn.IFNA(VLOOKUP(A161,[7]進出口值表查詢結果!$C$11:$F$75,4,0),-[4]整車!$B$22)</f>
        <v>50</v>
      </c>
      <c r="Y161" s="422">
        <f>_xlfn.IFNA(VLOOKUP(A161,[7]進出口值表查詢結果!$C$11:$F$75,3,0),-[4]整車!$B$22)</f>
        <v>63646</v>
      </c>
      <c r="Z161" s="416">
        <f t="shared" si="26"/>
        <v>218</v>
      </c>
      <c r="AA161" s="416">
        <f t="shared" si="27"/>
        <v>244634</v>
      </c>
    </row>
    <row r="162" spans="1:27">
      <c r="A162" s="459" t="s">
        <v>349</v>
      </c>
      <c r="B162" s="422"/>
      <c r="C162" s="422"/>
      <c r="D162" s="422"/>
      <c r="E162" s="422"/>
      <c r="F162" s="422">
        <v>0</v>
      </c>
      <c r="G162" s="422"/>
      <c r="H162" s="422">
        <v>0</v>
      </c>
      <c r="I162" s="422">
        <v>0</v>
      </c>
      <c r="J162" s="423">
        <v>5</v>
      </c>
      <c r="K162" s="424">
        <v>802</v>
      </c>
      <c r="L162" s="422">
        <v>0</v>
      </c>
      <c r="M162" s="422">
        <v>0</v>
      </c>
      <c r="N162" s="422">
        <v>0</v>
      </c>
      <c r="O162" s="422">
        <v>0</v>
      </c>
      <c r="P162" s="422">
        <v>0</v>
      </c>
      <c r="Q162" s="422">
        <v>0</v>
      </c>
      <c r="R162" s="422">
        <v>0</v>
      </c>
      <c r="S162" s="422">
        <v>0</v>
      </c>
      <c r="T162" s="422"/>
      <c r="U162" s="422"/>
      <c r="V162" s="422">
        <f>_xlfn.IFNA(VLOOKUP(A162,[6]進出口值表查詢結果!$C$11:$F$68,4,0),-[4]整車!$B$22)</f>
        <v>0</v>
      </c>
      <c r="W162" s="422">
        <f>_xlfn.IFNA(VLOOKUP(A162,[6]進出口值表查詢結果!$C$11:$F$68,3,0),-[4]整車!$B$22)</f>
        <v>0</v>
      </c>
      <c r="X162" s="422">
        <f>_xlfn.IFNA(VLOOKUP(A162,[7]進出口值表查詢結果!$C$11:$F$75,4,0),-[4]整車!$B$22)</f>
        <v>0</v>
      </c>
      <c r="Y162" s="422">
        <f>_xlfn.IFNA(VLOOKUP(A162,[7]進出口值表查詢結果!$C$11:$F$75,3,0),-[4]整車!$B$22)</f>
        <v>0</v>
      </c>
      <c r="Z162" s="416">
        <f t="shared" si="26"/>
        <v>5</v>
      </c>
      <c r="AA162" s="416">
        <f t="shared" si="27"/>
        <v>802</v>
      </c>
    </row>
    <row r="163" spans="1:27">
      <c r="A163" s="459" t="s">
        <v>350</v>
      </c>
      <c r="B163" s="422"/>
      <c r="C163" s="422"/>
      <c r="D163" s="422"/>
      <c r="E163" s="422"/>
      <c r="F163" s="422">
        <v>0</v>
      </c>
      <c r="G163" s="422"/>
      <c r="H163" s="422">
        <v>0</v>
      </c>
      <c r="I163" s="422">
        <v>0</v>
      </c>
      <c r="J163" s="423">
        <v>120</v>
      </c>
      <c r="K163" s="424">
        <v>401</v>
      </c>
      <c r="L163" s="422">
        <v>82</v>
      </c>
      <c r="M163" s="422">
        <v>6803</v>
      </c>
      <c r="N163" s="422">
        <v>0</v>
      </c>
      <c r="O163" s="422">
        <v>0</v>
      </c>
      <c r="P163" s="422">
        <v>512</v>
      </c>
      <c r="Q163" s="422">
        <v>5219</v>
      </c>
      <c r="R163" s="422">
        <v>0</v>
      </c>
      <c r="S163" s="422">
        <v>0</v>
      </c>
      <c r="T163" s="422"/>
      <c r="U163" s="422"/>
      <c r="V163" s="422">
        <f>_xlfn.IFNA(VLOOKUP(A163,[6]進出口值表查詢結果!$C$11:$F$68,4,0),-[4]整車!$B$22)</f>
        <v>0</v>
      </c>
      <c r="W163" s="422">
        <f>_xlfn.IFNA(VLOOKUP(A163,[6]進出口值表查詢結果!$C$11:$F$68,3,0),-[4]整車!$B$22)</f>
        <v>0</v>
      </c>
      <c r="X163" s="422">
        <f>_xlfn.IFNA(VLOOKUP(A163,[7]進出口值表查詢結果!$C$11:$F$75,4,0),-[4]整車!$B$22)</f>
        <v>0</v>
      </c>
      <c r="Y163" s="422">
        <f>_xlfn.IFNA(VLOOKUP(A163,[7]進出口值表查詢結果!$C$11:$F$75,3,0),-[4]整車!$B$22)</f>
        <v>0</v>
      </c>
      <c r="Z163" s="416">
        <f t="shared" si="26"/>
        <v>714</v>
      </c>
      <c r="AA163" s="416">
        <f t="shared" si="27"/>
        <v>12423</v>
      </c>
    </row>
    <row r="164" spans="1:27">
      <c r="A164" s="459" t="s">
        <v>351</v>
      </c>
      <c r="B164" s="422"/>
      <c r="C164" s="422"/>
      <c r="D164" s="422"/>
      <c r="E164" s="422"/>
      <c r="F164" s="422">
        <v>0</v>
      </c>
      <c r="G164" s="422"/>
      <c r="H164" s="422">
        <v>0</v>
      </c>
      <c r="I164" s="422">
        <v>0</v>
      </c>
      <c r="J164" s="423"/>
      <c r="K164" s="424"/>
      <c r="L164" s="422">
        <v>0</v>
      </c>
      <c r="M164" s="422">
        <v>0</v>
      </c>
      <c r="N164" s="422">
        <v>0</v>
      </c>
      <c r="O164" s="422">
        <v>0</v>
      </c>
      <c r="P164" s="422">
        <v>0</v>
      </c>
      <c r="Q164" s="422">
        <v>0</v>
      </c>
      <c r="R164" s="422">
        <v>0</v>
      </c>
      <c r="S164" s="422">
        <v>0</v>
      </c>
      <c r="T164" s="422"/>
      <c r="U164" s="422"/>
      <c r="V164" s="422">
        <f>_xlfn.IFNA(VLOOKUP(A164,[6]進出口值表查詢結果!$C$11:$F$68,4,0),-[4]整車!$B$22)</f>
        <v>0</v>
      </c>
      <c r="W164" s="422">
        <f>_xlfn.IFNA(VLOOKUP(A164,[6]進出口值表查詢結果!$C$11:$F$68,3,0),-[4]整車!$B$22)</f>
        <v>0</v>
      </c>
      <c r="X164" s="422">
        <f>_xlfn.IFNA(VLOOKUP(A164,[7]進出口值表查詢結果!$C$11:$F$75,4,0),-[4]整車!$B$22)</f>
        <v>0</v>
      </c>
      <c r="Y164" s="422">
        <f>_xlfn.IFNA(VLOOKUP(A164,[7]進出口值表查詢結果!$C$11:$F$75,3,0),-[4]整車!$B$22)</f>
        <v>0</v>
      </c>
      <c r="Z164" s="416">
        <f t="shared" si="26"/>
        <v>0</v>
      </c>
      <c r="AA164" s="416">
        <f t="shared" si="27"/>
        <v>0</v>
      </c>
    </row>
    <row r="165" spans="1:27">
      <c r="A165" s="459" t="s">
        <v>352</v>
      </c>
      <c r="B165" s="422"/>
      <c r="C165" s="422"/>
      <c r="D165" s="422"/>
      <c r="E165" s="422"/>
      <c r="F165" s="422">
        <v>0</v>
      </c>
      <c r="G165" s="422"/>
      <c r="H165" s="422">
        <v>0</v>
      </c>
      <c r="I165" s="422">
        <v>0</v>
      </c>
      <c r="J165" s="423"/>
      <c r="K165" s="424"/>
      <c r="L165" s="422">
        <v>0</v>
      </c>
      <c r="M165" s="422">
        <v>0</v>
      </c>
      <c r="N165" s="422">
        <v>0</v>
      </c>
      <c r="O165" s="422">
        <v>0</v>
      </c>
      <c r="P165" s="422">
        <v>0</v>
      </c>
      <c r="Q165" s="422">
        <v>0</v>
      </c>
      <c r="R165" s="422">
        <v>0</v>
      </c>
      <c r="S165" s="422">
        <v>0</v>
      </c>
      <c r="T165" s="422"/>
      <c r="U165" s="422"/>
      <c r="V165" s="422">
        <f>_xlfn.IFNA(VLOOKUP(A165,[6]進出口值表查詢結果!$C$11:$F$68,4,0),-[4]整車!$B$22)</f>
        <v>0</v>
      </c>
      <c r="W165" s="422">
        <f>_xlfn.IFNA(VLOOKUP(A165,[6]進出口值表查詢結果!$C$11:$F$68,3,0),-[4]整車!$B$22)</f>
        <v>0</v>
      </c>
      <c r="X165" s="422">
        <f>_xlfn.IFNA(VLOOKUP(A165,[7]進出口值表查詢結果!$C$11:$F$75,4,0),-[4]整車!$B$22)</f>
        <v>0</v>
      </c>
      <c r="Y165" s="422">
        <f>_xlfn.IFNA(VLOOKUP(A165,[7]進出口值表查詢結果!$C$11:$F$75,3,0),-[4]整車!$B$22)</f>
        <v>0</v>
      </c>
      <c r="Z165" s="416">
        <f t="shared" si="26"/>
        <v>0</v>
      </c>
      <c r="AA165" s="416">
        <f t="shared" si="27"/>
        <v>0</v>
      </c>
    </row>
    <row r="166" spans="1:27">
      <c r="A166" s="459" t="s">
        <v>353</v>
      </c>
      <c r="B166" s="422"/>
      <c r="C166" s="422"/>
      <c r="D166" s="422"/>
      <c r="E166" s="422"/>
      <c r="F166" s="422">
        <v>0</v>
      </c>
      <c r="G166" s="422"/>
      <c r="H166" s="422">
        <v>0</v>
      </c>
      <c r="I166" s="422">
        <v>0</v>
      </c>
      <c r="J166" s="423"/>
      <c r="K166" s="424"/>
      <c r="L166" s="422">
        <v>0</v>
      </c>
      <c r="M166" s="422">
        <v>0</v>
      </c>
      <c r="N166" s="422">
        <v>0</v>
      </c>
      <c r="O166" s="422">
        <v>0</v>
      </c>
      <c r="P166" s="422">
        <v>0</v>
      </c>
      <c r="Q166" s="422">
        <v>0</v>
      </c>
      <c r="R166" s="422">
        <v>0</v>
      </c>
      <c r="S166" s="422">
        <v>0</v>
      </c>
      <c r="T166" s="422"/>
      <c r="U166" s="422"/>
      <c r="V166" s="422">
        <f>_xlfn.IFNA(VLOOKUP(A166,[6]進出口值表查詢結果!$C$11:$F$68,4,0),-[4]整車!$B$22)</f>
        <v>0</v>
      </c>
      <c r="W166" s="422">
        <f>_xlfn.IFNA(VLOOKUP(A166,[6]進出口值表查詢結果!$C$11:$F$68,3,0),-[4]整車!$B$22)</f>
        <v>0</v>
      </c>
      <c r="X166" s="422">
        <f>_xlfn.IFNA(VLOOKUP(A166,[7]進出口值表查詢結果!$C$11:$F$75,4,0),-[4]整車!$B$22)</f>
        <v>0</v>
      </c>
      <c r="Y166" s="422">
        <f>_xlfn.IFNA(VLOOKUP(A166,[7]進出口值表查詢結果!$C$11:$F$75,3,0),-[4]整車!$B$22)</f>
        <v>0</v>
      </c>
      <c r="Z166" s="416">
        <f t="shared" si="26"/>
        <v>0</v>
      </c>
      <c r="AA166" s="416">
        <f t="shared" si="27"/>
        <v>0</v>
      </c>
    </row>
    <row r="167" spans="1:27">
      <c r="A167" s="459" t="s">
        <v>354</v>
      </c>
      <c r="B167" s="422"/>
      <c r="C167" s="422"/>
      <c r="D167" s="422"/>
      <c r="E167" s="422"/>
      <c r="F167" s="422">
        <v>0</v>
      </c>
      <c r="G167" s="422"/>
      <c r="H167" s="422">
        <v>0</v>
      </c>
      <c r="I167" s="422">
        <v>0</v>
      </c>
      <c r="J167" s="423"/>
      <c r="K167" s="424"/>
      <c r="L167" s="422">
        <v>0</v>
      </c>
      <c r="M167" s="422">
        <v>0</v>
      </c>
      <c r="N167" s="422">
        <v>0</v>
      </c>
      <c r="O167" s="422">
        <v>0</v>
      </c>
      <c r="P167" s="422">
        <v>0</v>
      </c>
      <c r="Q167" s="422">
        <v>0</v>
      </c>
      <c r="R167" s="422">
        <v>0</v>
      </c>
      <c r="S167" s="422">
        <v>0</v>
      </c>
      <c r="T167" s="422"/>
      <c r="U167" s="422"/>
      <c r="V167" s="422">
        <f>_xlfn.IFNA(VLOOKUP(A167,[6]進出口值表查詢結果!$C$11:$F$68,4,0),-[4]整車!$B$22)</f>
        <v>0</v>
      </c>
      <c r="W167" s="422">
        <f>_xlfn.IFNA(VLOOKUP(A167,[6]進出口值表查詢結果!$C$11:$F$68,3,0),-[4]整車!$B$22)</f>
        <v>0</v>
      </c>
      <c r="X167" s="422">
        <f>_xlfn.IFNA(VLOOKUP(A167,[7]進出口值表查詢結果!$C$11:$F$75,4,0),-[4]整車!$B$22)</f>
        <v>0</v>
      </c>
      <c r="Y167" s="422">
        <f>_xlfn.IFNA(VLOOKUP(A167,[7]進出口值表查詢結果!$C$11:$F$75,3,0),-[4]整車!$B$22)</f>
        <v>0</v>
      </c>
      <c r="Z167" s="416">
        <f t="shared" si="26"/>
        <v>0</v>
      </c>
      <c r="AA167" s="416">
        <f t="shared" si="27"/>
        <v>0</v>
      </c>
    </row>
    <row r="168" spans="1:27">
      <c r="A168" s="459" t="s">
        <v>355</v>
      </c>
      <c r="B168" s="422">
        <v>30</v>
      </c>
      <c r="C168" s="422">
        <v>67</v>
      </c>
      <c r="D168" s="422">
        <v>30</v>
      </c>
      <c r="E168" s="422">
        <v>167</v>
      </c>
      <c r="F168" s="422">
        <v>0</v>
      </c>
      <c r="G168" s="422"/>
      <c r="H168" s="422">
        <v>0</v>
      </c>
      <c r="I168" s="422">
        <v>0</v>
      </c>
      <c r="J168" s="423"/>
      <c r="K168" s="424"/>
      <c r="L168" s="422">
        <v>0</v>
      </c>
      <c r="M168" s="422">
        <v>0</v>
      </c>
      <c r="N168" s="422">
        <v>0</v>
      </c>
      <c r="O168" s="422">
        <v>0</v>
      </c>
      <c r="P168" s="422">
        <v>0</v>
      </c>
      <c r="Q168" s="422">
        <v>0</v>
      </c>
      <c r="R168" s="422">
        <v>0</v>
      </c>
      <c r="S168" s="422">
        <v>0</v>
      </c>
      <c r="T168" s="422">
        <v>10</v>
      </c>
      <c r="U168" s="422">
        <v>103</v>
      </c>
      <c r="V168" s="422">
        <f>_xlfn.IFNA(VLOOKUP(A168,[6]進出口值表查詢結果!$C$11:$F$68,4,0),-[4]整車!$B$22)</f>
        <v>0</v>
      </c>
      <c r="W168" s="422">
        <f>_xlfn.IFNA(VLOOKUP(A168,[6]進出口值表查詢結果!$C$11:$F$68,3,0),-[4]整車!$B$22)</f>
        <v>0</v>
      </c>
      <c r="X168" s="422">
        <f>_xlfn.IFNA(VLOOKUP(A168,[7]進出口值表查詢結果!$C$11:$F$75,4,0),-[4]整車!$B$22)</f>
        <v>0</v>
      </c>
      <c r="Y168" s="422">
        <f>_xlfn.IFNA(VLOOKUP(A168,[7]進出口值表查詢結果!$C$11:$F$75,3,0),-[4]整車!$B$22)</f>
        <v>0</v>
      </c>
      <c r="Z168" s="416">
        <f t="shared" ref="Z168:Z185" si="29">SUM(B168,D168,F168,H168,J168,L168,N168,P168,R168,T168,V168,X168)</f>
        <v>70</v>
      </c>
      <c r="AA168" s="416">
        <f t="shared" ref="AA168:AA185" si="30">SUM(C168,E168,G168,I168,K168,M168,O168,Q168,S168,U168,W168,Y168)</f>
        <v>337</v>
      </c>
    </row>
    <row r="169" spans="1:27">
      <c r="A169" s="459" t="s">
        <v>409</v>
      </c>
      <c r="B169" s="422"/>
      <c r="C169" s="422"/>
      <c r="D169" s="422"/>
      <c r="E169" s="422"/>
      <c r="F169" s="422">
        <v>0</v>
      </c>
      <c r="G169" s="422"/>
      <c r="H169" s="422">
        <v>0</v>
      </c>
      <c r="I169" s="422">
        <v>0</v>
      </c>
      <c r="J169" s="423"/>
      <c r="K169" s="424"/>
      <c r="L169" s="422">
        <v>0</v>
      </c>
      <c r="M169" s="422">
        <v>0</v>
      </c>
      <c r="N169" s="422">
        <v>0</v>
      </c>
      <c r="O169" s="422">
        <v>0</v>
      </c>
      <c r="P169" s="422">
        <v>0</v>
      </c>
      <c r="Q169" s="422">
        <v>0</v>
      </c>
      <c r="R169" s="422">
        <v>0</v>
      </c>
      <c r="S169" s="422">
        <v>0</v>
      </c>
      <c r="T169" s="422"/>
      <c r="U169" s="422"/>
      <c r="V169" s="422">
        <f>_xlfn.IFNA(VLOOKUP(A169,[6]進出口值表查詢結果!$C$11:$F$68,4,0),-[4]整車!$B$22)</f>
        <v>0</v>
      </c>
      <c r="W169" s="422">
        <f>_xlfn.IFNA(VLOOKUP(A169,[6]進出口值表查詢結果!$C$11:$F$68,3,0),-[4]整車!$B$22)</f>
        <v>0</v>
      </c>
      <c r="X169" s="422">
        <f>_xlfn.IFNA(VLOOKUP(A169,[7]進出口值表查詢結果!$C$11:$F$75,4,0),-[4]整車!$B$22)</f>
        <v>52</v>
      </c>
      <c r="Y169" s="422">
        <f>_xlfn.IFNA(VLOOKUP(A169,[7]進出口值表查詢結果!$C$11:$F$75,3,0),-[4]整車!$B$22)</f>
        <v>175</v>
      </c>
      <c r="Z169" s="416">
        <f t="shared" si="29"/>
        <v>52</v>
      </c>
      <c r="AA169" s="416">
        <f t="shared" si="30"/>
        <v>175</v>
      </c>
    </row>
    <row r="170" spans="1:27">
      <c r="A170" s="459" t="s">
        <v>356</v>
      </c>
      <c r="B170" s="422">
        <v>6</v>
      </c>
      <c r="C170" s="422">
        <v>400</v>
      </c>
      <c r="D170" s="422"/>
      <c r="E170" s="422"/>
      <c r="F170" s="422">
        <v>0</v>
      </c>
      <c r="G170" s="422"/>
      <c r="H170" s="422">
        <v>0</v>
      </c>
      <c r="I170" s="422">
        <v>0</v>
      </c>
      <c r="J170" s="423"/>
      <c r="K170" s="424"/>
      <c r="L170" s="422">
        <v>0</v>
      </c>
      <c r="M170" s="422">
        <v>0</v>
      </c>
      <c r="N170" s="422">
        <v>0</v>
      </c>
      <c r="O170" s="422">
        <v>0</v>
      </c>
      <c r="P170" s="422">
        <v>0</v>
      </c>
      <c r="Q170" s="422">
        <v>0</v>
      </c>
      <c r="R170" s="422">
        <v>0</v>
      </c>
      <c r="S170" s="422">
        <v>0</v>
      </c>
      <c r="T170" s="422"/>
      <c r="U170" s="422"/>
      <c r="V170" s="422">
        <f>_xlfn.IFNA(VLOOKUP(A170,[6]進出口值表查詢結果!$C$11:$F$68,4,0),-[4]整車!$B$22)</f>
        <v>0</v>
      </c>
      <c r="W170" s="422">
        <f>_xlfn.IFNA(VLOOKUP(A170,[6]進出口值表查詢結果!$C$11:$F$68,3,0),-[4]整車!$B$22)</f>
        <v>0</v>
      </c>
      <c r="X170" s="422">
        <f>_xlfn.IFNA(VLOOKUP(A170,[7]進出口值表查詢結果!$C$11:$F$75,4,0),-[4]整車!$B$22)</f>
        <v>0</v>
      </c>
      <c r="Y170" s="422">
        <f>_xlfn.IFNA(VLOOKUP(A170,[7]進出口值表查詢結果!$C$11:$F$75,3,0),-[4]整車!$B$22)</f>
        <v>0</v>
      </c>
      <c r="Z170" s="416">
        <f t="shared" si="29"/>
        <v>6</v>
      </c>
      <c r="AA170" s="416">
        <f t="shared" si="30"/>
        <v>400</v>
      </c>
    </row>
    <row r="171" spans="1:27">
      <c r="A171" s="459" t="s">
        <v>357</v>
      </c>
      <c r="B171" s="422"/>
      <c r="C171" s="422"/>
      <c r="D171" s="422"/>
      <c r="E171" s="422"/>
      <c r="F171" s="422">
        <v>0</v>
      </c>
      <c r="G171" s="422"/>
      <c r="H171" s="422">
        <v>0</v>
      </c>
      <c r="I171" s="422">
        <v>0</v>
      </c>
      <c r="J171" s="423"/>
      <c r="K171" s="424"/>
      <c r="L171" s="422">
        <v>0</v>
      </c>
      <c r="M171" s="422">
        <v>0</v>
      </c>
      <c r="N171" s="422">
        <v>0</v>
      </c>
      <c r="O171" s="422">
        <v>0</v>
      </c>
      <c r="P171" s="422">
        <v>12</v>
      </c>
      <c r="Q171" s="422">
        <v>407</v>
      </c>
      <c r="R171" s="422">
        <v>0</v>
      </c>
      <c r="S171" s="422">
        <v>0</v>
      </c>
      <c r="T171" s="422"/>
      <c r="U171" s="422"/>
      <c r="V171" s="422">
        <f>_xlfn.IFNA(VLOOKUP(A171,[6]進出口值表查詢結果!$C$11:$F$68,4,0),-[4]整車!$B$22)</f>
        <v>0</v>
      </c>
      <c r="W171" s="422">
        <f>_xlfn.IFNA(VLOOKUP(A171,[6]進出口值表查詢結果!$C$11:$F$68,3,0),-[4]整車!$B$22)</f>
        <v>0</v>
      </c>
      <c r="X171" s="422">
        <f>_xlfn.IFNA(VLOOKUP(A171,[7]進出口值表查詢結果!$C$11:$F$75,4,0),-[4]整車!$B$22)</f>
        <v>40</v>
      </c>
      <c r="Y171" s="422">
        <f>_xlfn.IFNA(VLOOKUP(A171,[7]進出口值表查詢結果!$C$11:$F$75,3,0),-[4]整車!$B$22)</f>
        <v>420</v>
      </c>
      <c r="Z171" s="416">
        <f t="shared" si="29"/>
        <v>52</v>
      </c>
      <c r="AA171" s="416">
        <f t="shared" si="30"/>
        <v>827</v>
      </c>
    </row>
    <row r="172" spans="1:27">
      <c r="A172" s="459" t="s">
        <v>358</v>
      </c>
      <c r="B172" s="422"/>
      <c r="C172" s="422"/>
      <c r="D172" s="422"/>
      <c r="E172" s="422"/>
      <c r="F172" s="422">
        <v>0</v>
      </c>
      <c r="G172" s="422"/>
      <c r="H172" s="422">
        <v>0</v>
      </c>
      <c r="I172" s="422">
        <v>0</v>
      </c>
      <c r="J172" s="423"/>
      <c r="K172" s="424"/>
      <c r="L172" s="422">
        <v>0</v>
      </c>
      <c r="M172" s="422">
        <v>0</v>
      </c>
      <c r="N172" s="422">
        <v>0</v>
      </c>
      <c r="O172" s="422">
        <v>0</v>
      </c>
      <c r="P172" s="422">
        <v>0</v>
      </c>
      <c r="Q172" s="422">
        <v>0</v>
      </c>
      <c r="R172" s="422">
        <v>0</v>
      </c>
      <c r="S172" s="422">
        <v>0</v>
      </c>
      <c r="T172" s="422"/>
      <c r="U172" s="422"/>
      <c r="V172" s="422">
        <f>_xlfn.IFNA(VLOOKUP(A172,[6]進出口值表查詢結果!$C$11:$F$68,4,0),-[4]整車!$B$22)</f>
        <v>0</v>
      </c>
      <c r="W172" s="422">
        <f>_xlfn.IFNA(VLOOKUP(A172,[6]進出口值表查詢結果!$C$11:$F$68,3,0),-[4]整車!$B$22)</f>
        <v>0</v>
      </c>
      <c r="X172" s="422">
        <f>_xlfn.IFNA(VLOOKUP(A172,[7]進出口值表查詢結果!$C$11:$F$75,4,0),-[4]整車!$B$22)</f>
        <v>0</v>
      </c>
      <c r="Y172" s="422">
        <f>_xlfn.IFNA(VLOOKUP(A172,[7]進出口值表查詢結果!$C$11:$F$75,3,0),-[4]整車!$B$22)</f>
        <v>0</v>
      </c>
      <c r="Z172" s="416">
        <f t="shared" si="29"/>
        <v>0</v>
      </c>
      <c r="AA172" s="416">
        <f t="shared" si="30"/>
        <v>0</v>
      </c>
    </row>
    <row r="173" spans="1:27">
      <c r="A173" s="459" t="s">
        <v>198</v>
      </c>
      <c r="B173" s="422"/>
      <c r="C173" s="422"/>
      <c r="D173" s="422"/>
      <c r="E173" s="422"/>
      <c r="F173" s="422">
        <v>0</v>
      </c>
      <c r="G173" s="422"/>
      <c r="H173" s="422">
        <v>0</v>
      </c>
      <c r="I173" s="422">
        <v>0</v>
      </c>
      <c r="J173" s="423"/>
      <c r="K173" s="424"/>
      <c r="L173" s="422">
        <v>0</v>
      </c>
      <c r="M173" s="422">
        <v>0</v>
      </c>
      <c r="N173" s="422">
        <v>0</v>
      </c>
      <c r="O173" s="422">
        <v>0</v>
      </c>
      <c r="P173" s="422">
        <v>0</v>
      </c>
      <c r="Q173" s="422">
        <v>0</v>
      </c>
      <c r="R173" s="422">
        <v>0</v>
      </c>
      <c r="S173" s="422">
        <v>0</v>
      </c>
      <c r="T173" s="422"/>
      <c r="U173" s="422"/>
      <c r="V173" s="422">
        <f>_xlfn.IFNA(VLOOKUP(A173,[6]進出口值表查詢結果!$C$11:$F$68,4,0),-[4]整車!$B$22)</f>
        <v>0</v>
      </c>
      <c r="W173" s="422">
        <f>_xlfn.IFNA(VLOOKUP(A173,[6]進出口值表查詢結果!$C$11:$F$68,3,0),-[4]整車!$B$22)</f>
        <v>0</v>
      </c>
      <c r="X173" s="422">
        <f>_xlfn.IFNA(VLOOKUP(A173,[7]進出口值表查詢結果!$C$11:$F$75,4,0),-[4]整車!$B$22)</f>
        <v>0</v>
      </c>
      <c r="Y173" s="422">
        <f>_xlfn.IFNA(VLOOKUP(A173,[7]進出口值表查詢結果!$C$11:$F$75,3,0),-[4]整車!$B$22)</f>
        <v>0</v>
      </c>
      <c r="Z173" s="416">
        <f t="shared" si="29"/>
        <v>0</v>
      </c>
      <c r="AA173" s="416">
        <f t="shared" si="30"/>
        <v>0</v>
      </c>
    </row>
    <row r="174" spans="1:27">
      <c r="A174" s="459" t="s">
        <v>359</v>
      </c>
      <c r="B174" s="422"/>
      <c r="C174" s="422"/>
      <c r="D174" s="422"/>
      <c r="E174" s="422"/>
      <c r="F174" s="422">
        <v>0</v>
      </c>
      <c r="G174" s="422"/>
      <c r="H174" s="422">
        <v>0</v>
      </c>
      <c r="I174" s="422">
        <v>0</v>
      </c>
      <c r="J174" s="423"/>
      <c r="K174" s="424"/>
      <c r="L174" s="422">
        <v>0</v>
      </c>
      <c r="M174" s="422">
        <v>0</v>
      </c>
      <c r="N174" s="422">
        <v>0</v>
      </c>
      <c r="O174" s="422">
        <v>0</v>
      </c>
      <c r="P174" s="422">
        <v>0</v>
      </c>
      <c r="Q174" s="422">
        <v>0</v>
      </c>
      <c r="R174" s="422">
        <v>0</v>
      </c>
      <c r="S174" s="422">
        <v>0</v>
      </c>
      <c r="T174" s="422"/>
      <c r="U174" s="422"/>
      <c r="V174" s="422">
        <f>_xlfn.IFNA(VLOOKUP(A174,[6]進出口值表查詢結果!$C$11:$F$68,4,0),-[4]整車!$B$22)</f>
        <v>0</v>
      </c>
      <c r="W174" s="422">
        <f>_xlfn.IFNA(VLOOKUP(A174,[6]進出口值表查詢結果!$C$11:$F$68,3,0),-[4]整車!$B$22)</f>
        <v>0</v>
      </c>
      <c r="X174" s="422">
        <f>_xlfn.IFNA(VLOOKUP(A174,[7]進出口值表查詢結果!$C$11:$F$75,4,0),-[4]整車!$B$22)</f>
        <v>18</v>
      </c>
      <c r="Y174" s="422">
        <f>_xlfn.IFNA(VLOOKUP(A174,[7]進出口值表查詢結果!$C$11:$F$75,3,0),-[4]整車!$B$22)</f>
        <v>3324</v>
      </c>
      <c r="Z174" s="416">
        <f t="shared" si="29"/>
        <v>18</v>
      </c>
      <c r="AA174" s="416">
        <f t="shared" si="30"/>
        <v>3324</v>
      </c>
    </row>
    <row r="175" spans="1:27">
      <c r="A175" s="459" t="s">
        <v>360</v>
      </c>
      <c r="B175" s="422"/>
      <c r="C175" s="422"/>
      <c r="D175" s="422"/>
      <c r="E175" s="422"/>
      <c r="F175" s="422">
        <v>0</v>
      </c>
      <c r="G175" s="422"/>
      <c r="H175" s="422">
        <v>0</v>
      </c>
      <c r="I175" s="422">
        <v>0</v>
      </c>
      <c r="J175" s="423"/>
      <c r="K175" s="424"/>
      <c r="L175" s="422">
        <v>0</v>
      </c>
      <c r="M175" s="422">
        <v>0</v>
      </c>
      <c r="N175" s="422">
        <v>0</v>
      </c>
      <c r="O175" s="422">
        <v>0</v>
      </c>
      <c r="P175" s="422">
        <v>0</v>
      </c>
      <c r="Q175" s="422">
        <v>0</v>
      </c>
      <c r="R175" s="422">
        <v>0</v>
      </c>
      <c r="S175" s="422">
        <v>0</v>
      </c>
      <c r="T175" s="422"/>
      <c r="U175" s="422"/>
      <c r="V175" s="422">
        <f>_xlfn.IFNA(VLOOKUP(A175,[6]進出口值表查詢結果!$C$11:$F$68,4,0),-[4]整車!$B$22)</f>
        <v>0</v>
      </c>
      <c r="W175" s="422">
        <f>_xlfn.IFNA(VLOOKUP(A175,[6]進出口值表查詢結果!$C$11:$F$68,3,0),-[4]整車!$B$22)</f>
        <v>0</v>
      </c>
      <c r="X175" s="422">
        <f>_xlfn.IFNA(VLOOKUP(A175,[7]進出口值表查詢結果!$C$11:$F$75,4,0),-[4]整車!$B$22)</f>
        <v>0</v>
      </c>
      <c r="Y175" s="422">
        <f>_xlfn.IFNA(VLOOKUP(A175,[7]進出口值表查詢結果!$C$11:$F$75,3,0),-[4]整車!$B$22)</f>
        <v>0</v>
      </c>
      <c r="Z175" s="416">
        <f t="shared" si="29"/>
        <v>0</v>
      </c>
      <c r="AA175" s="416">
        <f t="shared" si="30"/>
        <v>0</v>
      </c>
    </row>
    <row r="176" spans="1:27">
      <c r="A176" s="459" t="s">
        <v>361</v>
      </c>
      <c r="B176" s="422"/>
      <c r="C176" s="422"/>
      <c r="D176" s="422"/>
      <c r="E176" s="422"/>
      <c r="F176" s="422">
        <v>0</v>
      </c>
      <c r="G176" s="422"/>
      <c r="H176" s="422">
        <v>0</v>
      </c>
      <c r="I176" s="422">
        <v>0</v>
      </c>
      <c r="J176" s="423"/>
      <c r="K176" s="424"/>
      <c r="L176" s="422">
        <v>0</v>
      </c>
      <c r="M176" s="422">
        <v>0</v>
      </c>
      <c r="N176" s="422">
        <v>0</v>
      </c>
      <c r="O176" s="422">
        <v>0</v>
      </c>
      <c r="P176" s="422">
        <v>0</v>
      </c>
      <c r="Q176" s="422">
        <v>0</v>
      </c>
      <c r="R176" s="422">
        <v>0</v>
      </c>
      <c r="S176" s="422">
        <v>0</v>
      </c>
      <c r="T176" s="422"/>
      <c r="U176" s="422"/>
      <c r="V176" s="422">
        <f>_xlfn.IFNA(VLOOKUP(A176,[6]進出口值表查詢結果!$C$11:$F$68,4,0),-[4]整車!$B$22)</f>
        <v>0</v>
      </c>
      <c r="W176" s="422">
        <f>_xlfn.IFNA(VLOOKUP(A176,[6]進出口值表查詢結果!$C$11:$F$68,3,0),-[4]整車!$B$22)</f>
        <v>0</v>
      </c>
      <c r="X176" s="422">
        <f>_xlfn.IFNA(VLOOKUP(A176,[7]進出口值表查詢結果!$C$11:$F$75,4,0),-[4]整車!$B$22)</f>
        <v>0</v>
      </c>
      <c r="Y176" s="422">
        <f>_xlfn.IFNA(VLOOKUP(A176,[7]進出口值表查詢結果!$C$11:$F$75,3,0),-[4]整車!$B$22)</f>
        <v>0</v>
      </c>
      <c r="Z176" s="416">
        <f t="shared" si="29"/>
        <v>0</v>
      </c>
      <c r="AA176" s="416">
        <f t="shared" si="30"/>
        <v>0</v>
      </c>
    </row>
    <row r="177" spans="1:27">
      <c r="A177" s="459" t="s">
        <v>362</v>
      </c>
      <c r="B177" s="422"/>
      <c r="C177" s="422"/>
      <c r="D177" s="422"/>
      <c r="E177" s="422"/>
      <c r="F177" s="422">
        <v>0</v>
      </c>
      <c r="G177" s="422"/>
      <c r="H177" s="422">
        <v>0</v>
      </c>
      <c r="I177" s="422">
        <v>0</v>
      </c>
      <c r="J177" s="423"/>
      <c r="K177" s="424"/>
      <c r="L177" s="422">
        <v>0</v>
      </c>
      <c r="M177" s="422">
        <v>0</v>
      </c>
      <c r="N177" s="422">
        <v>0</v>
      </c>
      <c r="O177" s="422">
        <v>0</v>
      </c>
      <c r="P177" s="422">
        <v>0</v>
      </c>
      <c r="Q177" s="422">
        <v>0</v>
      </c>
      <c r="R177" s="422">
        <v>0</v>
      </c>
      <c r="S177" s="422">
        <v>0</v>
      </c>
      <c r="T177" s="422"/>
      <c r="U177" s="422"/>
      <c r="V177" s="422">
        <f>_xlfn.IFNA(VLOOKUP(A177,[6]進出口值表查詢結果!$C$11:$F$68,4,0),-[4]整車!$B$22)</f>
        <v>0</v>
      </c>
      <c r="W177" s="422">
        <f>_xlfn.IFNA(VLOOKUP(A177,[6]進出口值表查詢結果!$C$11:$F$68,3,0),-[4]整車!$B$22)</f>
        <v>0</v>
      </c>
      <c r="X177" s="422">
        <f>_xlfn.IFNA(VLOOKUP(A177,[7]進出口值表查詢結果!$C$11:$F$75,4,0),-[4]整車!$B$22)</f>
        <v>0</v>
      </c>
      <c r="Y177" s="422">
        <f>_xlfn.IFNA(VLOOKUP(A177,[7]進出口值表查詢結果!$C$11:$F$75,3,0),-[4]整車!$B$22)</f>
        <v>0</v>
      </c>
      <c r="Z177" s="416">
        <f t="shared" si="29"/>
        <v>0</v>
      </c>
      <c r="AA177" s="416">
        <f t="shared" si="30"/>
        <v>0</v>
      </c>
    </row>
    <row r="178" spans="1:27">
      <c r="A178" s="459" t="s">
        <v>363</v>
      </c>
      <c r="B178" s="422"/>
      <c r="C178" s="422"/>
      <c r="D178" s="422"/>
      <c r="E178" s="422"/>
      <c r="F178" s="422">
        <v>0</v>
      </c>
      <c r="G178" s="422"/>
      <c r="H178" s="422">
        <v>0</v>
      </c>
      <c r="I178" s="422">
        <v>0</v>
      </c>
      <c r="J178" s="423"/>
      <c r="K178" s="424">
        <v>0</v>
      </c>
      <c r="L178" s="422">
        <v>0</v>
      </c>
      <c r="M178" s="422">
        <v>0</v>
      </c>
      <c r="N178" s="422">
        <v>0</v>
      </c>
      <c r="O178" s="422">
        <v>0</v>
      </c>
      <c r="P178" s="422">
        <v>0</v>
      </c>
      <c r="Q178" s="422">
        <v>0</v>
      </c>
      <c r="R178" s="422">
        <v>0</v>
      </c>
      <c r="S178" s="422">
        <v>0</v>
      </c>
      <c r="T178" s="422"/>
      <c r="U178" s="422"/>
      <c r="V178" s="422">
        <f>_xlfn.IFNA(VLOOKUP(A178,[6]進出口值表查詢結果!$C$11:$F$68,4,0),-[4]整車!$B$22)</f>
        <v>0</v>
      </c>
      <c r="W178" s="422">
        <f>_xlfn.IFNA(VLOOKUP(A178,[6]進出口值表查詢結果!$C$11:$F$68,3,0),-[4]整車!$B$22)</f>
        <v>0</v>
      </c>
      <c r="X178" s="422">
        <f>_xlfn.IFNA(VLOOKUP(A178,[7]進出口值表查詢結果!$C$11:$F$75,4,0),-[4]整車!$B$22)</f>
        <v>0</v>
      </c>
      <c r="Y178" s="422">
        <f>_xlfn.IFNA(VLOOKUP(A178,[7]進出口值表查詢結果!$C$11:$F$75,3,0),-[4]整車!$B$22)</f>
        <v>0</v>
      </c>
      <c r="Z178" s="416">
        <f t="shared" si="29"/>
        <v>0</v>
      </c>
      <c r="AA178" s="416">
        <f t="shared" si="30"/>
        <v>0</v>
      </c>
    </row>
    <row r="179" spans="1:27">
      <c r="A179" s="459" t="s">
        <v>364</v>
      </c>
      <c r="B179" s="422"/>
      <c r="C179" s="422"/>
      <c r="D179" s="422"/>
      <c r="E179" s="422"/>
      <c r="F179" s="422">
        <v>0</v>
      </c>
      <c r="G179" s="422"/>
      <c r="H179" s="422">
        <v>0</v>
      </c>
      <c r="I179" s="422">
        <v>0</v>
      </c>
      <c r="J179" s="423"/>
      <c r="K179" s="424">
        <v>0</v>
      </c>
      <c r="L179" s="422">
        <v>0</v>
      </c>
      <c r="M179" s="422">
        <v>0</v>
      </c>
      <c r="N179" s="422">
        <v>0</v>
      </c>
      <c r="O179" s="422">
        <v>0</v>
      </c>
      <c r="P179" s="422">
        <v>0</v>
      </c>
      <c r="Q179" s="422">
        <v>0</v>
      </c>
      <c r="R179" s="422">
        <v>0</v>
      </c>
      <c r="S179" s="422">
        <v>0</v>
      </c>
      <c r="T179" s="422"/>
      <c r="U179" s="422"/>
      <c r="V179" s="422">
        <f>_xlfn.IFNA(VLOOKUP(A179,[6]進出口值表查詢結果!$C$11:$F$68,4,0),-[4]整車!$B$22)</f>
        <v>0</v>
      </c>
      <c r="W179" s="422">
        <f>_xlfn.IFNA(VLOOKUP(A179,[6]進出口值表查詢結果!$C$11:$F$68,3,0),-[4]整車!$B$22)</f>
        <v>0</v>
      </c>
      <c r="X179" s="422">
        <f>_xlfn.IFNA(VLOOKUP(A179,[7]進出口值表查詢結果!$C$11:$F$75,4,0),-[4]整車!$B$22)</f>
        <v>0</v>
      </c>
      <c r="Y179" s="422">
        <f>_xlfn.IFNA(VLOOKUP(A179,[7]進出口值表查詢結果!$C$11:$F$75,3,0),-[4]整車!$B$22)</f>
        <v>0</v>
      </c>
      <c r="Z179" s="416">
        <f t="shared" si="29"/>
        <v>0</v>
      </c>
      <c r="AA179" s="416">
        <f t="shared" si="30"/>
        <v>0</v>
      </c>
    </row>
    <row r="180" spans="1:27">
      <c r="A180" s="459" t="s">
        <v>365</v>
      </c>
      <c r="B180" s="422"/>
      <c r="C180" s="422"/>
      <c r="D180" s="422"/>
      <c r="E180" s="422"/>
      <c r="F180" s="422">
        <v>0</v>
      </c>
      <c r="G180" s="422"/>
      <c r="H180" s="422">
        <v>0</v>
      </c>
      <c r="I180" s="422">
        <v>0</v>
      </c>
      <c r="J180" s="423"/>
      <c r="K180" s="424">
        <v>0</v>
      </c>
      <c r="L180" s="422">
        <v>0</v>
      </c>
      <c r="M180" s="422">
        <v>0</v>
      </c>
      <c r="N180" s="422">
        <v>0</v>
      </c>
      <c r="O180" s="422">
        <v>0</v>
      </c>
      <c r="P180" s="422">
        <v>0</v>
      </c>
      <c r="Q180" s="422">
        <v>0</v>
      </c>
      <c r="R180" s="422">
        <v>0</v>
      </c>
      <c r="S180" s="422">
        <v>0</v>
      </c>
      <c r="T180" s="422"/>
      <c r="U180" s="422"/>
      <c r="V180" s="422">
        <f>_xlfn.IFNA(VLOOKUP(A180,[6]進出口值表查詢結果!$C$11:$F$68,4,0),-[4]整車!$B$22)</f>
        <v>0</v>
      </c>
      <c r="W180" s="422">
        <f>_xlfn.IFNA(VLOOKUP(A180,[6]進出口值表查詢結果!$C$11:$F$68,3,0),-[4]整車!$B$22)</f>
        <v>0</v>
      </c>
      <c r="X180" s="422">
        <f>_xlfn.IFNA(VLOOKUP(A180,[7]進出口值表查詢結果!$C$11:$F$75,4,0),-[4]整車!$B$22)</f>
        <v>0</v>
      </c>
      <c r="Y180" s="422">
        <f>_xlfn.IFNA(VLOOKUP(A180,[7]進出口值表查詢結果!$C$11:$F$75,3,0),-[4]整車!$B$22)</f>
        <v>0</v>
      </c>
      <c r="Z180" s="416">
        <f t="shared" si="29"/>
        <v>0</v>
      </c>
      <c r="AA180" s="416">
        <f t="shared" si="30"/>
        <v>0</v>
      </c>
    </row>
    <row r="181" spans="1:27">
      <c r="A181" s="459" t="s">
        <v>366</v>
      </c>
      <c r="B181" s="422"/>
      <c r="C181" s="422"/>
      <c r="D181" s="422"/>
      <c r="E181" s="422"/>
      <c r="F181" s="422">
        <v>0</v>
      </c>
      <c r="G181" s="422"/>
      <c r="H181" s="422">
        <v>0</v>
      </c>
      <c r="I181" s="422">
        <v>0</v>
      </c>
      <c r="J181" s="423"/>
      <c r="K181" s="424">
        <v>0</v>
      </c>
      <c r="L181" s="422">
        <v>0</v>
      </c>
      <c r="M181" s="422">
        <v>0</v>
      </c>
      <c r="N181" s="422">
        <v>0</v>
      </c>
      <c r="O181" s="422">
        <v>0</v>
      </c>
      <c r="P181" s="422">
        <v>0</v>
      </c>
      <c r="Q181" s="422">
        <v>0</v>
      </c>
      <c r="R181" s="422">
        <v>0</v>
      </c>
      <c r="S181" s="422">
        <v>0</v>
      </c>
      <c r="T181" s="422"/>
      <c r="U181" s="422"/>
      <c r="V181" s="422">
        <f>_xlfn.IFNA(VLOOKUP(A181,[6]進出口值表查詢結果!$C$11:$F$68,4,0),-[4]整車!$B$22)</f>
        <v>0</v>
      </c>
      <c r="W181" s="422">
        <f>_xlfn.IFNA(VLOOKUP(A181,[6]進出口值表查詢結果!$C$11:$F$68,3,0),-[4]整車!$B$22)</f>
        <v>0</v>
      </c>
      <c r="X181" s="422">
        <f>_xlfn.IFNA(VLOOKUP(A181,[7]進出口值表查詢結果!$C$11:$F$75,4,0),-[4]整車!$B$22)</f>
        <v>0</v>
      </c>
      <c r="Y181" s="422">
        <f>_xlfn.IFNA(VLOOKUP(A181,[7]進出口值表查詢結果!$C$11:$F$75,3,0),-[4]整車!$B$22)</f>
        <v>0</v>
      </c>
      <c r="Z181" s="416">
        <f t="shared" si="29"/>
        <v>0</v>
      </c>
      <c r="AA181" s="416">
        <f t="shared" si="30"/>
        <v>0</v>
      </c>
    </row>
    <row r="182" spans="1:27">
      <c r="A182" s="459" t="s">
        <v>367</v>
      </c>
      <c r="B182" s="422"/>
      <c r="C182" s="422"/>
      <c r="D182" s="422"/>
      <c r="E182" s="422"/>
      <c r="F182" s="422">
        <v>0</v>
      </c>
      <c r="G182" s="422"/>
      <c r="H182" s="422">
        <v>0</v>
      </c>
      <c r="I182" s="422">
        <v>0</v>
      </c>
      <c r="J182" s="423"/>
      <c r="K182" s="424">
        <v>0</v>
      </c>
      <c r="L182" s="422">
        <v>0</v>
      </c>
      <c r="M182" s="422">
        <v>0</v>
      </c>
      <c r="N182" s="422">
        <v>0</v>
      </c>
      <c r="O182" s="422">
        <v>0</v>
      </c>
      <c r="P182" s="422">
        <v>0</v>
      </c>
      <c r="Q182" s="422">
        <v>0</v>
      </c>
      <c r="R182" s="422">
        <v>0</v>
      </c>
      <c r="S182" s="422">
        <v>0</v>
      </c>
      <c r="T182" s="422"/>
      <c r="U182" s="422"/>
      <c r="V182" s="422">
        <f>_xlfn.IFNA(VLOOKUP(A182,[6]進出口值表查詢結果!$C$11:$F$68,4,0),-[4]整車!$B$22)</f>
        <v>0</v>
      </c>
      <c r="W182" s="422">
        <f>_xlfn.IFNA(VLOOKUP(A182,[6]進出口值表查詢結果!$C$11:$F$68,3,0),-[4]整車!$B$22)</f>
        <v>0</v>
      </c>
      <c r="X182" s="422">
        <f>_xlfn.IFNA(VLOOKUP(A182,[7]進出口值表查詢結果!$C$11:$F$75,4,0),-[4]整車!$B$22)</f>
        <v>0</v>
      </c>
      <c r="Y182" s="422">
        <f>_xlfn.IFNA(VLOOKUP(A182,[7]進出口值表查詢結果!$C$11:$F$75,3,0),-[4]整車!$B$22)</f>
        <v>0</v>
      </c>
      <c r="Z182" s="416">
        <f t="shared" si="29"/>
        <v>0</v>
      </c>
      <c r="AA182" s="416">
        <f t="shared" si="30"/>
        <v>0</v>
      </c>
    </row>
    <row r="183" spans="1:27">
      <c r="A183" s="459" t="s">
        <v>368</v>
      </c>
      <c r="B183" s="422"/>
      <c r="C183" s="422"/>
      <c r="D183" s="422"/>
      <c r="E183" s="422"/>
      <c r="F183" s="422">
        <v>0</v>
      </c>
      <c r="G183" s="422"/>
      <c r="H183" s="422">
        <v>0</v>
      </c>
      <c r="I183" s="422">
        <v>0</v>
      </c>
      <c r="J183" s="423"/>
      <c r="K183" s="424">
        <v>0</v>
      </c>
      <c r="L183" s="422">
        <v>0</v>
      </c>
      <c r="M183" s="422">
        <v>0</v>
      </c>
      <c r="N183" s="422">
        <v>0</v>
      </c>
      <c r="O183" s="422">
        <v>0</v>
      </c>
      <c r="P183" s="422">
        <v>0</v>
      </c>
      <c r="Q183" s="422">
        <v>0</v>
      </c>
      <c r="R183" s="422">
        <v>0</v>
      </c>
      <c r="S183" s="422">
        <v>0</v>
      </c>
      <c r="T183" s="422"/>
      <c r="U183" s="422"/>
      <c r="V183" s="422">
        <f>_xlfn.IFNA(VLOOKUP(A183,[6]進出口值表查詢結果!$C$11:$F$68,4,0),-[4]整車!$B$22)</f>
        <v>0</v>
      </c>
      <c r="W183" s="422">
        <f>_xlfn.IFNA(VLOOKUP(A183,[6]進出口值表查詢結果!$C$11:$F$68,3,0),-[4]整車!$B$22)</f>
        <v>0</v>
      </c>
      <c r="X183" s="422">
        <f>_xlfn.IFNA(VLOOKUP(A183,[7]進出口值表查詢結果!$C$11:$F$75,4,0),-[4]整車!$B$22)</f>
        <v>0</v>
      </c>
      <c r="Y183" s="422">
        <f>_xlfn.IFNA(VLOOKUP(A183,[7]進出口值表查詢結果!$C$11:$F$75,3,0),-[4]整車!$B$22)</f>
        <v>0</v>
      </c>
      <c r="Z183" s="416">
        <f t="shared" si="29"/>
        <v>0</v>
      </c>
      <c r="AA183" s="416">
        <f t="shared" si="30"/>
        <v>0</v>
      </c>
    </row>
    <row r="184" spans="1:27">
      <c r="A184" s="459" t="s">
        <v>369</v>
      </c>
      <c r="B184" s="422"/>
      <c r="C184" s="422"/>
      <c r="D184" s="422"/>
      <c r="E184" s="422"/>
      <c r="F184" s="422">
        <v>0</v>
      </c>
      <c r="G184" s="422"/>
      <c r="H184" s="422">
        <v>0</v>
      </c>
      <c r="I184" s="422">
        <v>0</v>
      </c>
      <c r="J184" s="423"/>
      <c r="K184" s="424">
        <v>0</v>
      </c>
      <c r="L184" s="422">
        <v>0</v>
      </c>
      <c r="M184" s="422">
        <v>0</v>
      </c>
      <c r="N184" s="422">
        <v>0</v>
      </c>
      <c r="O184" s="422">
        <v>0</v>
      </c>
      <c r="P184" s="422">
        <v>0</v>
      </c>
      <c r="Q184" s="422">
        <v>0</v>
      </c>
      <c r="R184" s="422">
        <v>0</v>
      </c>
      <c r="S184" s="422">
        <v>0</v>
      </c>
      <c r="T184" s="422"/>
      <c r="U184" s="422"/>
      <c r="V184" s="422">
        <f>_xlfn.IFNA(VLOOKUP(A184,[6]進出口值表查詢結果!$C$11:$F$68,4,0),-[4]整車!$B$22)</f>
        <v>0</v>
      </c>
      <c r="W184" s="422">
        <f>_xlfn.IFNA(VLOOKUP(A184,[6]進出口值表查詢結果!$C$11:$F$68,3,0),-[4]整車!$B$22)</f>
        <v>0</v>
      </c>
      <c r="X184" s="422">
        <f>_xlfn.IFNA(VLOOKUP(A184,[7]進出口值表查詢結果!$C$11:$F$75,4,0),-[4]整車!$B$22)</f>
        <v>0</v>
      </c>
      <c r="Y184" s="422">
        <f>_xlfn.IFNA(VLOOKUP(A184,[7]進出口值表查詢結果!$C$11:$F$75,3,0),-[4]整車!$B$22)</f>
        <v>0</v>
      </c>
      <c r="Z184" s="416">
        <f t="shared" si="29"/>
        <v>0</v>
      </c>
      <c r="AA184" s="416">
        <f t="shared" si="30"/>
        <v>0</v>
      </c>
    </row>
    <row r="185" spans="1:27">
      <c r="A185" s="459" t="s">
        <v>370</v>
      </c>
      <c r="B185" s="422"/>
      <c r="C185" s="422"/>
      <c r="D185" s="422"/>
      <c r="E185" s="422"/>
      <c r="F185" s="422">
        <v>0</v>
      </c>
      <c r="G185" s="422"/>
      <c r="H185" s="422">
        <v>0</v>
      </c>
      <c r="I185" s="422">
        <v>0</v>
      </c>
      <c r="J185" s="423"/>
      <c r="K185" s="424">
        <v>0</v>
      </c>
      <c r="L185" s="422">
        <v>0</v>
      </c>
      <c r="M185" s="422">
        <v>0</v>
      </c>
      <c r="N185" s="422">
        <v>0</v>
      </c>
      <c r="O185" s="422">
        <v>0</v>
      </c>
      <c r="P185" s="422">
        <v>0</v>
      </c>
      <c r="Q185" s="422">
        <v>0</v>
      </c>
      <c r="R185" s="422">
        <v>0</v>
      </c>
      <c r="S185" s="422">
        <v>0</v>
      </c>
      <c r="T185" s="422"/>
      <c r="U185" s="422"/>
      <c r="V185" s="422">
        <f>_xlfn.IFNA(VLOOKUP(A185,[6]進出口值表查詢結果!$C$11:$F$68,4,0),-[4]整車!$B$22)</f>
        <v>0</v>
      </c>
      <c r="W185" s="422">
        <f>_xlfn.IFNA(VLOOKUP(A185,[6]進出口值表查詢結果!$C$11:$F$68,3,0),-[4]整車!$B$22)</f>
        <v>0</v>
      </c>
      <c r="X185" s="422">
        <f>_xlfn.IFNA(VLOOKUP(A185,[7]進出口值表查詢結果!$C$11:$F$75,4,0),-[4]整車!$B$22)</f>
        <v>0</v>
      </c>
      <c r="Y185" s="422">
        <f>_xlfn.IFNA(VLOOKUP(A185,[7]進出口值表查詢結果!$C$11:$F$75,3,0),-[4]整車!$B$22)</f>
        <v>0</v>
      </c>
      <c r="Z185" s="416">
        <f t="shared" si="29"/>
        <v>0</v>
      </c>
      <c r="AA185" s="416">
        <f t="shared" si="30"/>
        <v>0</v>
      </c>
    </row>
    <row r="186" spans="1:27">
      <c r="A186" s="459" t="s">
        <v>371</v>
      </c>
      <c r="B186" s="422"/>
      <c r="C186" s="422"/>
      <c r="D186" s="422"/>
      <c r="E186" s="422"/>
      <c r="F186" s="422">
        <v>0</v>
      </c>
      <c r="G186" s="422"/>
      <c r="H186" s="422">
        <v>0</v>
      </c>
      <c r="I186" s="422">
        <v>0</v>
      </c>
      <c r="J186" s="423"/>
      <c r="K186" s="424"/>
      <c r="L186" s="422">
        <v>0</v>
      </c>
      <c r="M186" s="422">
        <v>0</v>
      </c>
      <c r="N186" s="422">
        <v>0</v>
      </c>
      <c r="O186" s="422">
        <v>0</v>
      </c>
      <c r="P186" s="422">
        <v>0</v>
      </c>
      <c r="Q186" s="422">
        <v>0</v>
      </c>
      <c r="R186" s="422">
        <v>0</v>
      </c>
      <c r="S186" s="422">
        <v>0</v>
      </c>
      <c r="T186" s="422"/>
      <c r="U186" s="422"/>
      <c r="V186" s="422">
        <f>_xlfn.IFNA(VLOOKUP(A186,[6]進出口值表查詢結果!$C$11:$F$68,4,0),-[4]整車!$B$22)</f>
        <v>0</v>
      </c>
      <c r="W186" s="422">
        <f>_xlfn.IFNA(VLOOKUP(A186,[6]進出口值表查詢結果!$C$11:$F$68,3,0),-[4]整車!$B$22)</f>
        <v>0</v>
      </c>
      <c r="X186" s="422">
        <f>_xlfn.IFNA(VLOOKUP(A186,[7]進出口值表查詢結果!$C$11:$F$75,4,0),-[4]整車!$B$22)</f>
        <v>0</v>
      </c>
      <c r="Y186" s="422">
        <f>_xlfn.IFNA(VLOOKUP(A186,[7]進出口值表查詢結果!$C$11:$F$75,3,0),-[4]整車!$B$22)</f>
        <v>0</v>
      </c>
      <c r="Z186" s="416">
        <f t="shared" ref="Z186:Z200" si="31">SUM(B186,D186,F186,H186,J186,L186,N186,P186,R186,T186,V186,X186)</f>
        <v>0</v>
      </c>
      <c r="AA186" s="416"/>
    </row>
    <row r="187" spans="1:27">
      <c r="A187" s="459" t="s">
        <v>372</v>
      </c>
      <c r="B187" s="422"/>
      <c r="C187" s="422"/>
      <c r="D187" s="422"/>
      <c r="E187" s="422"/>
      <c r="F187" s="422">
        <v>0</v>
      </c>
      <c r="G187" s="422"/>
      <c r="H187" s="422">
        <v>0</v>
      </c>
      <c r="I187" s="422">
        <v>0</v>
      </c>
      <c r="J187" s="423"/>
      <c r="K187" s="424">
        <v>0</v>
      </c>
      <c r="L187" s="422">
        <v>0</v>
      </c>
      <c r="M187" s="422">
        <v>0</v>
      </c>
      <c r="N187" s="422">
        <v>0</v>
      </c>
      <c r="O187" s="422">
        <v>0</v>
      </c>
      <c r="P187" s="422">
        <v>0</v>
      </c>
      <c r="Q187" s="422">
        <v>0</v>
      </c>
      <c r="R187" s="422">
        <v>0</v>
      </c>
      <c r="S187" s="422">
        <v>0</v>
      </c>
      <c r="T187" s="422"/>
      <c r="U187" s="422"/>
      <c r="V187" s="422">
        <f>_xlfn.IFNA(VLOOKUP(A187,[6]進出口值表查詢結果!$C$11:$F$68,4,0),-[4]整車!$B$22)</f>
        <v>0</v>
      </c>
      <c r="W187" s="422">
        <f>_xlfn.IFNA(VLOOKUP(A187,[6]進出口值表查詢結果!$C$11:$F$68,3,0),-[4]整車!$B$22)</f>
        <v>0</v>
      </c>
      <c r="X187" s="422">
        <f>_xlfn.IFNA(VLOOKUP(A187,[7]進出口值表查詢結果!$C$11:$F$75,4,0),-[4]整車!$B$22)</f>
        <v>0</v>
      </c>
      <c r="Y187" s="422">
        <f>_xlfn.IFNA(VLOOKUP(A187,[7]進出口值表查詢結果!$C$11:$F$75,3,0),-[4]整車!$B$22)</f>
        <v>0</v>
      </c>
      <c r="Z187" s="416">
        <f t="shared" si="31"/>
        <v>0</v>
      </c>
      <c r="AA187" s="416">
        <f t="shared" ref="AA187:AA200" si="32">SUM(C187,E187,G187,I187,K187,M187,O187,Q187,S187,U187,W187,Y187)</f>
        <v>0</v>
      </c>
    </row>
    <row r="188" spans="1:27">
      <c r="A188" s="459" t="s">
        <v>373</v>
      </c>
      <c r="B188" s="422"/>
      <c r="C188" s="422"/>
      <c r="D188" s="422"/>
      <c r="E188" s="422"/>
      <c r="F188" s="422">
        <v>0</v>
      </c>
      <c r="G188" s="422"/>
      <c r="H188" s="422">
        <v>0</v>
      </c>
      <c r="I188" s="422">
        <v>0</v>
      </c>
      <c r="J188" s="423"/>
      <c r="K188" s="424">
        <v>0</v>
      </c>
      <c r="L188" s="422">
        <v>0</v>
      </c>
      <c r="M188" s="422">
        <v>0</v>
      </c>
      <c r="N188" s="422">
        <v>0</v>
      </c>
      <c r="O188" s="422">
        <v>0</v>
      </c>
      <c r="P188" s="422">
        <v>0</v>
      </c>
      <c r="Q188" s="422">
        <v>0</v>
      </c>
      <c r="R188" s="422">
        <v>0</v>
      </c>
      <c r="S188" s="422">
        <v>0</v>
      </c>
      <c r="T188" s="422"/>
      <c r="U188" s="422"/>
      <c r="V188" s="422">
        <f>_xlfn.IFNA(VLOOKUP(A188,[6]進出口值表查詢結果!$C$11:$F$68,4,0),-[4]整車!$B$22)</f>
        <v>0</v>
      </c>
      <c r="W188" s="422">
        <f>_xlfn.IFNA(VLOOKUP(A188,[6]進出口值表查詢結果!$C$11:$F$68,3,0),-[4]整車!$B$22)</f>
        <v>0</v>
      </c>
      <c r="X188" s="422">
        <f>_xlfn.IFNA(VLOOKUP(A188,[7]進出口值表查詢結果!$C$11:$F$75,4,0),-[4]整車!$B$22)</f>
        <v>0</v>
      </c>
      <c r="Y188" s="422">
        <f>_xlfn.IFNA(VLOOKUP(A188,[7]進出口值表查詢結果!$C$11:$F$75,3,0),-[4]整車!$B$22)</f>
        <v>0</v>
      </c>
      <c r="Z188" s="416">
        <f t="shared" si="31"/>
        <v>0</v>
      </c>
      <c r="AA188" s="416">
        <f t="shared" si="32"/>
        <v>0</v>
      </c>
    </row>
    <row r="189" spans="1:27">
      <c r="A189" s="465" t="s">
        <v>374</v>
      </c>
      <c r="B189" s="443">
        <f t="shared" ref="B189:Y189" si="33">SUM(B190:B203)</f>
        <v>0</v>
      </c>
      <c r="C189" s="443">
        <f t="shared" si="33"/>
        <v>0</v>
      </c>
      <c r="D189" s="443">
        <f t="shared" si="33"/>
        <v>0</v>
      </c>
      <c r="E189" s="443">
        <f t="shared" si="33"/>
        <v>0</v>
      </c>
      <c r="F189" s="443">
        <f t="shared" si="33"/>
        <v>0</v>
      </c>
      <c r="G189" s="443">
        <f t="shared" si="33"/>
        <v>0</v>
      </c>
      <c r="H189" s="443">
        <f t="shared" si="33"/>
        <v>10</v>
      </c>
      <c r="I189" s="443">
        <f t="shared" si="33"/>
        <v>1060</v>
      </c>
      <c r="J189" s="444">
        <f t="shared" si="33"/>
        <v>0</v>
      </c>
      <c r="K189" s="445">
        <f t="shared" si="33"/>
        <v>0</v>
      </c>
      <c r="L189" s="443">
        <f t="shared" si="33"/>
        <v>10</v>
      </c>
      <c r="M189" s="443">
        <f t="shared" si="33"/>
        <v>1039</v>
      </c>
      <c r="N189" s="443">
        <f t="shared" si="33"/>
        <v>1</v>
      </c>
      <c r="O189" s="443">
        <f t="shared" si="33"/>
        <v>2028</v>
      </c>
      <c r="P189" s="443">
        <f t="shared" si="33"/>
        <v>0</v>
      </c>
      <c r="Q189" s="443">
        <f t="shared" si="33"/>
        <v>0</v>
      </c>
      <c r="R189" s="443">
        <f t="shared" si="33"/>
        <v>5</v>
      </c>
      <c r="S189" s="443">
        <f t="shared" si="33"/>
        <v>543</v>
      </c>
      <c r="T189" s="443">
        <f t="shared" si="33"/>
        <v>19</v>
      </c>
      <c r="U189" s="443">
        <f t="shared" si="33"/>
        <v>12461</v>
      </c>
      <c r="V189" s="443">
        <f>SUM(V190:V203)</f>
        <v>7</v>
      </c>
      <c r="W189" s="443">
        <f>SUM(W190:W203)</f>
        <v>8701</v>
      </c>
      <c r="X189" s="443">
        <f t="shared" si="33"/>
        <v>0</v>
      </c>
      <c r="Y189" s="443">
        <f t="shared" si="33"/>
        <v>0</v>
      </c>
      <c r="Z189" s="429">
        <f t="shared" si="31"/>
        <v>52</v>
      </c>
      <c r="AA189" s="429">
        <f t="shared" si="32"/>
        <v>25832</v>
      </c>
    </row>
    <row r="190" spans="1:27">
      <c r="A190" s="425" t="s">
        <v>146</v>
      </c>
      <c r="B190" s="422"/>
      <c r="C190" s="422"/>
      <c r="D190" s="422">
        <v>0</v>
      </c>
      <c r="E190" s="422">
        <v>0</v>
      </c>
      <c r="F190" s="422">
        <v>0</v>
      </c>
      <c r="G190" s="422"/>
      <c r="H190" s="422">
        <v>0</v>
      </c>
      <c r="I190" s="422">
        <v>0</v>
      </c>
      <c r="J190" s="423">
        <v>0</v>
      </c>
      <c r="K190" s="424">
        <v>0</v>
      </c>
      <c r="L190" s="422">
        <v>0</v>
      </c>
      <c r="M190" s="422">
        <v>0</v>
      </c>
      <c r="N190" s="422">
        <v>0</v>
      </c>
      <c r="O190" s="422">
        <v>0</v>
      </c>
      <c r="P190" s="422">
        <v>0</v>
      </c>
      <c r="Q190" s="422">
        <v>0</v>
      </c>
      <c r="R190" s="422">
        <v>0</v>
      </c>
      <c r="S190" s="422">
        <v>0</v>
      </c>
      <c r="T190" s="422"/>
      <c r="U190" s="422"/>
      <c r="V190" s="422">
        <f>_xlfn.IFNA(VLOOKUP(A190,[6]進出口值表查詢結果!$C$11:$F$68,4,0),-[4]整車!$B$22)</f>
        <v>0</v>
      </c>
      <c r="W190" s="422">
        <f>_xlfn.IFNA(VLOOKUP(A190,[6]進出口值表查詢結果!$C$11:$F$68,3,0),-[4]整車!$B$22)</f>
        <v>0</v>
      </c>
      <c r="X190" s="422">
        <f>_xlfn.IFNA(VLOOKUP(A190,[7]進出口值表查詢結果!$C$11:$F$80,4,0),-[4]整車!$B$22)</f>
        <v>0</v>
      </c>
      <c r="Y190" s="422">
        <f>_xlfn.IFNA(VLOOKUP(A190,[7]進出口值表查詢結果!$C$11:$F$80,3,0),-[4]整車!$B$22)</f>
        <v>0</v>
      </c>
      <c r="Z190" s="416">
        <f t="shared" si="31"/>
        <v>0</v>
      </c>
      <c r="AA190" s="416">
        <f t="shared" si="32"/>
        <v>0</v>
      </c>
    </row>
    <row r="191" spans="1:27">
      <c r="A191" s="427" t="s">
        <v>375</v>
      </c>
      <c r="B191" s="422"/>
      <c r="C191" s="422"/>
      <c r="D191" s="422"/>
      <c r="E191" s="422">
        <v>0</v>
      </c>
      <c r="F191" s="422">
        <v>0</v>
      </c>
      <c r="G191" s="422"/>
      <c r="H191" s="422">
        <v>0</v>
      </c>
      <c r="I191" s="422">
        <v>0</v>
      </c>
      <c r="J191" s="423">
        <v>0</v>
      </c>
      <c r="K191" s="424">
        <v>0</v>
      </c>
      <c r="L191" s="422">
        <v>0</v>
      </c>
      <c r="M191" s="422">
        <v>0</v>
      </c>
      <c r="N191" s="422">
        <v>0</v>
      </c>
      <c r="O191" s="422">
        <v>0</v>
      </c>
      <c r="P191" s="422">
        <v>0</v>
      </c>
      <c r="Q191" s="422">
        <v>0</v>
      </c>
      <c r="R191" s="422">
        <v>0</v>
      </c>
      <c r="S191" s="422">
        <v>0</v>
      </c>
      <c r="T191" s="422"/>
      <c r="U191" s="422"/>
      <c r="V191" s="422">
        <f>_xlfn.IFNA(VLOOKUP(A191,[6]進出口值表查詢結果!$C$11:$F$68,4,0),-[4]整車!$B$22)</f>
        <v>0</v>
      </c>
      <c r="W191" s="422">
        <f>_xlfn.IFNA(VLOOKUP(A191,[6]進出口值表查詢結果!$C$11:$F$68,3,0),-[4]整車!$B$22)</f>
        <v>0</v>
      </c>
      <c r="X191" s="422">
        <f>_xlfn.IFNA(VLOOKUP(A191,[7]進出口值表查詢結果!$C$11:$F$80,4,0),-[4]整車!$B$22)</f>
        <v>0</v>
      </c>
      <c r="Y191" s="422">
        <f>_xlfn.IFNA(VLOOKUP(A191,[7]進出口值表查詢結果!$C$11:$F$80,3,0),-[4]整車!$B$22)</f>
        <v>0</v>
      </c>
      <c r="Z191" s="416">
        <f t="shared" si="31"/>
        <v>0</v>
      </c>
      <c r="AA191" s="416">
        <f t="shared" si="32"/>
        <v>0</v>
      </c>
    </row>
    <row r="192" spans="1:27">
      <c r="A192" s="425" t="s">
        <v>376</v>
      </c>
      <c r="B192" s="422"/>
      <c r="C192" s="422"/>
      <c r="D192" s="422"/>
      <c r="E192" s="422">
        <v>0</v>
      </c>
      <c r="F192" s="422">
        <v>0</v>
      </c>
      <c r="G192" s="422"/>
      <c r="H192" s="422">
        <v>0</v>
      </c>
      <c r="I192" s="422">
        <v>0</v>
      </c>
      <c r="J192" s="423">
        <v>0</v>
      </c>
      <c r="K192" s="424">
        <v>0</v>
      </c>
      <c r="L192" s="422">
        <v>0</v>
      </c>
      <c r="M192" s="422">
        <v>0</v>
      </c>
      <c r="N192" s="422">
        <v>0</v>
      </c>
      <c r="O192" s="422">
        <v>0</v>
      </c>
      <c r="P192" s="422">
        <v>0</v>
      </c>
      <c r="Q192" s="422">
        <v>0</v>
      </c>
      <c r="R192" s="422">
        <v>0</v>
      </c>
      <c r="S192" s="422">
        <v>0</v>
      </c>
      <c r="T192" s="422"/>
      <c r="U192" s="422"/>
      <c r="V192" s="422">
        <f>_xlfn.IFNA(VLOOKUP(A192,[6]進出口值表查詢結果!$C$11:$F$68,4,0),-[4]整車!$B$22)</f>
        <v>0</v>
      </c>
      <c r="W192" s="422">
        <f>_xlfn.IFNA(VLOOKUP(A192,[6]進出口值表查詢結果!$C$11:$F$68,3,0),-[4]整車!$B$22)</f>
        <v>0</v>
      </c>
      <c r="X192" s="422">
        <f>_xlfn.IFNA(VLOOKUP(A192,[7]進出口值表查詢結果!$C$11:$F$80,4,0),-[4]整車!$B$22)</f>
        <v>0</v>
      </c>
      <c r="Y192" s="422">
        <f>_xlfn.IFNA(VLOOKUP(A192,[7]進出口值表查詢結果!$C$11:$F$80,3,0),-[4]整車!$B$22)</f>
        <v>0</v>
      </c>
      <c r="Z192" s="416">
        <f t="shared" si="31"/>
        <v>0</v>
      </c>
      <c r="AA192" s="416">
        <f t="shared" si="32"/>
        <v>0</v>
      </c>
    </row>
    <row r="193" spans="1:27">
      <c r="A193" s="447" t="s">
        <v>377</v>
      </c>
      <c r="B193" s="422"/>
      <c r="C193" s="422"/>
      <c r="D193" s="422"/>
      <c r="E193" s="422">
        <v>0</v>
      </c>
      <c r="F193" s="422">
        <v>0</v>
      </c>
      <c r="G193" s="422"/>
      <c r="H193" s="422">
        <v>10</v>
      </c>
      <c r="I193" s="422">
        <v>1060</v>
      </c>
      <c r="J193" s="423">
        <v>0</v>
      </c>
      <c r="K193" s="424">
        <v>0</v>
      </c>
      <c r="L193" s="422">
        <v>0</v>
      </c>
      <c r="M193" s="422">
        <v>0</v>
      </c>
      <c r="N193" s="422">
        <v>0</v>
      </c>
      <c r="O193" s="422">
        <v>0</v>
      </c>
      <c r="P193" s="422">
        <v>0</v>
      </c>
      <c r="Q193" s="422">
        <v>0</v>
      </c>
      <c r="R193" s="422">
        <v>0</v>
      </c>
      <c r="S193" s="422">
        <v>0</v>
      </c>
      <c r="T193" s="422"/>
      <c r="U193" s="422"/>
      <c r="V193" s="422">
        <f>_xlfn.IFNA(VLOOKUP(A193,[6]進出口值表查詢結果!$C$11:$F$68,4,0),-[4]整車!$B$22)</f>
        <v>0</v>
      </c>
      <c r="W193" s="422">
        <f>_xlfn.IFNA(VLOOKUP(A193,[6]進出口值表查詢結果!$C$11:$F$68,3,0),-[4]整車!$B$22)</f>
        <v>0</v>
      </c>
      <c r="X193" s="422">
        <f>_xlfn.IFNA(VLOOKUP(A193,[7]進出口值表查詢結果!$C$11:$F$80,4,0),-[4]整車!$B$22)</f>
        <v>0</v>
      </c>
      <c r="Y193" s="422">
        <f>_xlfn.IFNA(VLOOKUP(A193,[7]進出口值表查詢結果!$C$11:$F$80,3,0),-[4]整車!$B$22)</f>
        <v>0</v>
      </c>
      <c r="Z193" s="416">
        <f t="shared" si="31"/>
        <v>10</v>
      </c>
      <c r="AA193" s="416">
        <f t="shared" si="32"/>
        <v>1060</v>
      </c>
    </row>
    <row r="194" spans="1:27">
      <c r="A194" s="459" t="s">
        <v>378</v>
      </c>
      <c r="B194" s="422"/>
      <c r="C194" s="422"/>
      <c r="D194" s="422"/>
      <c r="E194" s="422">
        <v>0</v>
      </c>
      <c r="F194" s="422">
        <v>0</v>
      </c>
      <c r="G194" s="422"/>
      <c r="H194" s="422">
        <v>0</v>
      </c>
      <c r="I194" s="422">
        <v>0</v>
      </c>
      <c r="J194" s="423">
        <v>0</v>
      </c>
      <c r="K194" s="424">
        <v>0</v>
      </c>
      <c r="L194" s="422">
        <v>0</v>
      </c>
      <c r="M194" s="422">
        <v>0</v>
      </c>
      <c r="N194" s="422">
        <v>0</v>
      </c>
      <c r="O194" s="422">
        <v>0</v>
      </c>
      <c r="P194" s="422">
        <v>0</v>
      </c>
      <c r="Q194" s="422">
        <v>0</v>
      </c>
      <c r="R194" s="422">
        <v>0</v>
      </c>
      <c r="S194" s="422">
        <v>0</v>
      </c>
      <c r="T194" s="422"/>
      <c r="U194" s="422"/>
      <c r="V194" s="422">
        <f>_xlfn.IFNA(VLOOKUP(A194,[6]進出口值表查詢結果!$C$11:$F$68,4,0),-[4]整車!$B$22)</f>
        <v>0</v>
      </c>
      <c r="W194" s="422">
        <f>_xlfn.IFNA(VLOOKUP(A194,[6]進出口值表查詢結果!$C$11:$F$68,3,0),-[4]整車!$B$22)</f>
        <v>0</v>
      </c>
      <c r="X194" s="422">
        <f>_xlfn.IFNA(VLOOKUP(A194,[7]進出口值表查詢結果!$C$11:$F$80,4,0),-[4]整車!$B$22)</f>
        <v>0</v>
      </c>
      <c r="Y194" s="422">
        <f>_xlfn.IFNA(VLOOKUP(A194,[7]進出口值表查詢結果!$C$11:$F$80,3,0),-[4]整車!$B$22)</f>
        <v>0</v>
      </c>
      <c r="Z194" s="416">
        <f t="shared" si="31"/>
        <v>0</v>
      </c>
      <c r="AA194" s="416">
        <f t="shared" si="32"/>
        <v>0</v>
      </c>
    </row>
    <row r="195" spans="1:27">
      <c r="A195" s="425" t="s">
        <v>147</v>
      </c>
      <c r="B195" s="422"/>
      <c r="C195" s="422"/>
      <c r="D195" s="422"/>
      <c r="E195" s="422">
        <v>0</v>
      </c>
      <c r="F195" s="422">
        <v>0</v>
      </c>
      <c r="G195" s="422"/>
      <c r="H195" s="422">
        <v>0</v>
      </c>
      <c r="I195" s="422">
        <v>0</v>
      </c>
      <c r="J195" s="423">
        <v>0</v>
      </c>
      <c r="K195" s="424">
        <v>0</v>
      </c>
      <c r="L195" s="422">
        <v>0</v>
      </c>
      <c r="M195" s="422">
        <v>0</v>
      </c>
      <c r="N195" s="422">
        <v>0</v>
      </c>
      <c r="O195" s="422">
        <v>0</v>
      </c>
      <c r="P195" s="422">
        <v>0</v>
      </c>
      <c r="Q195" s="422">
        <v>0</v>
      </c>
      <c r="R195" s="422">
        <v>0</v>
      </c>
      <c r="S195" s="422">
        <v>0</v>
      </c>
      <c r="T195" s="422"/>
      <c r="U195" s="422"/>
      <c r="V195" s="422">
        <f>_xlfn.IFNA(VLOOKUP(A195,[6]進出口值表查詢結果!$C$11:$F$68,4,0),-[4]整車!$B$22)</f>
        <v>0</v>
      </c>
      <c r="W195" s="422">
        <f>_xlfn.IFNA(VLOOKUP(A195,[6]進出口值表查詢結果!$C$11:$F$68,3,0),-[4]整車!$B$22)</f>
        <v>0</v>
      </c>
      <c r="X195" s="422">
        <f>_xlfn.IFNA(VLOOKUP(A195,[7]進出口值表查詢結果!$C$11:$F$80,4,0),-[4]整車!$B$22)</f>
        <v>0</v>
      </c>
      <c r="Y195" s="422">
        <f>_xlfn.IFNA(VLOOKUP(A195,[7]進出口值表查詢結果!$C$11:$F$80,3,0),-[4]整車!$B$22)</f>
        <v>0</v>
      </c>
      <c r="Z195" s="416">
        <f t="shared" si="31"/>
        <v>0</v>
      </c>
      <c r="AA195" s="416">
        <f t="shared" si="32"/>
        <v>0</v>
      </c>
    </row>
    <row r="196" spans="1:27">
      <c r="A196" s="459" t="s">
        <v>379</v>
      </c>
      <c r="B196" s="422"/>
      <c r="C196" s="422"/>
      <c r="D196" s="422"/>
      <c r="E196" s="422">
        <v>0</v>
      </c>
      <c r="F196" s="422">
        <v>0</v>
      </c>
      <c r="G196" s="422"/>
      <c r="H196" s="422">
        <v>0</v>
      </c>
      <c r="I196" s="422">
        <v>0</v>
      </c>
      <c r="J196" s="423">
        <v>0</v>
      </c>
      <c r="K196" s="424">
        <v>0</v>
      </c>
      <c r="L196" s="422">
        <v>0</v>
      </c>
      <c r="M196" s="422">
        <v>0</v>
      </c>
      <c r="N196" s="422">
        <v>0</v>
      </c>
      <c r="O196" s="422">
        <v>0</v>
      </c>
      <c r="P196" s="422">
        <v>0</v>
      </c>
      <c r="Q196" s="422">
        <v>0</v>
      </c>
      <c r="R196" s="422">
        <v>0</v>
      </c>
      <c r="S196" s="422">
        <v>0</v>
      </c>
      <c r="T196" s="422">
        <v>19</v>
      </c>
      <c r="U196" s="422">
        <v>12461</v>
      </c>
      <c r="V196" s="422">
        <f>_xlfn.IFNA(VLOOKUP(A196,[6]進出口值表查詢結果!$C$11:$F$68,4,0),-[4]整車!$B$22)</f>
        <v>0</v>
      </c>
      <c r="W196" s="422">
        <f>_xlfn.IFNA(VLOOKUP(A196,[6]進出口值表查詢結果!$C$11:$F$68,3,0),-[4]整車!$B$22)</f>
        <v>0</v>
      </c>
      <c r="X196" s="422">
        <f>_xlfn.IFNA(VLOOKUP(A196,[7]進出口值表查詢結果!$C$11:$F$80,4,0),-[4]整車!$B$22)</f>
        <v>0</v>
      </c>
      <c r="Y196" s="422">
        <f>_xlfn.IFNA(VLOOKUP(A196,[7]進出口值表查詢結果!$C$11:$F$80,3,0),-[4]整車!$B$22)</f>
        <v>0</v>
      </c>
      <c r="Z196" s="416">
        <f t="shared" si="31"/>
        <v>19</v>
      </c>
      <c r="AA196" s="416">
        <f t="shared" si="32"/>
        <v>12461</v>
      </c>
    </row>
    <row r="197" spans="1:27">
      <c r="A197" s="459" t="s">
        <v>380</v>
      </c>
      <c r="B197" s="422"/>
      <c r="C197" s="422"/>
      <c r="D197" s="422"/>
      <c r="E197" s="422">
        <v>0</v>
      </c>
      <c r="F197" s="422">
        <v>0</v>
      </c>
      <c r="G197" s="422"/>
      <c r="H197" s="422">
        <v>0</v>
      </c>
      <c r="I197" s="422">
        <v>0</v>
      </c>
      <c r="J197" s="423">
        <v>0</v>
      </c>
      <c r="K197" s="424">
        <v>0</v>
      </c>
      <c r="L197" s="422">
        <v>0</v>
      </c>
      <c r="M197" s="422">
        <v>0</v>
      </c>
      <c r="N197" s="422">
        <v>0</v>
      </c>
      <c r="O197" s="422">
        <v>0</v>
      </c>
      <c r="P197" s="422">
        <v>0</v>
      </c>
      <c r="Q197" s="422">
        <v>0</v>
      </c>
      <c r="R197" s="422">
        <v>0</v>
      </c>
      <c r="S197" s="422">
        <v>0</v>
      </c>
      <c r="T197" s="422"/>
      <c r="U197" s="422"/>
      <c r="V197" s="422">
        <f>_xlfn.IFNA(VLOOKUP(A197,[6]進出口值表查詢結果!$C$11:$F$68,4,0),-[4]整車!$B$22)</f>
        <v>0</v>
      </c>
      <c r="W197" s="422">
        <f>_xlfn.IFNA(VLOOKUP(A197,[6]進出口值表查詢結果!$C$11:$F$68,3,0),-[4]整車!$B$22)</f>
        <v>0</v>
      </c>
      <c r="X197" s="422">
        <f>_xlfn.IFNA(VLOOKUP(A197,[7]進出口值表查詢結果!$C$11:$F$80,4,0),-[4]整車!$B$22)</f>
        <v>0</v>
      </c>
      <c r="Y197" s="422">
        <f>_xlfn.IFNA(VLOOKUP(A197,[7]進出口值表查詢結果!$C$11:$F$80,3,0),-[4]整車!$B$22)</f>
        <v>0</v>
      </c>
      <c r="Z197" s="416">
        <f t="shared" si="31"/>
        <v>0</v>
      </c>
      <c r="AA197" s="416">
        <f t="shared" si="32"/>
        <v>0</v>
      </c>
    </row>
    <row r="198" spans="1:27">
      <c r="A198" s="459" t="s">
        <v>381</v>
      </c>
      <c r="B198" s="422"/>
      <c r="C198" s="422"/>
      <c r="D198" s="422"/>
      <c r="E198" s="422">
        <v>0</v>
      </c>
      <c r="F198" s="422">
        <v>0</v>
      </c>
      <c r="G198" s="422"/>
      <c r="H198" s="422">
        <v>0</v>
      </c>
      <c r="I198" s="422">
        <v>0</v>
      </c>
      <c r="J198" s="423">
        <v>0</v>
      </c>
      <c r="K198" s="424">
        <v>0</v>
      </c>
      <c r="L198" s="422">
        <v>0</v>
      </c>
      <c r="M198" s="422">
        <v>0</v>
      </c>
      <c r="N198" s="422">
        <v>0</v>
      </c>
      <c r="O198" s="422">
        <v>0</v>
      </c>
      <c r="P198" s="422">
        <v>0</v>
      </c>
      <c r="Q198" s="422">
        <v>0</v>
      </c>
      <c r="R198" s="422">
        <v>0</v>
      </c>
      <c r="S198" s="422">
        <v>0</v>
      </c>
      <c r="T198" s="422"/>
      <c r="U198" s="422"/>
      <c r="V198" s="422">
        <f>_xlfn.IFNA(VLOOKUP(A198,[6]進出口值表查詢結果!$C$11:$F$68,4,0),-[4]整車!$B$22)</f>
        <v>0</v>
      </c>
      <c r="W198" s="422">
        <f>_xlfn.IFNA(VLOOKUP(A198,[6]進出口值表查詢結果!$C$11:$F$68,3,0),-[4]整車!$B$22)</f>
        <v>0</v>
      </c>
      <c r="X198" s="422">
        <f>_xlfn.IFNA(VLOOKUP(A198,[7]進出口值表查詢結果!$C$11:$F$80,4,0),-[4]整車!$B$22)</f>
        <v>0</v>
      </c>
      <c r="Y198" s="422">
        <f>_xlfn.IFNA(VLOOKUP(A198,[7]進出口值表查詢結果!$C$11:$F$80,3,0),-[4]整車!$B$22)</f>
        <v>0</v>
      </c>
      <c r="Z198" s="416">
        <f t="shared" si="31"/>
        <v>0</v>
      </c>
      <c r="AA198" s="416">
        <f t="shared" si="32"/>
        <v>0</v>
      </c>
    </row>
    <row r="199" spans="1:27">
      <c r="A199" s="459" t="s">
        <v>401</v>
      </c>
      <c r="B199" s="422"/>
      <c r="C199" s="422"/>
      <c r="D199" s="422"/>
      <c r="E199" s="422">
        <v>0</v>
      </c>
      <c r="F199" s="422">
        <v>0</v>
      </c>
      <c r="G199" s="422"/>
      <c r="H199" s="422">
        <v>0</v>
      </c>
      <c r="I199" s="422">
        <v>0</v>
      </c>
      <c r="J199" s="423" t="s">
        <v>59</v>
      </c>
      <c r="K199" s="424">
        <v>0</v>
      </c>
      <c r="L199" s="422">
        <v>10</v>
      </c>
      <c r="M199" s="422">
        <v>1039</v>
      </c>
      <c r="N199" s="422">
        <v>0</v>
      </c>
      <c r="O199" s="422">
        <v>0</v>
      </c>
      <c r="P199" s="422">
        <v>0</v>
      </c>
      <c r="Q199" s="422">
        <v>0</v>
      </c>
      <c r="R199" s="422">
        <v>5</v>
      </c>
      <c r="S199" s="422">
        <v>543</v>
      </c>
      <c r="T199" s="422"/>
      <c r="U199" s="422"/>
      <c r="V199" s="422">
        <f>_xlfn.IFNA(VLOOKUP(A199,[6]進出口值表查詢結果!$C$11:$F$68,4,0),-[4]整車!$B$22)</f>
        <v>2</v>
      </c>
      <c r="W199" s="422">
        <f>_xlfn.IFNA(VLOOKUP(A199,[6]進出口值表查詢結果!$C$11:$F$68,3,0),-[4]整車!$B$22)</f>
        <v>763</v>
      </c>
      <c r="X199" s="422">
        <f>_xlfn.IFNA(VLOOKUP(A199,[7]進出口值表查詢結果!$C$11:$F$80,4,0),-[4]整車!$B$22)</f>
        <v>0</v>
      </c>
      <c r="Y199" s="422">
        <f>_xlfn.IFNA(VLOOKUP(A199,[7]進出口值表查詢結果!$C$11:$F$80,3,0),-[4]整車!$B$22)</f>
        <v>0</v>
      </c>
      <c r="Z199" s="416">
        <f t="shared" si="31"/>
        <v>17</v>
      </c>
      <c r="AA199" s="416">
        <f t="shared" si="32"/>
        <v>2345</v>
      </c>
    </row>
    <row r="200" spans="1:27">
      <c r="A200" s="425" t="s">
        <v>148</v>
      </c>
      <c r="B200" s="422"/>
      <c r="C200" s="422"/>
      <c r="D200" s="422"/>
      <c r="E200" s="422">
        <v>0</v>
      </c>
      <c r="F200" s="422">
        <v>0</v>
      </c>
      <c r="G200" s="422"/>
      <c r="H200" s="422">
        <v>0</v>
      </c>
      <c r="I200" s="422">
        <v>0</v>
      </c>
      <c r="J200" s="423">
        <v>0</v>
      </c>
      <c r="K200" s="424">
        <v>0</v>
      </c>
      <c r="L200" s="422">
        <v>0</v>
      </c>
      <c r="M200" s="422">
        <v>0</v>
      </c>
      <c r="N200" s="422">
        <v>1</v>
      </c>
      <c r="O200" s="422">
        <v>2028</v>
      </c>
      <c r="P200" s="422">
        <v>0</v>
      </c>
      <c r="Q200" s="422">
        <v>0</v>
      </c>
      <c r="R200" s="422">
        <v>0</v>
      </c>
      <c r="S200" s="422">
        <v>0</v>
      </c>
      <c r="T200" s="422"/>
      <c r="U200" s="422"/>
      <c r="V200" s="422">
        <f>_xlfn.IFNA(VLOOKUP(A200,[6]進出口值表查詢結果!$C$11:$F$68,4,0),-[4]整車!$B$22)</f>
        <v>0</v>
      </c>
      <c r="W200" s="422">
        <f>_xlfn.IFNA(VLOOKUP(A200,[6]進出口值表查詢結果!$C$11:$F$68,3,0),-[4]整車!$B$22)</f>
        <v>0</v>
      </c>
      <c r="X200" s="422">
        <f>_xlfn.IFNA(VLOOKUP(A200,[7]進出口值表查詢結果!$C$11:$F$80,4,0),-[4]整車!$B$22)</f>
        <v>0</v>
      </c>
      <c r="Y200" s="422">
        <f>_xlfn.IFNA(VLOOKUP(A200,[7]進出口值表查詢結果!$C$11:$F$80,3,0),-[4]整車!$B$22)</f>
        <v>0</v>
      </c>
      <c r="Z200" s="416">
        <f t="shared" si="31"/>
        <v>1</v>
      </c>
      <c r="AA200" s="416">
        <f t="shared" si="32"/>
        <v>2028</v>
      </c>
    </row>
    <row r="201" spans="1:27">
      <c r="A201" s="463" t="s">
        <v>382</v>
      </c>
      <c r="B201" s="422"/>
      <c r="C201" s="422"/>
      <c r="D201" s="422"/>
      <c r="E201" s="422"/>
      <c r="F201" s="422"/>
      <c r="G201" s="422"/>
      <c r="H201" s="422">
        <v>0</v>
      </c>
      <c r="I201" s="422">
        <v>0</v>
      </c>
      <c r="J201" s="423" t="s">
        <v>59</v>
      </c>
      <c r="K201" s="424"/>
      <c r="L201" s="422">
        <v>0</v>
      </c>
      <c r="M201" s="422">
        <v>0</v>
      </c>
      <c r="N201" s="422">
        <v>0</v>
      </c>
      <c r="O201" s="422">
        <v>0</v>
      </c>
      <c r="P201" s="422">
        <v>0</v>
      </c>
      <c r="Q201" s="422">
        <v>0</v>
      </c>
      <c r="R201" s="422">
        <v>0</v>
      </c>
      <c r="S201" s="422">
        <v>0</v>
      </c>
      <c r="T201" s="422"/>
      <c r="U201" s="422"/>
      <c r="V201" s="422">
        <f>_xlfn.IFNA(VLOOKUP(A201,[6]進出口值表查詢結果!$C$11:$F$68,4,0),-[4]整車!$B$22)</f>
        <v>0</v>
      </c>
      <c r="W201" s="422">
        <f>_xlfn.IFNA(VLOOKUP(A201,[6]進出口值表查詢結果!$C$11:$F$68,3,0),-[4]整車!$B$22)</f>
        <v>0</v>
      </c>
      <c r="X201" s="422">
        <f>_xlfn.IFNA(VLOOKUP(A201,[7]進出口值表查詢結果!$C$11:$F$80,4,0),-[4]整車!$B$22)</f>
        <v>0</v>
      </c>
      <c r="Y201" s="422">
        <f>_xlfn.IFNA(VLOOKUP(A201,[7]進出口值表查詢結果!$C$11:$F$80,3,0),-[4]整車!$B$22)</f>
        <v>0</v>
      </c>
      <c r="Z201" s="416"/>
      <c r="AA201" s="416"/>
    </row>
    <row r="202" spans="1:27">
      <c r="A202" s="459" t="s">
        <v>402</v>
      </c>
      <c r="B202" s="422"/>
      <c r="C202" s="422"/>
      <c r="D202" s="422"/>
      <c r="E202" s="422"/>
      <c r="F202" s="422"/>
      <c r="G202" s="422"/>
      <c r="H202" s="422">
        <v>0</v>
      </c>
      <c r="I202" s="422">
        <v>0</v>
      </c>
      <c r="J202" s="423" t="s">
        <v>59</v>
      </c>
      <c r="K202" s="424"/>
      <c r="L202" s="422">
        <v>0</v>
      </c>
      <c r="M202" s="422">
        <v>0</v>
      </c>
      <c r="N202" s="422">
        <v>0</v>
      </c>
      <c r="O202" s="422">
        <v>0</v>
      </c>
      <c r="P202" s="422">
        <v>0</v>
      </c>
      <c r="Q202" s="422">
        <v>0</v>
      </c>
      <c r="R202" s="422">
        <v>0</v>
      </c>
      <c r="S202" s="422">
        <v>0</v>
      </c>
      <c r="T202" s="422"/>
      <c r="U202" s="422"/>
      <c r="V202" s="422">
        <f>_xlfn.IFNA(VLOOKUP(A202,[6]進出口值表查詢結果!$C$11:$F$68,4,0),-[4]整車!$B$22)</f>
        <v>5</v>
      </c>
      <c r="W202" s="422">
        <f>_xlfn.IFNA(VLOOKUP(A202,[6]進出口值表查詢結果!$C$11:$F$68,3,0),-[4]整車!$B$22)</f>
        <v>7938</v>
      </c>
      <c r="X202" s="422">
        <f>_xlfn.IFNA(VLOOKUP(A202,[7]進出口值表查詢結果!$C$11:$F$80,4,0),-[4]整車!$B$22)</f>
        <v>0</v>
      </c>
      <c r="Y202" s="422">
        <f>_xlfn.IFNA(VLOOKUP(A202,[7]進出口值表查詢結果!$C$11:$F$80,3,0),-[4]整車!$B$22)</f>
        <v>0</v>
      </c>
      <c r="Z202" s="416"/>
      <c r="AA202" s="416"/>
    </row>
    <row r="203" spans="1:27">
      <c r="A203" s="463" t="s">
        <v>403</v>
      </c>
      <c r="B203" s="422"/>
      <c r="C203" s="422"/>
      <c r="D203" s="448">
        <v>0</v>
      </c>
      <c r="E203" s="422">
        <v>0</v>
      </c>
      <c r="F203" s="422">
        <v>0</v>
      </c>
      <c r="G203" s="449"/>
      <c r="H203" s="422">
        <v>0</v>
      </c>
      <c r="I203" s="422">
        <v>0</v>
      </c>
      <c r="J203" s="423">
        <v>0</v>
      </c>
      <c r="K203" s="424">
        <v>0</v>
      </c>
      <c r="L203" s="422">
        <v>0</v>
      </c>
      <c r="M203" s="422">
        <v>0</v>
      </c>
      <c r="N203" s="422">
        <v>0</v>
      </c>
      <c r="O203" s="422">
        <v>0</v>
      </c>
      <c r="P203" s="422">
        <v>0</v>
      </c>
      <c r="Q203" s="422">
        <v>0</v>
      </c>
      <c r="R203" s="422">
        <v>0</v>
      </c>
      <c r="S203" s="422">
        <v>0</v>
      </c>
      <c r="T203" s="422">
        <v>0</v>
      </c>
      <c r="U203" s="422">
        <v>0</v>
      </c>
      <c r="V203" s="422">
        <f>_xlfn.IFNA(VLOOKUP(A203,[6]進出口值表查詢結果!$C$11:$F$68,4,0),-[4]整車!$B$22)</f>
        <v>0</v>
      </c>
      <c r="W203" s="422">
        <f>_xlfn.IFNA(VLOOKUP(A203,[6]進出口值表查詢結果!$C$11:$F$68,3,0),-[4]整車!$B$22)</f>
        <v>0</v>
      </c>
      <c r="X203" s="422">
        <f>_xlfn.IFNA(VLOOKUP(A203,[7]進出口值表查詢結果!$C$11:$F$80,4,0),-[4]整車!$B$22)</f>
        <v>0</v>
      </c>
      <c r="Y203" s="422">
        <f>_xlfn.IFNA(VLOOKUP(A203,[7]進出口值表查詢結果!$C$11:$F$80,3,0),-[4]整車!$B$22)</f>
        <v>0</v>
      </c>
      <c r="Z203" s="422">
        <f>SUM(B203,D203,F203,H203,J203,L203,N203,P203,R203,T203,V203,X203)</f>
        <v>0</v>
      </c>
      <c r="AA203" s="422">
        <f>SUM(C203,E203,G203,I203,K203,M203,O203,Q203,S203,U203,W203,Y203)</f>
        <v>0</v>
      </c>
    </row>
    <row r="204" spans="1:27">
      <c r="A204" s="398"/>
      <c r="B204" s="568" t="s">
        <v>149</v>
      </c>
      <c r="C204" s="569"/>
      <c r="D204" s="399" t="s">
        <v>125</v>
      </c>
      <c r="E204" s="400"/>
      <c r="F204" s="399" t="s">
        <v>126</v>
      </c>
      <c r="G204" s="400"/>
      <c r="H204" s="399" t="s">
        <v>127</v>
      </c>
      <c r="I204" s="400"/>
      <c r="J204" s="401" t="s">
        <v>128</v>
      </c>
      <c r="K204" s="402"/>
      <c r="L204" s="399" t="s">
        <v>129</v>
      </c>
      <c r="M204" s="400"/>
      <c r="N204" s="399" t="s">
        <v>130</v>
      </c>
      <c r="O204" s="400"/>
      <c r="P204" s="399" t="s">
        <v>131</v>
      </c>
      <c r="Q204" s="400"/>
      <c r="R204" s="399" t="s">
        <v>132</v>
      </c>
      <c r="S204" s="400"/>
      <c r="T204" s="399" t="s">
        <v>133</v>
      </c>
      <c r="U204" s="400"/>
      <c r="V204" s="399" t="s">
        <v>134</v>
      </c>
      <c r="W204" s="400"/>
      <c r="X204" s="399" t="s">
        <v>135</v>
      </c>
      <c r="Y204" s="400"/>
      <c r="Z204" s="568" t="s">
        <v>106</v>
      </c>
      <c r="AA204" s="569"/>
    </row>
    <row r="205" spans="1:27">
      <c r="A205" s="450" t="s">
        <v>150</v>
      </c>
      <c r="B205" s="404" t="s">
        <v>137</v>
      </c>
      <c r="C205" s="404" t="s">
        <v>138</v>
      </c>
      <c r="D205" s="404" t="s">
        <v>139</v>
      </c>
      <c r="E205" s="404" t="s">
        <v>140</v>
      </c>
      <c r="F205" s="404" t="s">
        <v>139</v>
      </c>
      <c r="G205" s="404" t="s">
        <v>140</v>
      </c>
      <c r="H205" s="404" t="s">
        <v>139</v>
      </c>
      <c r="I205" s="404" t="s">
        <v>140</v>
      </c>
      <c r="J205" s="405" t="s">
        <v>139</v>
      </c>
      <c r="K205" s="406" t="s">
        <v>140</v>
      </c>
      <c r="L205" s="404" t="s">
        <v>139</v>
      </c>
      <c r="M205" s="404" t="s">
        <v>140</v>
      </c>
      <c r="N205" s="404" t="s">
        <v>139</v>
      </c>
      <c r="O205" s="404" t="s">
        <v>140</v>
      </c>
      <c r="P205" s="404" t="s">
        <v>139</v>
      </c>
      <c r="Q205" s="404" t="s">
        <v>140</v>
      </c>
      <c r="R205" s="404" t="s">
        <v>139</v>
      </c>
      <c r="S205" s="404" t="s">
        <v>140</v>
      </c>
      <c r="T205" s="404" t="s">
        <v>139</v>
      </c>
      <c r="U205" s="404" t="s">
        <v>140</v>
      </c>
      <c r="V205" s="404" t="s">
        <v>139</v>
      </c>
      <c r="W205" s="404" t="s">
        <v>140</v>
      </c>
      <c r="X205" s="404" t="s">
        <v>139</v>
      </c>
      <c r="Y205" s="404" t="s">
        <v>140</v>
      </c>
      <c r="Z205" s="404" t="s">
        <v>139</v>
      </c>
      <c r="AA205" s="404" t="s">
        <v>140</v>
      </c>
    </row>
    <row r="206" spans="1:27">
      <c r="A206" s="403" t="s">
        <v>151</v>
      </c>
      <c r="B206" s="422">
        <v>6025</v>
      </c>
      <c r="C206" s="422">
        <v>1562479</v>
      </c>
      <c r="D206" s="422">
        <v>5953</v>
      </c>
      <c r="E206" s="422">
        <v>1186109</v>
      </c>
      <c r="F206" s="422">
        <v>5066</v>
      </c>
      <c r="G206" s="422">
        <v>1570229</v>
      </c>
      <c r="H206" s="422">
        <v>7242</v>
      </c>
      <c r="I206" s="422">
        <v>1397285</v>
      </c>
      <c r="J206" s="423">
        <v>9565</v>
      </c>
      <c r="K206" s="424">
        <v>2314635</v>
      </c>
      <c r="L206" s="422">
        <v>11407</v>
      </c>
      <c r="M206" s="422">
        <v>2211195</v>
      </c>
      <c r="N206" s="422">
        <v>8718</v>
      </c>
      <c r="O206" s="422">
        <v>1911196</v>
      </c>
      <c r="P206" s="422"/>
      <c r="Q206" s="422"/>
      <c r="R206" s="422"/>
      <c r="S206" s="422"/>
      <c r="T206" s="422"/>
      <c r="U206" s="422"/>
      <c r="V206" s="422"/>
      <c r="W206" s="422"/>
      <c r="X206" s="422"/>
      <c r="Y206" s="422"/>
      <c r="Z206" s="422">
        <f>SUM(B206,D206,F206,H206,J206,L206,N206,P206,R206,T206,V206,X206)</f>
        <v>53976</v>
      </c>
      <c r="AA206" s="416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tabSelected="1" topLeftCell="D1" zoomScale="90" zoomScaleNormal="90" workbookViewId="0">
      <selection activeCell="I10" sqref="I10"/>
    </sheetView>
  </sheetViews>
  <sheetFormatPr defaultRowHeight="16.5"/>
  <cols>
    <col min="1" max="1" width="6.5" style="96" customWidth="1"/>
    <col min="2" max="2" width="16.7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13.875" style="5" customWidth="1"/>
    <col min="11" max="11" width="8.875" style="5"/>
    <col min="12" max="12" width="11.875" style="5" customWidth="1"/>
    <col min="13" max="254" width="8.875" style="5"/>
    <col min="255" max="255" width="6.5" style="5" customWidth="1"/>
    <col min="256" max="256" width="16.75" style="5" customWidth="1"/>
    <col min="257" max="257" width="13.875" style="5" customWidth="1"/>
    <col min="258" max="258" width="13.5" style="5" customWidth="1"/>
    <col min="259" max="260" width="14.375" style="5" customWidth="1"/>
    <col min="261" max="261" width="14.125" style="5" customWidth="1"/>
    <col min="262" max="263" width="13.5" style="5" customWidth="1"/>
    <col min="264" max="264" width="13.875" style="5" customWidth="1"/>
    <col min="265" max="510" width="8.875" style="5"/>
    <col min="511" max="511" width="6.5" style="5" customWidth="1"/>
    <col min="512" max="512" width="16.75" style="5" customWidth="1"/>
    <col min="513" max="513" width="13.875" style="5" customWidth="1"/>
    <col min="514" max="514" width="13.5" style="5" customWidth="1"/>
    <col min="515" max="516" width="14.375" style="5" customWidth="1"/>
    <col min="517" max="517" width="14.125" style="5" customWidth="1"/>
    <col min="518" max="519" width="13.5" style="5" customWidth="1"/>
    <col min="520" max="520" width="13.875" style="5" customWidth="1"/>
    <col min="521" max="766" width="8.875" style="5"/>
    <col min="767" max="767" width="6.5" style="5" customWidth="1"/>
    <col min="768" max="768" width="16.75" style="5" customWidth="1"/>
    <col min="769" max="769" width="13.875" style="5" customWidth="1"/>
    <col min="770" max="770" width="13.5" style="5" customWidth="1"/>
    <col min="771" max="772" width="14.375" style="5" customWidth="1"/>
    <col min="773" max="773" width="14.125" style="5" customWidth="1"/>
    <col min="774" max="775" width="13.5" style="5" customWidth="1"/>
    <col min="776" max="776" width="13.875" style="5" customWidth="1"/>
    <col min="777" max="1022" width="8.875" style="5"/>
    <col min="1023" max="1023" width="6.5" style="5" customWidth="1"/>
    <col min="1024" max="1024" width="16.75" style="5" customWidth="1"/>
    <col min="1025" max="1025" width="13.875" style="5" customWidth="1"/>
    <col min="1026" max="1026" width="13.5" style="5" customWidth="1"/>
    <col min="1027" max="1028" width="14.375" style="5" customWidth="1"/>
    <col min="1029" max="1029" width="14.125" style="5" customWidth="1"/>
    <col min="1030" max="1031" width="13.5" style="5" customWidth="1"/>
    <col min="1032" max="1032" width="13.875" style="5" customWidth="1"/>
    <col min="1033" max="1278" width="8.875" style="5"/>
    <col min="1279" max="1279" width="6.5" style="5" customWidth="1"/>
    <col min="1280" max="1280" width="16.75" style="5" customWidth="1"/>
    <col min="1281" max="1281" width="13.875" style="5" customWidth="1"/>
    <col min="1282" max="1282" width="13.5" style="5" customWidth="1"/>
    <col min="1283" max="1284" width="14.375" style="5" customWidth="1"/>
    <col min="1285" max="1285" width="14.125" style="5" customWidth="1"/>
    <col min="1286" max="1287" width="13.5" style="5" customWidth="1"/>
    <col min="1288" max="1288" width="13.875" style="5" customWidth="1"/>
    <col min="1289" max="1534" width="8.875" style="5"/>
    <col min="1535" max="1535" width="6.5" style="5" customWidth="1"/>
    <col min="1536" max="1536" width="16.75" style="5" customWidth="1"/>
    <col min="1537" max="1537" width="13.875" style="5" customWidth="1"/>
    <col min="1538" max="1538" width="13.5" style="5" customWidth="1"/>
    <col min="1539" max="1540" width="14.375" style="5" customWidth="1"/>
    <col min="1541" max="1541" width="14.125" style="5" customWidth="1"/>
    <col min="1542" max="1543" width="13.5" style="5" customWidth="1"/>
    <col min="1544" max="1544" width="13.875" style="5" customWidth="1"/>
    <col min="1545" max="1790" width="8.875" style="5"/>
    <col min="1791" max="1791" width="6.5" style="5" customWidth="1"/>
    <col min="1792" max="1792" width="16.75" style="5" customWidth="1"/>
    <col min="1793" max="1793" width="13.875" style="5" customWidth="1"/>
    <col min="1794" max="1794" width="13.5" style="5" customWidth="1"/>
    <col min="1795" max="1796" width="14.375" style="5" customWidth="1"/>
    <col min="1797" max="1797" width="14.125" style="5" customWidth="1"/>
    <col min="1798" max="1799" width="13.5" style="5" customWidth="1"/>
    <col min="1800" max="1800" width="13.875" style="5" customWidth="1"/>
    <col min="1801" max="2046" width="8.875" style="5"/>
    <col min="2047" max="2047" width="6.5" style="5" customWidth="1"/>
    <col min="2048" max="2048" width="16.75" style="5" customWidth="1"/>
    <col min="2049" max="2049" width="13.875" style="5" customWidth="1"/>
    <col min="2050" max="2050" width="13.5" style="5" customWidth="1"/>
    <col min="2051" max="2052" width="14.375" style="5" customWidth="1"/>
    <col min="2053" max="2053" width="14.125" style="5" customWidth="1"/>
    <col min="2054" max="2055" width="13.5" style="5" customWidth="1"/>
    <col min="2056" max="2056" width="13.875" style="5" customWidth="1"/>
    <col min="2057" max="2302" width="8.875" style="5"/>
    <col min="2303" max="2303" width="6.5" style="5" customWidth="1"/>
    <col min="2304" max="2304" width="16.75" style="5" customWidth="1"/>
    <col min="2305" max="2305" width="13.875" style="5" customWidth="1"/>
    <col min="2306" max="2306" width="13.5" style="5" customWidth="1"/>
    <col min="2307" max="2308" width="14.375" style="5" customWidth="1"/>
    <col min="2309" max="2309" width="14.125" style="5" customWidth="1"/>
    <col min="2310" max="2311" width="13.5" style="5" customWidth="1"/>
    <col min="2312" max="2312" width="13.875" style="5" customWidth="1"/>
    <col min="2313" max="2558" width="8.875" style="5"/>
    <col min="2559" max="2559" width="6.5" style="5" customWidth="1"/>
    <col min="2560" max="2560" width="16.75" style="5" customWidth="1"/>
    <col min="2561" max="2561" width="13.875" style="5" customWidth="1"/>
    <col min="2562" max="2562" width="13.5" style="5" customWidth="1"/>
    <col min="2563" max="2564" width="14.375" style="5" customWidth="1"/>
    <col min="2565" max="2565" width="14.125" style="5" customWidth="1"/>
    <col min="2566" max="2567" width="13.5" style="5" customWidth="1"/>
    <col min="2568" max="2568" width="13.875" style="5" customWidth="1"/>
    <col min="2569" max="2814" width="8.875" style="5"/>
    <col min="2815" max="2815" width="6.5" style="5" customWidth="1"/>
    <col min="2816" max="2816" width="16.75" style="5" customWidth="1"/>
    <col min="2817" max="2817" width="13.875" style="5" customWidth="1"/>
    <col min="2818" max="2818" width="13.5" style="5" customWidth="1"/>
    <col min="2819" max="2820" width="14.375" style="5" customWidth="1"/>
    <col min="2821" max="2821" width="14.125" style="5" customWidth="1"/>
    <col min="2822" max="2823" width="13.5" style="5" customWidth="1"/>
    <col min="2824" max="2824" width="13.875" style="5" customWidth="1"/>
    <col min="2825" max="3070" width="8.875" style="5"/>
    <col min="3071" max="3071" width="6.5" style="5" customWidth="1"/>
    <col min="3072" max="3072" width="16.75" style="5" customWidth="1"/>
    <col min="3073" max="3073" width="13.875" style="5" customWidth="1"/>
    <col min="3074" max="3074" width="13.5" style="5" customWidth="1"/>
    <col min="3075" max="3076" width="14.375" style="5" customWidth="1"/>
    <col min="3077" max="3077" width="14.125" style="5" customWidth="1"/>
    <col min="3078" max="3079" width="13.5" style="5" customWidth="1"/>
    <col min="3080" max="3080" width="13.875" style="5" customWidth="1"/>
    <col min="3081" max="3326" width="8.875" style="5"/>
    <col min="3327" max="3327" width="6.5" style="5" customWidth="1"/>
    <col min="3328" max="3328" width="16.75" style="5" customWidth="1"/>
    <col min="3329" max="3329" width="13.875" style="5" customWidth="1"/>
    <col min="3330" max="3330" width="13.5" style="5" customWidth="1"/>
    <col min="3331" max="3332" width="14.375" style="5" customWidth="1"/>
    <col min="3333" max="3333" width="14.125" style="5" customWidth="1"/>
    <col min="3334" max="3335" width="13.5" style="5" customWidth="1"/>
    <col min="3336" max="3336" width="13.875" style="5" customWidth="1"/>
    <col min="3337" max="3582" width="8.875" style="5"/>
    <col min="3583" max="3583" width="6.5" style="5" customWidth="1"/>
    <col min="3584" max="3584" width="16.75" style="5" customWidth="1"/>
    <col min="3585" max="3585" width="13.875" style="5" customWidth="1"/>
    <col min="3586" max="3586" width="13.5" style="5" customWidth="1"/>
    <col min="3587" max="3588" width="14.375" style="5" customWidth="1"/>
    <col min="3589" max="3589" width="14.125" style="5" customWidth="1"/>
    <col min="3590" max="3591" width="13.5" style="5" customWidth="1"/>
    <col min="3592" max="3592" width="13.875" style="5" customWidth="1"/>
    <col min="3593" max="3838" width="8.875" style="5"/>
    <col min="3839" max="3839" width="6.5" style="5" customWidth="1"/>
    <col min="3840" max="3840" width="16.75" style="5" customWidth="1"/>
    <col min="3841" max="3841" width="13.875" style="5" customWidth="1"/>
    <col min="3842" max="3842" width="13.5" style="5" customWidth="1"/>
    <col min="3843" max="3844" width="14.375" style="5" customWidth="1"/>
    <col min="3845" max="3845" width="14.125" style="5" customWidth="1"/>
    <col min="3846" max="3847" width="13.5" style="5" customWidth="1"/>
    <col min="3848" max="3848" width="13.875" style="5" customWidth="1"/>
    <col min="3849" max="4094" width="8.875" style="5"/>
    <col min="4095" max="4095" width="6.5" style="5" customWidth="1"/>
    <col min="4096" max="4096" width="16.75" style="5" customWidth="1"/>
    <col min="4097" max="4097" width="13.875" style="5" customWidth="1"/>
    <col min="4098" max="4098" width="13.5" style="5" customWidth="1"/>
    <col min="4099" max="4100" width="14.375" style="5" customWidth="1"/>
    <col min="4101" max="4101" width="14.125" style="5" customWidth="1"/>
    <col min="4102" max="4103" width="13.5" style="5" customWidth="1"/>
    <col min="4104" max="4104" width="13.875" style="5" customWidth="1"/>
    <col min="4105" max="4350" width="8.875" style="5"/>
    <col min="4351" max="4351" width="6.5" style="5" customWidth="1"/>
    <col min="4352" max="4352" width="16.75" style="5" customWidth="1"/>
    <col min="4353" max="4353" width="13.875" style="5" customWidth="1"/>
    <col min="4354" max="4354" width="13.5" style="5" customWidth="1"/>
    <col min="4355" max="4356" width="14.375" style="5" customWidth="1"/>
    <col min="4357" max="4357" width="14.125" style="5" customWidth="1"/>
    <col min="4358" max="4359" width="13.5" style="5" customWidth="1"/>
    <col min="4360" max="4360" width="13.875" style="5" customWidth="1"/>
    <col min="4361" max="4606" width="8.875" style="5"/>
    <col min="4607" max="4607" width="6.5" style="5" customWidth="1"/>
    <col min="4608" max="4608" width="16.75" style="5" customWidth="1"/>
    <col min="4609" max="4609" width="13.875" style="5" customWidth="1"/>
    <col min="4610" max="4610" width="13.5" style="5" customWidth="1"/>
    <col min="4611" max="4612" width="14.375" style="5" customWidth="1"/>
    <col min="4613" max="4613" width="14.125" style="5" customWidth="1"/>
    <col min="4614" max="4615" width="13.5" style="5" customWidth="1"/>
    <col min="4616" max="4616" width="13.875" style="5" customWidth="1"/>
    <col min="4617" max="4862" width="8.875" style="5"/>
    <col min="4863" max="4863" width="6.5" style="5" customWidth="1"/>
    <col min="4864" max="4864" width="16.75" style="5" customWidth="1"/>
    <col min="4865" max="4865" width="13.875" style="5" customWidth="1"/>
    <col min="4866" max="4866" width="13.5" style="5" customWidth="1"/>
    <col min="4867" max="4868" width="14.375" style="5" customWidth="1"/>
    <col min="4869" max="4869" width="14.125" style="5" customWidth="1"/>
    <col min="4870" max="4871" width="13.5" style="5" customWidth="1"/>
    <col min="4872" max="4872" width="13.875" style="5" customWidth="1"/>
    <col min="4873" max="5118" width="8.875" style="5"/>
    <col min="5119" max="5119" width="6.5" style="5" customWidth="1"/>
    <col min="5120" max="5120" width="16.75" style="5" customWidth="1"/>
    <col min="5121" max="5121" width="13.875" style="5" customWidth="1"/>
    <col min="5122" max="5122" width="13.5" style="5" customWidth="1"/>
    <col min="5123" max="5124" width="14.375" style="5" customWidth="1"/>
    <col min="5125" max="5125" width="14.125" style="5" customWidth="1"/>
    <col min="5126" max="5127" width="13.5" style="5" customWidth="1"/>
    <col min="5128" max="5128" width="13.875" style="5" customWidth="1"/>
    <col min="5129" max="5374" width="8.875" style="5"/>
    <col min="5375" max="5375" width="6.5" style="5" customWidth="1"/>
    <col min="5376" max="5376" width="16.75" style="5" customWidth="1"/>
    <col min="5377" max="5377" width="13.875" style="5" customWidth="1"/>
    <col min="5378" max="5378" width="13.5" style="5" customWidth="1"/>
    <col min="5379" max="5380" width="14.375" style="5" customWidth="1"/>
    <col min="5381" max="5381" width="14.125" style="5" customWidth="1"/>
    <col min="5382" max="5383" width="13.5" style="5" customWidth="1"/>
    <col min="5384" max="5384" width="13.875" style="5" customWidth="1"/>
    <col min="5385" max="5630" width="8.875" style="5"/>
    <col min="5631" max="5631" width="6.5" style="5" customWidth="1"/>
    <col min="5632" max="5632" width="16.75" style="5" customWidth="1"/>
    <col min="5633" max="5633" width="13.875" style="5" customWidth="1"/>
    <col min="5634" max="5634" width="13.5" style="5" customWidth="1"/>
    <col min="5635" max="5636" width="14.375" style="5" customWidth="1"/>
    <col min="5637" max="5637" width="14.125" style="5" customWidth="1"/>
    <col min="5638" max="5639" width="13.5" style="5" customWidth="1"/>
    <col min="5640" max="5640" width="13.875" style="5" customWidth="1"/>
    <col min="5641" max="5886" width="8.875" style="5"/>
    <col min="5887" max="5887" width="6.5" style="5" customWidth="1"/>
    <col min="5888" max="5888" width="16.75" style="5" customWidth="1"/>
    <col min="5889" max="5889" width="13.875" style="5" customWidth="1"/>
    <col min="5890" max="5890" width="13.5" style="5" customWidth="1"/>
    <col min="5891" max="5892" width="14.375" style="5" customWidth="1"/>
    <col min="5893" max="5893" width="14.125" style="5" customWidth="1"/>
    <col min="5894" max="5895" width="13.5" style="5" customWidth="1"/>
    <col min="5896" max="5896" width="13.875" style="5" customWidth="1"/>
    <col min="5897" max="6142" width="8.875" style="5"/>
    <col min="6143" max="6143" width="6.5" style="5" customWidth="1"/>
    <col min="6144" max="6144" width="16.75" style="5" customWidth="1"/>
    <col min="6145" max="6145" width="13.875" style="5" customWidth="1"/>
    <col min="6146" max="6146" width="13.5" style="5" customWidth="1"/>
    <col min="6147" max="6148" width="14.375" style="5" customWidth="1"/>
    <col min="6149" max="6149" width="14.125" style="5" customWidth="1"/>
    <col min="6150" max="6151" width="13.5" style="5" customWidth="1"/>
    <col min="6152" max="6152" width="13.875" style="5" customWidth="1"/>
    <col min="6153" max="6398" width="8.875" style="5"/>
    <col min="6399" max="6399" width="6.5" style="5" customWidth="1"/>
    <col min="6400" max="6400" width="16.75" style="5" customWidth="1"/>
    <col min="6401" max="6401" width="13.875" style="5" customWidth="1"/>
    <col min="6402" max="6402" width="13.5" style="5" customWidth="1"/>
    <col min="6403" max="6404" width="14.375" style="5" customWidth="1"/>
    <col min="6405" max="6405" width="14.125" style="5" customWidth="1"/>
    <col min="6406" max="6407" width="13.5" style="5" customWidth="1"/>
    <col min="6408" max="6408" width="13.875" style="5" customWidth="1"/>
    <col min="6409" max="6654" width="8.875" style="5"/>
    <col min="6655" max="6655" width="6.5" style="5" customWidth="1"/>
    <col min="6656" max="6656" width="16.75" style="5" customWidth="1"/>
    <col min="6657" max="6657" width="13.875" style="5" customWidth="1"/>
    <col min="6658" max="6658" width="13.5" style="5" customWidth="1"/>
    <col min="6659" max="6660" width="14.375" style="5" customWidth="1"/>
    <col min="6661" max="6661" width="14.125" style="5" customWidth="1"/>
    <col min="6662" max="6663" width="13.5" style="5" customWidth="1"/>
    <col min="6664" max="6664" width="13.875" style="5" customWidth="1"/>
    <col min="6665" max="6910" width="8.875" style="5"/>
    <col min="6911" max="6911" width="6.5" style="5" customWidth="1"/>
    <col min="6912" max="6912" width="16.75" style="5" customWidth="1"/>
    <col min="6913" max="6913" width="13.875" style="5" customWidth="1"/>
    <col min="6914" max="6914" width="13.5" style="5" customWidth="1"/>
    <col min="6915" max="6916" width="14.375" style="5" customWidth="1"/>
    <col min="6917" max="6917" width="14.125" style="5" customWidth="1"/>
    <col min="6918" max="6919" width="13.5" style="5" customWidth="1"/>
    <col min="6920" max="6920" width="13.875" style="5" customWidth="1"/>
    <col min="6921" max="7166" width="8.875" style="5"/>
    <col min="7167" max="7167" width="6.5" style="5" customWidth="1"/>
    <col min="7168" max="7168" width="16.75" style="5" customWidth="1"/>
    <col min="7169" max="7169" width="13.875" style="5" customWidth="1"/>
    <col min="7170" max="7170" width="13.5" style="5" customWidth="1"/>
    <col min="7171" max="7172" width="14.375" style="5" customWidth="1"/>
    <col min="7173" max="7173" width="14.125" style="5" customWidth="1"/>
    <col min="7174" max="7175" width="13.5" style="5" customWidth="1"/>
    <col min="7176" max="7176" width="13.875" style="5" customWidth="1"/>
    <col min="7177" max="7422" width="8.875" style="5"/>
    <col min="7423" max="7423" width="6.5" style="5" customWidth="1"/>
    <col min="7424" max="7424" width="16.75" style="5" customWidth="1"/>
    <col min="7425" max="7425" width="13.875" style="5" customWidth="1"/>
    <col min="7426" max="7426" width="13.5" style="5" customWidth="1"/>
    <col min="7427" max="7428" width="14.375" style="5" customWidth="1"/>
    <col min="7429" max="7429" width="14.125" style="5" customWidth="1"/>
    <col min="7430" max="7431" width="13.5" style="5" customWidth="1"/>
    <col min="7432" max="7432" width="13.875" style="5" customWidth="1"/>
    <col min="7433" max="7678" width="8.875" style="5"/>
    <col min="7679" max="7679" width="6.5" style="5" customWidth="1"/>
    <col min="7680" max="7680" width="16.75" style="5" customWidth="1"/>
    <col min="7681" max="7681" width="13.875" style="5" customWidth="1"/>
    <col min="7682" max="7682" width="13.5" style="5" customWidth="1"/>
    <col min="7683" max="7684" width="14.375" style="5" customWidth="1"/>
    <col min="7685" max="7685" width="14.125" style="5" customWidth="1"/>
    <col min="7686" max="7687" width="13.5" style="5" customWidth="1"/>
    <col min="7688" max="7688" width="13.875" style="5" customWidth="1"/>
    <col min="7689" max="7934" width="8.875" style="5"/>
    <col min="7935" max="7935" width="6.5" style="5" customWidth="1"/>
    <col min="7936" max="7936" width="16.75" style="5" customWidth="1"/>
    <col min="7937" max="7937" width="13.875" style="5" customWidth="1"/>
    <col min="7938" max="7938" width="13.5" style="5" customWidth="1"/>
    <col min="7939" max="7940" width="14.375" style="5" customWidth="1"/>
    <col min="7941" max="7941" width="14.125" style="5" customWidth="1"/>
    <col min="7942" max="7943" width="13.5" style="5" customWidth="1"/>
    <col min="7944" max="7944" width="13.875" style="5" customWidth="1"/>
    <col min="7945" max="8190" width="8.875" style="5"/>
    <col min="8191" max="8191" width="6.5" style="5" customWidth="1"/>
    <col min="8192" max="8192" width="16.75" style="5" customWidth="1"/>
    <col min="8193" max="8193" width="13.875" style="5" customWidth="1"/>
    <col min="8194" max="8194" width="13.5" style="5" customWidth="1"/>
    <col min="8195" max="8196" width="14.375" style="5" customWidth="1"/>
    <col min="8197" max="8197" width="14.125" style="5" customWidth="1"/>
    <col min="8198" max="8199" width="13.5" style="5" customWidth="1"/>
    <col min="8200" max="8200" width="13.875" style="5" customWidth="1"/>
    <col min="8201" max="8446" width="8.875" style="5"/>
    <col min="8447" max="8447" width="6.5" style="5" customWidth="1"/>
    <col min="8448" max="8448" width="16.75" style="5" customWidth="1"/>
    <col min="8449" max="8449" width="13.875" style="5" customWidth="1"/>
    <col min="8450" max="8450" width="13.5" style="5" customWidth="1"/>
    <col min="8451" max="8452" width="14.375" style="5" customWidth="1"/>
    <col min="8453" max="8453" width="14.125" style="5" customWidth="1"/>
    <col min="8454" max="8455" width="13.5" style="5" customWidth="1"/>
    <col min="8456" max="8456" width="13.875" style="5" customWidth="1"/>
    <col min="8457" max="8702" width="8.875" style="5"/>
    <col min="8703" max="8703" width="6.5" style="5" customWidth="1"/>
    <col min="8704" max="8704" width="16.75" style="5" customWidth="1"/>
    <col min="8705" max="8705" width="13.875" style="5" customWidth="1"/>
    <col min="8706" max="8706" width="13.5" style="5" customWidth="1"/>
    <col min="8707" max="8708" width="14.375" style="5" customWidth="1"/>
    <col min="8709" max="8709" width="14.125" style="5" customWidth="1"/>
    <col min="8710" max="8711" width="13.5" style="5" customWidth="1"/>
    <col min="8712" max="8712" width="13.875" style="5" customWidth="1"/>
    <col min="8713" max="8958" width="8.875" style="5"/>
    <col min="8959" max="8959" width="6.5" style="5" customWidth="1"/>
    <col min="8960" max="8960" width="16.75" style="5" customWidth="1"/>
    <col min="8961" max="8961" width="13.875" style="5" customWidth="1"/>
    <col min="8962" max="8962" width="13.5" style="5" customWidth="1"/>
    <col min="8963" max="8964" width="14.375" style="5" customWidth="1"/>
    <col min="8965" max="8965" width="14.125" style="5" customWidth="1"/>
    <col min="8966" max="8967" width="13.5" style="5" customWidth="1"/>
    <col min="8968" max="8968" width="13.875" style="5" customWidth="1"/>
    <col min="8969" max="9214" width="8.875" style="5"/>
    <col min="9215" max="9215" width="6.5" style="5" customWidth="1"/>
    <col min="9216" max="9216" width="16.75" style="5" customWidth="1"/>
    <col min="9217" max="9217" width="13.875" style="5" customWidth="1"/>
    <col min="9218" max="9218" width="13.5" style="5" customWidth="1"/>
    <col min="9219" max="9220" width="14.375" style="5" customWidth="1"/>
    <col min="9221" max="9221" width="14.125" style="5" customWidth="1"/>
    <col min="9222" max="9223" width="13.5" style="5" customWidth="1"/>
    <col min="9224" max="9224" width="13.875" style="5" customWidth="1"/>
    <col min="9225" max="9470" width="8.875" style="5"/>
    <col min="9471" max="9471" width="6.5" style="5" customWidth="1"/>
    <col min="9472" max="9472" width="16.75" style="5" customWidth="1"/>
    <col min="9473" max="9473" width="13.875" style="5" customWidth="1"/>
    <col min="9474" max="9474" width="13.5" style="5" customWidth="1"/>
    <col min="9475" max="9476" width="14.375" style="5" customWidth="1"/>
    <col min="9477" max="9477" width="14.125" style="5" customWidth="1"/>
    <col min="9478" max="9479" width="13.5" style="5" customWidth="1"/>
    <col min="9480" max="9480" width="13.875" style="5" customWidth="1"/>
    <col min="9481" max="9726" width="8.875" style="5"/>
    <col min="9727" max="9727" width="6.5" style="5" customWidth="1"/>
    <col min="9728" max="9728" width="16.75" style="5" customWidth="1"/>
    <col min="9729" max="9729" width="13.875" style="5" customWidth="1"/>
    <col min="9730" max="9730" width="13.5" style="5" customWidth="1"/>
    <col min="9731" max="9732" width="14.375" style="5" customWidth="1"/>
    <col min="9733" max="9733" width="14.125" style="5" customWidth="1"/>
    <col min="9734" max="9735" width="13.5" style="5" customWidth="1"/>
    <col min="9736" max="9736" width="13.875" style="5" customWidth="1"/>
    <col min="9737" max="9982" width="8.875" style="5"/>
    <col min="9983" max="9983" width="6.5" style="5" customWidth="1"/>
    <col min="9984" max="9984" width="16.75" style="5" customWidth="1"/>
    <col min="9985" max="9985" width="13.875" style="5" customWidth="1"/>
    <col min="9986" max="9986" width="13.5" style="5" customWidth="1"/>
    <col min="9987" max="9988" width="14.375" style="5" customWidth="1"/>
    <col min="9989" max="9989" width="14.125" style="5" customWidth="1"/>
    <col min="9990" max="9991" width="13.5" style="5" customWidth="1"/>
    <col min="9992" max="9992" width="13.875" style="5" customWidth="1"/>
    <col min="9993" max="10238" width="8.875" style="5"/>
    <col min="10239" max="10239" width="6.5" style="5" customWidth="1"/>
    <col min="10240" max="10240" width="16.75" style="5" customWidth="1"/>
    <col min="10241" max="10241" width="13.875" style="5" customWidth="1"/>
    <col min="10242" max="10242" width="13.5" style="5" customWidth="1"/>
    <col min="10243" max="10244" width="14.375" style="5" customWidth="1"/>
    <col min="10245" max="10245" width="14.125" style="5" customWidth="1"/>
    <col min="10246" max="10247" width="13.5" style="5" customWidth="1"/>
    <col min="10248" max="10248" width="13.875" style="5" customWidth="1"/>
    <col min="10249" max="10494" width="8.875" style="5"/>
    <col min="10495" max="10495" width="6.5" style="5" customWidth="1"/>
    <col min="10496" max="10496" width="16.75" style="5" customWidth="1"/>
    <col min="10497" max="10497" width="13.875" style="5" customWidth="1"/>
    <col min="10498" max="10498" width="13.5" style="5" customWidth="1"/>
    <col min="10499" max="10500" width="14.375" style="5" customWidth="1"/>
    <col min="10501" max="10501" width="14.125" style="5" customWidth="1"/>
    <col min="10502" max="10503" width="13.5" style="5" customWidth="1"/>
    <col min="10504" max="10504" width="13.875" style="5" customWidth="1"/>
    <col min="10505" max="10750" width="8.875" style="5"/>
    <col min="10751" max="10751" width="6.5" style="5" customWidth="1"/>
    <col min="10752" max="10752" width="16.75" style="5" customWidth="1"/>
    <col min="10753" max="10753" width="13.875" style="5" customWidth="1"/>
    <col min="10754" max="10754" width="13.5" style="5" customWidth="1"/>
    <col min="10755" max="10756" width="14.375" style="5" customWidth="1"/>
    <col min="10757" max="10757" width="14.125" style="5" customWidth="1"/>
    <col min="10758" max="10759" width="13.5" style="5" customWidth="1"/>
    <col min="10760" max="10760" width="13.875" style="5" customWidth="1"/>
    <col min="10761" max="11006" width="8.875" style="5"/>
    <col min="11007" max="11007" width="6.5" style="5" customWidth="1"/>
    <col min="11008" max="11008" width="16.75" style="5" customWidth="1"/>
    <col min="11009" max="11009" width="13.875" style="5" customWidth="1"/>
    <col min="11010" max="11010" width="13.5" style="5" customWidth="1"/>
    <col min="11011" max="11012" width="14.375" style="5" customWidth="1"/>
    <col min="11013" max="11013" width="14.125" style="5" customWidth="1"/>
    <col min="11014" max="11015" width="13.5" style="5" customWidth="1"/>
    <col min="11016" max="11016" width="13.875" style="5" customWidth="1"/>
    <col min="11017" max="11262" width="8.875" style="5"/>
    <col min="11263" max="11263" width="6.5" style="5" customWidth="1"/>
    <col min="11264" max="11264" width="16.75" style="5" customWidth="1"/>
    <col min="11265" max="11265" width="13.875" style="5" customWidth="1"/>
    <col min="11266" max="11266" width="13.5" style="5" customWidth="1"/>
    <col min="11267" max="11268" width="14.375" style="5" customWidth="1"/>
    <col min="11269" max="11269" width="14.125" style="5" customWidth="1"/>
    <col min="11270" max="11271" width="13.5" style="5" customWidth="1"/>
    <col min="11272" max="11272" width="13.875" style="5" customWidth="1"/>
    <col min="11273" max="11518" width="8.875" style="5"/>
    <col min="11519" max="11519" width="6.5" style="5" customWidth="1"/>
    <col min="11520" max="11520" width="16.75" style="5" customWidth="1"/>
    <col min="11521" max="11521" width="13.875" style="5" customWidth="1"/>
    <col min="11522" max="11522" width="13.5" style="5" customWidth="1"/>
    <col min="11523" max="11524" width="14.375" style="5" customWidth="1"/>
    <col min="11525" max="11525" width="14.125" style="5" customWidth="1"/>
    <col min="11526" max="11527" width="13.5" style="5" customWidth="1"/>
    <col min="11528" max="11528" width="13.875" style="5" customWidth="1"/>
    <col min="11529" max="11774" width="8.875" style="5"/>
    <col min="11775" max="11775" width="6.5" style="5" customWidth="1"/>
    <col min="11776" max="11776" width="16.75" style="5" customWidth="1"/>
    <col min="11777" max="11777" width="13.875" style="5" customWidth="1"/>
    <col min="11778" max="11778" width="13.5" style="5" customWidth="1"/>
    <col min="11779" max="11780" width="14.375" style="5" customWidth="1"/>
    <col min="11781" max="11781" width="14.125" style="5" customWidth="1"/>
    <col min="11782" max="11783" width="13.5" style="5" customWidth="1"/>
    <col min="11784" max="11784" width="13.875" style="5" customWidth="1"/>
    <col min="11785" max="12030" width="8.875" style="5"/>
    <col min="12031" max="12031" width="6.5" style="5" customWidth="1"/>
    <col min="12032" max="12032" width="16.75" style="5" customWidth="1"/>
    <col min="12033" max="12033" width="13.875" style="5" customWidth="1"/>
    <col min="12034" max="12034" width="13.5" style="5" customWidth="1"/>
    <col min="12035" max="12036" width="14.375" style="5" customWidth="1"/>
    <col min="12037" max="12037" width="14.125" style="5" customWidth="1"/>
    <col min="12038" max="12039" width="13.5" style="5" customWidth="1"/>
    <col min="12040" max="12040" width="13.875" style="5" customWidth="1"/>
    <col min="12041" max="12286" width="8.875" style="5"/>
    <col min="12287" max="12287" width="6.5" style="5" customWidth="1"/>
    <col min="12288" max="12288" width="16.75" style="5" customWidth="1"/>
    <col min="12289" max="12289" width="13.875" style="5" customWidth="1"/>
    <col min="12290" max="12290" width="13.5" style="5" customWidth="1"/>
    <col min="12291" max="12292" width="14.375" style="5" customWidth="1"/>
    <col min="12293" max="12293" width="14.125" style="5" customWidth="1"/>
    <col min="12294" max="12295" width="13.5" style="5" customWidth="1"/>
    <col min="12296" max="12296" width="13.875" style="5" customWidth="1"/>
    <col min="12297" max="12542" width="8.875" style="5"/>
    <col min="12543" max="12543" width="6.5" style="5" customWidth="1"/>
    <col min="12544" max="12544" width="16.75" style="5" customWidth="1"/>
    <col min="12545" max="12545" width="13.875" style="5" customWidth="1"/>
    <col min="12546" max="12546" width="13.5" style="5" customWidth="1"/>
    <col min="12547" max="12548" width="14.375" style="5" customWidth="1"/>
    <col min="12549" max="12549" width="14.125" style="5" customWidth="1"/>
    <col min="12550" max="12551" width="13.5" style="5" customWidth="1"/>
    <col min="12552" max="12552" width="13.875" style="5" customWidth="1"/>
    <col min="12553" max="12798" width="8.875" style="5"/>
    <col min="12799" max="12799" width="6.5" style="5" customWidth="1"/>
    <col min="12800" max="12800" width="16.75" style="5" customWidth="1"/>
    <col min="12801" max="12801" width="13.875" style="5" customWidth="1"/>
    <col min="12802" max="12802" width="13.5" style="5" customWidth="1"/>
    <col min="12803" max="12804" width="14.375" style="5" customWidth="1"/>
    <col min="12805" max="12805" width="14.125" style="5" customWidth="1"/>
    <col min="12806" max="12807" width="13.5" style="5" customWidth="1"/>
    <col min="12808" max="12808" width="13.875" style="5" customWidth="1"/>
    <col min="12809" max="13054" width="8.875" style="5"/>
    <col min="13055" max="13055" width="6.5" style="5" customWidth="1"/>
    <col min="13056" max="13056" width="16.75" style="5" customWidth="1"/>
    <col min="13057" max="13057" width="13.875" style="5" customWidth="1"/>
    <col min="13058" max="13058" width="13.5" style="5" customWidth="1"/>
    <col min="13059" max="13060" width="14.375" style="5" customWidth="1"/>
    <col min="13061" max="13061" width="14.125" style="5" customWidth="1"/>
    <col min="13062" max="13063" width="13.5" style="5" customWidth="1"/>
    <col min="13064" max="13064" width="13.875" style="5" customWidth="1"/>
    <col min="13065" max="13310" width="8.875" style="5"/>
    <col min="13311" max="13311" width="6.5" style="5" customWidth="1"/>
    <col min="13312" max="13312" width="16.75" style="5" customWidth="1"/>
    <col min="13313" max="13313" width="13.875" style="5" customWidth="1"/>
    <col min="13314" max="13314" width="13.5" style="5" customWidth="1"/>
    <col min="13315" max="13316" width="14.375" style="5" customWidth="1"/>
    <col min="13317" max="13317" width="14.125" style="5" customWidth="1"/>
    <col min="13318" max="13319" width="13.5" style="5" customWidth="1"/>
    <col min="13320" max="13320" width="13.875" style="5" customWidth="1"/>
    <col min="13321" max="13566" width="8.875" style="5"/>
    <col min="13567" max="13567" width="6.5" style="5" customWidth="1"/>
    <col min="13568" max="13568" width="16.75" style="5" customWidth="1"/>
    <col min="13569" max="13569" width="13.875" style="5" customWidth="1"/>
    <col min="13570" max="13570" width="13.5" style="5" customWidth="1"/>
    <col min="13571" max="13572" width="14.375" style="5" customWidth="1"/>
    <col min="13573" max="13573" width="14.125" style="5" customWidth="1"/>
    <col min="13574" max="13575" width="13.5" style="5" customWidth="1"/>
    <col min="13576" max="13576" width="13.875" style="5" customWidth="1"/>
    <col min="13577" max="13822" width="8.875" style="5"/>
    <col min="13823" max="13823" width="6.5" style="5" customWidth="1"/>
    <col min="13824" max="13824" width="16.75" style="5" customWidth="1"/>
    <col min="13825" max="13825" width="13.875" style="5" customWidth="1"/>
    <col min="13826" max="13826" width="13.5" style="5" customWidth="1"/>
    <col min="13827" max="13828" width="14.375" style="5" customWidth="1"/>
    <col min="13829" max="13829" width="14.125" style="5" customWidth="1"/>
    <col min="13830" max="13831" width="13.5" style="5" customWidth="1"/>
    <col min="13832" max="13832" width="13.875" style="5" customWidth="1"/>
    <col min="13833" max="14078" width="8.875" style="5"/>
    <col min="14079" max="14079" width="6.5" style="5" customWidth="1"/>
    <col min="14080" max="14080" width="16.75" style="5" customWidth="1"/>
    <col min="14081" max="14081" width="13.875" style="5" customWidth="1"/>
    <col min="14082" max="14082" width="13.5" style="5" customWidth="1"/>
    <col min="14083" max="14084" width="14.375" style="5" customWidth="1"/>
    <col min="14085" max="14085" width="14.125" style="5" customWidth="1"/>
    <col min="14086" max="14087" width="13.5" style="5" customWidth="1"/>
    <col min="14088" max="14088" width="13.875" style="5" customWidth="1"/>
    <col min="14089" max="14334" width="8.875" style="5"/>
    <col min="14335" max="14335" width="6.5" style="5" customWidth="1"/>
    <col min="14336" max="14336" width="16.75" style="5" customWidth="1"/>
    <col min="14337" max="14337" width="13.875" style="5" customWidth="1"/>
    <col min="14338" max="14338" width="13.5" style="5" customWidth="1"/>
    <col min="14339" max="14340" width="14.375" style="5" customWidth="1"/>
    <col min="14341" max="14341" width="14.125" style="5" customWidth="1"/>
    <col min="14342" max="14343" width="13.5" style="5" customWidth="1"/>
    <col min="14344" max="14344" width="13.875" style="5" customWidth="1"/>
    <col min="14345" max="14590" width="8.875" style="5"/>
    <col min="14591" max="14591" width="6.5" style="5" customWidth="1"/>
    <col min="14592" max="14592" width="16.75" style="5" customWidth="1"/>
    <col min="14593" max="14593" width="13.875" style="5" customWidth="1"/>
    <col min="14594" max="14594" width="13.5" style="5" customWidth="1"/>
    <col min="14595" max="14596" width="14.375" style="5" customWidth="1"/>
    <col min="14597" max="14597" width="14.125" style="5" customWidth="1"/>
    <col min="14598" max="14599" width="13.5" style="5" customWidth="1"/>
    <col min="14600" max="14600" width="13.875" style="5" customWidth="1"/>
    <col min="14601" max="14846" width="8.875" style="5"/>
    <col min="14847" max="14847" width="6.5" style="5" customWidth="1"/>
    <col min="14848" max="14848" width="16.75" style="5" customWidth="1"/>
    <col min="14849" max="14849" width="13.875" style="5" customWidth="1"/>
    <col min="14850" max="14850" width="13.5" style="5" customWidth="1"/>
    <col min="14851" max="14852" width="14.375" style="5" customWidth="1"/>
    <col min="14853" max="14853" width="14.125" style="5" customWidth="1"/>
    <col min="14854" max="14855" width="13.5" style="5" customWidth="1"/>
    <col min="14856" max="14856" width="13.875" style="5" customWidth="1"/>
    <col min="14857" max="15102" width="8.875" style="5"/>
    <col min="15103" max="15103" width="6.5" style="5" customWidth="1"/>
    <col min="15104" max="15104" width="16.75" style="5" customWidth="1"/>
    <col min="15105" max="15105" width="13.875" style="5" customWidth="1"/>
    <col min="15106" max="15106" width="13.5" style="5" customWidth="1"/>
    <col min="15107" max="15108" width="14.375" style="5" customWidth="1"/>
    <col min="15109" max="15109" width="14.125" style="5" customWidth="1"/>
    <col min="15110" max="15111" width="13.5" style="5" customWidth="1"/>
    <col min="15112" max="15112" width="13.875" style="5" customWidth="1"/>
    <col min="15113" max="15358" width="8.875" style="5"/>
    <col min="15359" max="15359" width="6.5" style="5" customWidth="1"/>
    <col min="15360" max="15360" width="16.75" style="5" customWidth="1"/>
    <col min="15361" max="15361" width="13.875" style="5" customWidth="1"/>
    <col min="15362" max="15362" width="13.5" style="5" customWidth="1"/>
    <col min="15363" max="15364" width="14.375" style="5" customWidth="1"/>
    <col min="15365" max="15365" width="14.125" style="5" customWidth="1"/>
    <col min="15366" max="15367" width="13.5" style="5" customWidth="1"/>
    <col min="15368" max="15368" width="13.875" style="5" customWidth="1"/>
    <col min="15369" max="15614" width="8.875" style="5"/>
    <col min="15615" max="15615" width="6.5" style="5" customWidth="1"/>
    <col min="15616" max="15616" width="16.75" style="5" customWidth="1"/>
    <col min="15617" max="15617" width="13.875" style="5" customWidth="1"/>
    <col min="15618" max="15618" width="13.5" style="5" customWidth="1"/>
    <col min="15619" max="15620" width="14.375" style="5" customWidth="1"/>
    <col min="15621" max="15621" width="14.125" style="5" customWidth="1"/>
    <col min="15622" max="15623" width="13.5" style="5" customWidth="1"/>
    <col min="15624" max="15624" width="13.875" style="5" customWidth="1"/>
    <col min="15625" max="15870" width="8.875" style="5"/>
    <col min="15871" max="15871" width="6.5" style="5" customWidth="1"/>
    <col min="15872" max="15872" width="16.75" style="5" customWidth="1"/>
    <col min="15873" max="15873" width="13.875" style="5" customWidth="1"/>
    <col min="15874" max="15874" width="13.5" style="5" customWidth="1"/>
    <col min="15875" max="15876" width="14.375" style="5" customWidth="1"/>
    <col min="15877" max="15877" width="14.125" style="5" customWidth="1"/>
    <col min="15878" max="15879" width="13.5" style="5" customWidth="1"/>
    <col min="15880" max="15880" width="13.875" style="5" customWidth="1"/>
    <col min="15881" max="16126" width="8.875" style="5"/>
    <col min="16127" max="16127" width="6.5" style="5" customWidth="1"/>
    <col min="16128" max="16128" width="16.75" style="5" customWidth="1"/>
    <col min="16129" max="16129" width="13.875" style="5" customWidth="1"/>
    <col min="16130" max="16130" width="13.5" style="5" customWidth="1"/>
    <col min="16131" max="16132" width="14.375" style="5" customWidth="1"/>
    <col min="16133" max="16133" width="14.125" style="5" customWidth="1"/>
    <col min="16134" max="16135" width="13.5" style="5" customWidth="1"/>
    <col min="16136" max="16136" width="13.875" style="5" customWidth="1"/>
    <col min="16137" max="16382" width="8.875" style="5"/>
    <col min="16383" max="16384" width="8.875" style="5" customWidth="1"/>
  </cols>
  <sheetData>
    <row r="1" spans="1:14" s="111" customFormat="1" ht="19.5">
      <c r="B1" s="1"/>
      <c r="C1" s="1"/>
      <c r="D1" s="1"/>
      <c r="E1" s="184" t="s">
        <v>499</v>
      </c>
      <c r="F1" s="1"/>
      <c r="G1" s="1"/>
      <c r="H1" s="1"/>
      <c r="I1" s="1"/>
      <c r="J1" s="1"/>
      <c r="K1" s="5"/>
      <c r="L1" s="5"/>
      <c r="M1" s="5"/>
      <c r="N1" s="5"/>
    </row>
    <row r="3" spans="1:14" s="115" customFormat="1">
      <c r="A3" s="112" t="s">
        <v>37</v>
      </c>
      <c r="B3" s="113"/>
      <c r="C3" s="113"/>
      <c r="D3" s="113"/>
      <c r="E3" s="113"/>
      <c r="F3" s="113"/>
      <c r="G3" s="113"/>
      <c r="H3" s="113"/>
      <c r="I3" s="113"/>
      <c r="J3" s="114"/>
      <c r="K3" s="5"/>
      <c r="L3" s="5"/>
      <c r="M3" s="5"/>
      <c r="N3" s="5"/>
    </row>
    <row r="4" spans="1:14" s="13" customFormat="1">
      <c r="A4" s="116" t="s">
        <v>38</v>
      </c>
      <c r="B4" s="117"/>
      <c r="C4" s="117"/>
      <c r="D4" s="117"/>
      <c r="E4" s="117"/>
      <c r="F4" s="117"/>
      <c r="G4" s="117"/>
      <c r="H4" s="117"/>
      <c r="I4" s="117"/>
      <c r="J4" s="118"/>
      <c r="K4" s="5"/>
      <c r="L4" s="5"/>
      <c r="M4" s="5"/>
      <c r="N4" s="5"/>
    </row>
    <row r="5" spans="1:14" s="122" customFormat="1">
      <c r="A5" s="119" t="s">
        <v>39</v>
      </c>
      <c r="B5" s="120" t="s">
        <v>40</v>
      </c>
      <c r="C5" s="121" t="s">
        <v>41</v>
      </c>
      <c r="D5" s="120" t="s">
        <v>42</v>
      </c>
      <c r="E5" s="120" t="s">
        <v>43</v>
      </c>
      <c r="F5" s="120" t="s">
        <v>44</v>
      </c>
      <c r="G5" s="120" t="s">
        <v>45</v>
      </c>
      <c r="H5" s="120" t="s">
        <v>46</v>
      </c>
      <c r="I5" s="120" t="s">
        <v>47</v>
      </c>
      <c r="J5" s="120" t="s">
        <v>48</v>
      </c>
      <c r="K5" s="5"/>
      <c r="L5" s="5"/>
      <c r="M5" s="5"/>
      <c r="N5" s="5"/>
    </row>
    <row r="6" spans="1:14" s="122" customFormat="1">
      <c r="A6" s="123"/>
      <c r="B6" s="124" t="s">
        <v>49</v>
      </c>
      <c r="C6" s="125"/>
      <c r="D6" s="125"/>
      <c r="E6" s="125"/>
      <c r="F6" s="125"/>
      <c r="G6" s="125"/>
      <c r="H6" s="125"/>
      <c r="I6" s="125"/>
      <c r="J6" s="125"/>
      <c r="K6" s="5"/>
      <c r="L6" s="5"/>
      <c r="M6" s="5"/>
      <c r="N6" s="5"/>
    </row>
    <row r="7" spans="1:14">
      <c r="A7" s="126">
        <v>1</v>
      </c>
      <c r="B7" s="27">
        <f>SUM(C7:I7)</f>
        <v>75072</v>
      </c>
      <c r="C7" s="378">
        <v>27895</v>
      </c>
      <c r="D7" s="549">
        <f>28137+90</f>
        <v>28227</v>
      </c>
      <c r="E7" s="378">
        <v>15926</v>
      </c>
      <c r="F7" s="378">
        <v>780</v>
      </c>
      <c r="G7" s="378">
        <v>235</v>
      </c>
      <c r="H7" s="378">
        <v>1957</v>
      </c>
      <c r="I7" s="379">
        <v>52</v>
      </c>
      <c r="J7" s="379">
        <v>0</v>
      </c>
    </row>
    <row r="8" spans="1:14">
      <c r="A8" s="127"/>
      <c r="B8" s="27">
        <f>SUM(C8:I8)</f>
        <v>84279913</v>
      </c>
      <c r="C8" s="380">
        <v>28357488</v>
      </c>
      <c r="D8" s="549">
        <f>33798386+16677</f>
        <v>33815063</v>
      </c>
      <c r="E8" s="380">
        <v>17808712</v>
      </c>
      <c r="F8" s="380">
        <v>1216581</v>
      </c>
      <c r="G8" s="380">
        <v>190649</v>
      </c>
      <c r="H8" s="380">
        <v>2850675</v>
      </c>
      <c r="I8" s="378">
        <v>40745</v>
      </c>
      <c r="J8" s="378">
        <v>0</v>
      </c>
    </row>
    <row r="9" spans="1:14">
      <c r="A9" s="126">
        <v>2</v>
      </c>
      <c r="B9" s="27">
        <f>SUM(C9:I9)</f>
        <v>71119</v>
      </c>
      <c r="C9" s="378">
        <v>24935</v>
      </c>
      <c r="D9" s="549">
        <v>30905</v>
      </c>
      <c r="E9" s="378">
        <v>10198</v>
      </c>
      <c r="F9" s="378">
        <v>1414</v>
      </c>
      <c r="G9" s="378">
        <v>301</v>
      </c>
      <c r="H9" s="378">
        <v>2980</v>
      </c>
      <c r="I9" s="378">
        <v>386</v>
      </c>
      <c r="J9" s="378"/>
    </row>
    <row r="10" spans="1:14">
      <c r="A10" s="127"/>
      <c r="B10" s="27">
        <f>SUM(C10:I10)</f>
        <v>75549991</v>
      </c>
      <c r="C10" s="380">
        <v>23275171</v>
      </c>
      <c r="D10" s="549">
        <v>32375071</v>
      </c>
      <c r="E10" s="380">
        <v>14064909</v>
      </c>
      <c r="F10" s="380">
        <v>2125214</v>
      </c>
      <c r="G10" s="380">
        <v>150112</v>
      </c>
      <c r="H10" s="380">
        <v>2797130</v>
      </c>
      <c r="I10" s="380">
        <v>762384</v>
      </c>
      <c r="J10" s="380"/>
    </row>
    <row r="11" spans="1:14">
      <c r="A11" s="126">
        <v>3</v>
      </c>
      <c r="B11" s="27"/>
      <c r="C11" s="378"/>
      <c r="D11" s="378"/>
      <c r="E11" s="378"/>
      <c r="F11" s="378"/>
      <c r="G11" s="378"/>
      <c r="H11" s="378"/>
      <c r="I11" s="378"/>
      <c r="J11" s="378"/>
    </row>
    <row r="12" spans="1:14">
      <c r="A12" s="127"/>
      <c r="B12" s="27"/>
      <c r="C12" s="380"/>
      <c r="D12" s="380"/>
      <c r="E12" s="380"/>
      <c r="F12" s="380"/>
      <c r="G12" s="380"/>
      <c r="H12" s="380"/>
      <c r="I12" s="380"/>
      <c r="J12" s="380"/>
      <c r="L12" s="489"/>
    </row>
    <row r="13" spans="1:14">
      <c r="A13" s="126">
        <v>4</v>
      </c>
      <c r="B13" s="27"/>
      <c r="C13" s="379"/>
      <c r="D13" s="379"/>
      <c r="E13" s="379"/>
      <c r="F13" s="379"/>
      <c r="G13" s="379"/>
      <c r="H13" s="379"/>
      <c r="I13" s="379"/>
      <c r="J13" s="380"/>
    </row>
    <row r="14" spans="1:14">
      <c r="A14" s="127"/>
      <c r="B14" s="27"/>
      <c r="C14" s="378"/>
      <c r="D14" s="378"/>
      <c r="E14" s="378"/>
      <c r="F14" s="378"/>
      <c r="G14" s="378"/>
      <c r="H14" s="378"/>
      <c r="I14" s="378"/>
      <c r="J14" s="380"/>
    </row>
    <row r="15" spans="1:14">
      <c r="A15" s="128">
        <v>5</v>
      </c>
      <c r="B15" s="27"/>
      <c r="C15" s="378"/>
      <c r="D15" s="378"/>
      <c r="E15" s="378"/>
      <c r="F15" s="378"/>
      <c r="G15" s="378"/>
      <c r="H15" s="378"/>
      <c r="I15" s="378"/>
      <c r="J15" s="378"/>
    </row>
    <row r="16" spans="1:14">
      <c r="A16" s="128"/>
      <c r="B16" s="27"/>
      <c r="C16" s="378"/>
      <c r="D16" s="378"/>
      <c r="E16" s="378"/>
      <c r="F16" s="378"/>
      <c r="G16" s="378"/>
      <c r="H16" s="378"/>
      <c r="I16" s="378"/>
      <c r="J16" s="378"/>
    </row>
    <row r="17" spans="1:10">
      <c r="A17" s="126">
        <v>6</v>
      </c>
      <c r="B17" s="27"/>
      <c r="C17" s="378"/>
      <c r="D17" s="378"/>
      <c r="E17" s="378"/>
      <c r="F17" s="378"/>
      <c r="G17" s="378"/>
      <c r="H17" s="378"/>
      <c r="I17" s="378"/>
      <c r="J17" s="378"/>
    </row>
    <row r="18" spans="1:10">
      <c r="A18" s="127"/>
      <c r="B18" s="27"/>
      <c r="C18" s="378"/>
      <c r="D18" s="378"/>
      <c r="E18" s="378"/>
      <c r="F18" s="378"/>
      <c r="G18" s="378"/>
      <c r="H18" s="378"/>
      <c r="I18" s="378"/>
      <c r="J18" s="378"/>
    </row>
    <row r="19" spans="1:10">
      <c r="A19" s="126">
        <v>7</v>
      </c>
      <c r="B19" s="27"/>
      <c r="C19" s="378"/>
      <c r="D19" s="378"/>
      <c r="E19" s="378"/>
      <c r="F19" s="378"/>
      <c r="G19" s="378"/>
      <c r="H19" s="378"/>
      <c r="I19" s="378"/>
      <c r="J19" s="378"/>
    </row>
    <row r="20" spans="1:10">
      <c r="A20" s="127"/>
      <c r="B20" s="27"/>
      <c r="C20" s="378"/>
      <c r="D20" s="378"/>
      <c r="E20" s="378"/>
      <c r="F20" s="378"/>
      <c r="G20" s="378"/>
      <c r="H20" s="378"/>
      <c r="I20" s="378"/>
      <c r="J20" s="378"/>
    </row>
    <row r="21" spans="1:10">
      <c r="A21" s="126">
        <v>8</v>
      </c>
      <c r="B21" s="27"/>
      <c r="C21" s="378"/>
      <c r="D21" s="378"/>
      <c r="E21" s="378"/>
      <c r="F21" s="378"/>
      <c r="G21" s="378"/>
      <c r="H21" s="378"/>
      <c r="I21" s="378"/>
      <c r="J21" s="378"/>
    </row>
    <row r="22" spans="1:10">
      <c r="A22" s="127"/>
      <c r="B22" s="27"/>
      <c r="C22" s="378"/>
      <c r="D22" s="378"/>
      <c r="E22" s="378"/>
      <c r="F22" s="378"/>
      <c r="G22" s="378"/>
      <c r="H22" s="378"/>
      <c r="I22" s="378"/>
      <c r="J22" s="378"/>
    </row>
    <row r="23" spans="1:10">
      <c r="A23" s="126">
        <v>9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>
      <c r="A24" s="127"/>
      <c r="B24" s="27"/>
      <c r="C24" s="27"/>
      <c r="D24" s="27"/>
      <c r="E24" s="27"/>
      <c r="F24" s="27"/>
      <c r="G24" s="27"/>
      <c r="H24" s="27"/>
      <c r="I24" s="27"/>
      <c r="J24" s="27"/>
    </row>
    <row r="25" spans="1:10">
      <c r="A25" s="126">
        <v>10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>
      <c r="A26" s="127"/>
      <c r="B26" s="27"/>
      <c r="C26" s="27"/>
      <c r="D26" s="27"/>
      <c r="E26" s="27"/>
      <c r="F26" s="27"/>
      <c r="G26" s="27"/>
      <c r="H26" s="27"/>
      <c r="I26" s="27"/>
      <c r="J26" s="27"/>
    </row>
    <row r="27" spans="1:10">
      <c r="A27" s="126">
        <v>11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>
      <c r="A28" s="127"/>
      <c r="B28" s="27"/>
      <c r="C28" s="27"/>
      <c r="D28" s="27"/>
      <c r="E28" s="27"/>
      <c r="F28" s="27"/>
      <c r="G28" s="27"/>
      <c r="H28" s="27"/>
      <c r="I28" s="521"/>
      <c r="J28" s="27"/>
    </row>
    <row r="29" spans="1:10">
      <c r="A29" s="126">
        <v>12</v>
      </c>
      <c r="B29" s="27"/>
      <c r="C29" s="27"/>
      <c r="D29" s="27"/>
      <c r="E29" s="27"/>
      <c r="F29" s="27"/>
      <c r="G29" s="27"/>
      <c r="H29" s="27"/>
      <c r="I29" s="522"/>
      <c r="J29" s="27"/>
    </row>
    <row r="30" spans="1:10">
      <c r="A30" s="127"/>
      <c r="B30" s="27"/>
      <c r="C30" s="27"/>
      <c r="D30" s="27"/>
      <c r="E30" s="27"/>
      <c r="F30" s="27"/>
      <c r="G30" s="27"/>
      <c r="H30" s="27"/>
      <c r="I30" s="216"/>
      <c r="J30" s="27">
        <v>0</v>
      </c>
    </row>
    <row r="31" spans="1:10" s="115" customFormat="1">
      <c r="A31" s="570" t="s">
        <v>50</v>
      </c>
      <c r="B31" s="33">
        <f>SUM(B7,B9,B11,B13,B15,B17,B19,B21,B23,B25,B27,B29)</f>
        <v>146191</v>
      </c>
      <c r="C31" s="33">
        <f>SUM(C7+C9+C11+C13+C15+C17+C19+C21+C23+C25+C27+C29)</f>
        <v>52830</v>
      </c>
      <c r="D31" s="33">
        <f t="shared" ref="D31:J31" si="0">SUM(D7+D9+D11+D13+D15+D17+D19+D21+D23+D25+D27+D29)</f>
        <v>59132</v>
      </c>
      <c r="E31" s="33">
        <f t="shared" si="0"/>
        <v>26124</v>
      </c>
      <c r="F31" s="33">
        <f t="shared" si="0"/>
        <v>2194</v>
      </c>
      <c r="G31" s="33">
        <f t="shared" si="0"/>
        <v>536</v>
      </c>
      <c r="H31" s="33">
        <f t="shared" si="0"/>
        <v>4937</v>
      </c>
      <c r="I31" s="33">
        <f t="shared" si="0"/>
        <v>438</v>
      </c>
      <c r="J31" s="33">
        <f t="shared" si="0"/>
        <v>0</v>
      </c>
    </row>
    <row r="32" spans="1:10" s="115" customFormat="1">
      <c r="A32" s="567"/>
      <c r="B32" s="33">
        <f>SUM(B8,B10,B12,B14,B16,B18,B20,B22,B24,B26,B28,B30)</f>
        <v>159829904</v>
      </c>
      <c r="C32" s="33">
        <f t="shared" ref="C32:J32" si="1">SUM(C8,C10,C12,C14,C16,C18,C20,C22,C24,C26,C28,C30)</f>
        <v>51632659</v>
      </c>
      <c r="D32" s="33">
        <f t="shared" si="1"/>
        <v>66190134</v>
      </c>
      <c r="E32" s="33">
        <f t="shared" si="1"/>
        <v>31873621</v>
      </c>
      <c r="F32" s="33">
        <f t="shared" si="1"/>
        <v>3341795</v>
      </c>
      <c r="G32" s="33">
        <f t="shared" si="1"/>
        <v>340761</v>
      </c>
      <c r="H32" s="33">
        <f t="shared" si="1"/>
        <v>5647805</v>
      </c>
      <c r="I32" s="33">
        <f t="shared" si="1"/>
        <v>803129</v>
      </c>
      <c r="J32" s="33">
        <f t="shared" si="1"/>
        <v>0</v>
      </c>
    </row>
    <row r="33" spans="1:10" s="115" customFormat="1">
      <c r="A33" s="499"/>
      <c r="B33" s="39"/>
      <c r="C33" s="39"/>
      <c r="D33" s="39"/>
      <c r="E33" s="39"/>
      <c r="F33" s="39"/>
      <c r="G33" s="39"/>
      <c r="H33" s="39"/>
      <c r="I33" s="39"/>
      <c r="J33" s="39"/>
    </row>
    <row r="34" spans="1:10" s="13" customFormat="1">
      <c r="A34" s="54" t="s">
        <v>419</v>
      </c>
    </row>
    <row r="35" spans="1:10">
      <c r="D35" s="489"/>
      <c r="E35" s="489"/>
      <c r="F35" s="489"/>
      <c r="G35" s="489"/>
      <c r="H35" s="489"/>
    </row>
    <row r="36" spans="1:10">
      <c r="D36" s="489"/>
      <c r="E36" s="489"/>
      <c r="F36" s="489"/>
      <c r="G36" s="489"/>
      <c r="H36" s="489"/>
    </row>
    <row r="37" spans="1:10">
      <c r="D37" s="489"/>
      <c r="F37" s="489"/>
      <c r="G37" s="489"/>
    </row>
    <row r="38" spans="1:10">
      <c r="D38" s="489"/>
      <c r="E38" s="489"/>
      <c r="G38" s="489"/>
      <c r="H38" s="489"/>
    </row>
    <row r="39" spans="1:10">
      <c r="F39" s="489"/>
      <c r="G39" s="489"/>
      <c r="H39" s="489"/>
    </row>
    <row r="40" spans="1:10">
      <c r="F40" s="489"/>
      <c r="G40" s="489"/>
      <c r="H40" s="489"/>
    </row>
    <row r="41" spans="1:10">
      <c r="G41" s="489"/>
      <c r="H41" s="489"/>
    </row>
    <row r="42" spans="1:10">
      <c r="G42" s="489"/>
      <c r="H42" s="489"/>
    </row>
    <row r="43" spans="1:10">
      <c r="G43" s="489"/>
      <c r="H43" s="489"/>
    </row>
    <row r="44" spans="1:10">
      <c r="G44" s="489"/>
      <c r="H44" s="489"/>
    </row>
    <row r="45" spans="1:10">
      <c r="G45" s="489"/>
      <c r="H45" s="489"/>
    </row>
    <row r="46" spans="1:10">
      <c r="G46" s="489"/>
      <c r="H46" s="489"/>
    </row>
    <row r="47" spans="1:10">
      <c r="G47" s="489"/>
    </row>
    <row r="48" spans="1:10">
      <c r="G48" s="489"/>
      <c r="H48" s="489"/>
    </row>
    <row r="49" spans="7:8">
      <c r="G49" s="489"/>
    </row>
    <row r="50" spans="7:8">
      <c r="G50" s="489"/>
    </row>
    <row r="51" spans="7:8">
      <c r="G51" s="489"/>
    </row>
    <row r="52" spans="7:8">
      <c r="G52" s="489"/>
    </row>
    <row r="53" spans="7:8">
      <c r="G53" s="489"/>
    </row>
    <row r="54" spans="7:8">
      <c r="G54" s="489"/>
    </row>
    <row r="55" spans="7:8">
      <c r="G55" s="489"/>
    </row>
    <row r="56" spans="7:8">
      <c r="G56" s="489"/>
    </row>
    <row r="57" spans="7:8">
      <c r="G57" s="489"/>
    </row>
    <row r="58" spans="7:8">
      <c r="G58" s="489"/>
    </row>
    <row r="59" spans="7:8">
      <c r="G59" s="489"/>
    </row>
    <row r="60" spans="7:8">
      <c r="G60" s="489"/>
    </row>
    <row r="62" spans="7:8">
      <c r="G62" s="489"/>
      <c r="H62" s="489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4"/>
  <sheetViews>
    <sheetView topLeftCell="A49" workbookViewId="0">
      <selection activeCell="H74" sqref="H74"/>
    </sheetView>
  </sheetViews>
  <sheetFormatPr defaultRowHeight="16.5"/>
  <cols>
    <col min="1" max="1" width="16.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6.375" style="5" hidden="1" customWidth="1"/>
    <col min="7" max="7" width="14.5" style="5" customWidth="1"/>
    <col min="8" max="8" width="12.5" style="5" customWidth="1"/>
    <col min="9" max="9" width="14.3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19.5">
      <c r="A1" s="571" t="s">
        <v>500</v>
      </c>
      <c r="B1" s="571"/>
      <c r="C1" s="571"/>
      <c r="D1" s="571"/>
      <c r="E1" s="571"/>
      <c r="F1" s="571"/>
      <c r="G1" s="571"/>
      <c r="H1" s="571"/>
      <c r="I1" s="571"/>
    </row>
    <row r="2" spans="1:9" ht="12" customHeight="1"/>
    <row r="3" spans="1:9">
      <c r="A3" s="545" t="s">
        <v>107</v>
      </c>
      <c r="B3" s="63"/>
      <c r="C3" s="63"/>
      <c r="D3" s="171"/>
      <c r="E3" s="63"/>
      <c r="F3" s="63"/>
      <c r="G3" s="63"/>
      <c r="H3" s="63"/>
      <c r="I3" s="171"/>
    </row>
    <row r="4" spans="1:9">
      <c r="A4" s="8" t="s">
        <v>490</v>
      </c>
      <c r="B4" s="8" t="s">
        <v>491</v>
      </c>
      <c r="C4" s="8" t="s">
        <v>492</v>
      </c>
      <c r="D4" s="9" t="s">
        <v>0</v>
      </c>
      <c r="E4" s="10" t="s">
        <v>493</v>
      </c>
      <c r="F4" s="11" t="s">
        <v>1</v>
      </c>
      <c r="G4" s="8" t="s">
        <v>494</v>
      </c>
      <c r="H4" s="11" t="s">
        <v>1</v>
      </c>
      <c r="I4" s="172" t="s">
        <v>54</v>
      </c>
    </row>
    <row r="5" spans="1:9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55</v>
      </c>
      <c r="H5" s="8"/>
      <c r="I5" s="12" t="s">
        <v>3</v>
      </c>
    </row>
    <row r="6" spans="1:9">
      <c r="A6" s="173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18</v>
      </c>
      <c r="C7" s="22">
        <f>SUM(C8:C10)</f>
        <v>50079</v>
      </c>
      <c r="D7" s="23">
        <f>IF(B7,C7/B7,0)</f>
        <v>2782.1666666666665</v>
      </c>
      <c r="E7" s="214">
        <f>SUM(E8:E10)</f>
        <v>19</v>
      </c>
      <c r="F7" s="24">
        <f>E7/$E$66</f>
        <v>4.6447953845401652E-4</v>
      </c>
      <c r="G7" s="22">
        <v>1703</v>
      </c>
      <c r="H7" s="24">
        <f>G7/$G$66</f>
        <v>3.1453452399641694E-4</v>
      </c>
      <c r="I7" s="25">
        <f>IF(E7,G7/E7,0)</f>
        <v>89.631578947368425</v>
      </c>
    </row>
    <row r="8" spans="1:9">
      <c r="A8" s="26" t="s">
        <v>391</v>
      </c>
      <c r="B8" s="27">
        <f>VLOOKUP(A8,[8]進出口值表查詢結果!$A$10:$C$20,3,0)</f>
        <v>18</v>
      </c>
      <c r="C8" s="27">
        <f>VLOOKUP(A8,[8]進出口值表查詢結果!$A$10:$C$20,2,0)</f>
        <v>50079</v>
      </c>
      <c r="D8" s="23">
        <f t="shared" ref="D8:D65" si="0">IF(B8,C8/B8,0)</f>
        <v>2782.1666666666665</v>
      </c>
      <c r="E8" s="28">
        <f>VLOOKUP(A8,[9]進出口值表查詢結果!$A$2:$C$15,3,0)</f>
        <v>19</v>
      </c>
      <c r="F8" s="24">
        <f>E8/$E$66</f>
        <v>4.6447953845401652E-4</v>
      </c>
      <c r="G8" s="28">
        <f>VLOOKUP(A8,[9]進出口值表查詢結果!$A$2:$C$15,2,0)</f>
        <v>51782</v>
      </c>
      <c r="H8" s="24">
        <f>G8/$G$66</f>
        <v>9.5638442287624553E-3</v>
      </c>
      <c r="I8" s="25">
        <f t="shared" ref="I8:I65" si="1">IF(E8,G8/E8,0)</f>
        <v>2725.3684210526317</v>
      </c>
    </row>
    <row r="9" spans="1:9">
      <c r="A9" s="30" t="s">
        <v>6</v>
      </c>
      <c r="B9" s="27">
        <v>0</v>
      </c>
      <c r="C9" s="28">
        <v>0</v>
      </c>
      <c r="D9" s="23">
        <f t="shared" si="0"/>
        <v>0</v>
      </c>
      <c r="E9" s="28">
        <v>0</v>
      </c>
      <c r="F9" s="24">
        <f>E9/$E$66</f>
        <v>0</v>
      </c>
      <c r="G9" s="28">
        <v>0</v>
      </c>
      <c r="H9" s="24">
        <f>G9/$G$66</f>
        <v>0</v>
      </c>
      <c r="I9" s="25">
        <f t="shared" si="1"/>
        <v>0</v>
      </c>
    </row>
    <row r="10" spans="1:9">
      <c r="A10" s="30" t="s">
        <v>7</v>
      </c>
      <c r="B10" s="27">
        <v>0</v>
      </c>
      <c r="C10" s="28">
        <v>0</v>
      </c>
      <c r="D10" s="23">
        <f t="shared" si="0"/>
        <v>0</v>
      </c>
      <c r="E10" s="28">
        <v>0</v>
      </c>
      <c r="F10" s="24">
        <f>E10/$E$66</f>
        <v>0</v>
      </c>
      <c r="G10" s="28">
        <v>0</v>
      </c>
      <c r="H10" s="24">
        <f>G10/$G$66</f>
        <v>0</v>
      </c>
      <c r="I10" s="25">
        <f t="shared" si="1"/>
        <v>0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20</v>
      </c>
      <c r="C12" s="33">
        <f>SUM(C13:C39)</f>
        <v>111062</v>
      </c>
      <c r="D12" s="23">
        <f t="shared" si="0"/>
        <v>5553.1</v>
      </c>
      <c r="E12" s="33">
        <f>SUM(E13:E15)</f>
        <v>16</v>
      </c>
      <c r="F12" s="24">
        <f t="shared" ref="F12:F39" si="2">E12/$E$66</f>
        <v>3.9114066396127707E-4</v>
      </c>
      <c r="G12" s="33">
        <v>120501</v>
      </c>
      <c r="H12" s="24">
        <f t="shared" ref="H12:H39" si="3">G12/$G$66</f>
        <v>2.2255857120429968E-2</v>
      </c>
      <c r="I12" s="25">
        <f t="shared" si="1"/>
        <v>7531.3125</v>
      </c>
    </row>
    <row r="13" spans="1:9">
      <c r="A13" s="455" t="s">
        <v>202</v>
      </c>
      <c r="B13" s="27">
        <v>0</v>
      </c>
      <c r="C13" s="27">
        <v>0</v>
      </c>
      <c r="D13" s="23">
        <f t="shared" si="0"/>
        <v>0</v>
      </c>
      <c r="E13" s="28">
        <f>VLOOKUP(A13,[9]進出口值表查詢結果!$A$2:$C$15,3,0)</f>
        <v>1</v>
      </c>
      <c r="F13" s="24">
        <f t="shared" si="2"/>
        <v>2.4446291497579817E-5</v>
      </c>
      <c r="G13" s="28">
        <f>VLOOKUP(A13,[9]進出口值表查詢結果!$A$2:$C$15,2,0)</f>
        <v>225</v>
      </c>
      <c r="H13" s="24">
        <f t="shared" si="3"/>
        <v>4.1556234820430895E-5</v>
      </c>
      <c r="I13" s="25">
        <f t="shared" si="1"/>
        <v>225</v>
      </c>
    </row>
    <row r="14" spans="1:9">
      <c r="A14" s="455" t="s">
        <v>203</v>
      </c>
      <c r="B14" s="27">
        <f>VLOOKUP(A14,[8]進出口值表查詢結果!$A$10:$C$20,3,0)</f>
        <v>4</v>
      </c>
      <c r="C14" s="27">
        <f>VLOOKUP(A14,[8]進出口值表查詢結果!$A$10:$C$20,2,0)</f>
        <v>20179</v>
      </c>
      <c r="D14" s="23">
        <f t="shared" si="0"/>
        <v>5044.75</v>
      </c>
      <c r="E14" s="28">
        <f>VLOOKUP(A14,[9]進出口值表查詢結果!$A$2:$C$15,3,0)</f>
        <v>14</v>
      </c>
      <c r="F14" s="24">
        <f t="shared" si="2"/>
        <v>3.4224808096611746E-4</v>
      </c>
      <c r="G14" s="28">
        <f>VLOOKUP(A14,[9]進出口值表查詢結果!$A$2:$C$15,2,0)</f>
        <v>86696</v>
      </c>
      <c r="H14" s="24">
        <f t="shared" si="3"/>
        <v>1.601226370663145E-2</v>
      </c>
      <c r="I14" s="25">
        <f t="shared" si="1"/>
        <v>6192.5714285714284</v>
      </c>
    </row>
    <row r="15" spans="1:9">
      <c r="A15" s="456" t="s">
        <v>9</v>
      </c>
      <c r="B15" s="27">
        <f>VLOOKUP(A15,[8]進出口值表查詢結果!$A$10:$C$20,3,0)</f>
        <v>1</v>
      </c>
      <c r="C15" s="27">
        <f>VLOOKUP(A15,[8]進出口值表查詢結果!$A$10:$C$20,2,0)</f>
        <v>2550</v>
      </c>
      <c r="D15" s="23">
        <f t="shared" si="0"/>
        <v>2550</v>
      </c>
      <c r="E15" s="28">
        <f>VLOOKUP(A15,[9]進出口值表查詢結果!$A$2:$C$15,3,0)</f>
        <v>1</v>
      </c>
      <c r="F15" s="24">
        <f t="shared" si="2"/>
        <v>2.4446291497579817E-5</v>
      </c>
      <c r="G15" s="28">
        <f>VLOOKUP(A15,[9]進出口值表查詢結果!$A$2:$C$15,2,0)</f>
        <v>2550</v>
      </c>
      <c r="H15" s="24">
        <f t="shared" si="3"/>
        <v>4.7097066129821679E-4</v>
      </c>
      <c r="I15" s="25">
        <f t="shared" si="1"/>
        <v>2550</v>
      </c>
    </row>
    <row r="16" spans="1:9">
      <c r="A16" s="455" t="s">
        <v>204</v>
      </c>
      <c r="B16" s="27">
        <v>0</v>
      </c>
      <c r="C16" s="27">
        <v>0</v>
      </c>
      <c r="D16" s="23">
        <f t="shared" si="0"/>
        <v>0</v>
      </c>
      <c r="E16" s="28">
        <v>0</v>
      </c>
      <c r="F16" s="24">
        <f t="shared" si="2"/>
        <v>0</v>
      </c>
      <c r="G16" s="28">
        <v>0</v>
      </c>
      <c r="H16" s="24">
        <f t="shared" si="3"/>
        <v>0</v>
      </c>
      <c r="I16" s="25">
        <f t="shared" si="1"/>
        <v>0</v>
      </c>
    </row>
    <row r="17" spans="1:9">
      <c r="A17" s="456" t="s">
        <v>10</v>
      </c>
      <c r="B17" s="27">
        <f>VLOOKUP(A17,[8]進出口值表查詢結果!$A$10:$C$20,3,0)</f>
        <v>15</v>
      </c>
      <c r="C17" s="27">
        <f>VLOOKUP(A17,[8]進出口值表查詢結果!$A$10:$C$20,2,0)</f>
        <v>88333</v>
      </c>
      <c r="D17" s="23">
        <f t="shared" si="0"/>
        <v>5888.8666666666668</v>
      </c>
      <c r="E17" s="28">
        <f>VLOOKUP(A17,[9]進出口值表查詢結果!$A$2:$C$15,3,0)</f>
        <v>31</v>
      </c>
      <c r="F17" s="24">
        <f t="shared" si="2"/>
        <v>7.5783503642497436E-4</v>
      </c>
      <c r="G17" s="28">
        <f>VLOOKUP(A17,[9]進出口值表查詢結果!$A$2:$C$15,2,0)</f>
        <v>140068</v>
      </c>
      <c r="H17" s="24">
        <f t="shared" si="3"/>
        <v>2.5869771994791617E-2</v>
      </c>
      <c r="I17" s="25">
        <f t="shared" si="1"/>
        <v>4518.322580645161</v>
      </c>
    </row>
    <row r="18" spans="1:9">
      <c r="A18" s="456" t="s">
        <v>11</v>
      </c>
      <c r="B18" s="27">
        <v>0</v>
      </c>
      <c r="C18" s="27">
        <v>0</v>
      </c>
      <c r="D18" s="23">
        <f t="shared" si="0"/>
        <v>0</v>
      </c>
      <c r="E18" s="28">
        <v>0</v>
      </c>
      <c r="F18" s="24">
        <f t="shared" si="2"/>
        <v>0</v>
      </c>
      <c r="G18" s="28">
        <v>0</v>
      </c>
      <c r="H18" s="24">
        <f t="shared" si="3"/>
        <v>0</v>
      </c>
      <c r="I18" s="25">
        <f t="shared" si="1"/>
        <v>0</v>
      </c>
    </row>
    <row r="19" spans="1:9">
      <c r="A19" s="455" t="s">
        <v>205</v>
      </c>
      <c r="B19" s="27">
        <v>0</v>
      </c>
      <c r="C19" s="27">
        <v>0</v>
      </c>
      <c r="D19" s="23">
        <f t="shared" si="0"/>
        <v>0</v>
      </c>
      <c r="E19" s="28">
        <v>0</v>
      </c>
      <c r="F19" s="24">
        <f t="shared" si="2"/>
        <v>0</v>
      </c>
      <c r="G19" s="28">
        <v>0</v>
      </c>
      <c r="H19" s="24">
        <f t="shared" si="3"/>
        <v>0</v>
      </c>
      <c r="I19" s="25">
        <f t="shared" si="1"/>
        <v>0</v>
      </c>
    </row>
    <row r="20" spans="1:9">
      <c r="A20" s="456" t="s">
        <v>206</v>
      </c>
      <c r="B20" s="27">
        <v>0</v>
      </c>
      <c r="C20" s="27">
        <v>0</v>
      </c>
      <c r="D20" s="23">
        <f t="shared" si="0"/>
        <v>0</v>
      </c>
      <c r="E20" s="28">
        <v>0</v>
      </c>
      <c r="F20" s="24">
        <f t="shared" si="2"/>
        <v>0</v>
      </c>
      <c r="G20" s="28">
        <v>0</v>
      </c>
      <c r="H20" s="24">
        <f t="shared" si="3"/>
        <v>0</v>
      </c>
      <c r="I20" s="25">
        <f t="shared" si="1"/>
        <v>0</v>
      </c>
    </row>
    <row r="21" spans="1:9">
      <c r="A21" s="455" t="s">
        <v>207</v>
      </c>
      <c r="B21" s="27">
        <v>0</v>
      </c>
      <c r="C21" s="27">
        <v>0</v>
      </c>
      <c r="D21" s="23">
        <f t="shared" si="0"/>
        <v>0</v>
      </c>
      <c r="E21" s="28">
        <v>0</v>
      </c>
      <c r="F21" s="24">
        <f t="shared" si="2"/>
        <v>0</v>
      </c>
      <c r="G21" s="28">
        <v>0</v>
      </c>
      <c r="H21" s="24">
        <f t="shared" si="3"/>
        <v>0</v>
      </c>
      <c r="I21" s="25">
        <f t="shared" si="1"/>
        <v>0</v>
      </c>
    </row>
    <row r="22" spans="1:9">
      <c r="A22" s="456" t="s">
        <v>13</v>
      </c>
      <c r="B22" s="27">
        <v>0</v>
      </c>
      <c r="C22" s="27">
        <v>0</v>
      </c>
      <c r="D22" s="23">
        <f t="shared" si="0"/>
        <v>0</v>
      </c>
      <c r="E22" s="28">
        <v>0</v>
      </c>
      <c r="F22" s="24">
        <f t="shared" si="2"/>
        <v>0</v>
      </c>
      <c r="G22" s="28">
        <v>0</v>
      </c>
      <c r="H22" s="24">
        <f t="shared" si="3"/>
        <v>0</v>
      </c>
      <c r="I22" s="25">
        <f t="shared" si="1"/>
        <v>0</v>
      </c>
    </row>
    <row r="23" spans="1:9">
      <c r="A23" s="456" t="s">
        <v>14</v>
      </c>
      <c r="B23" s="27">
        <v>0</v>
      </c>
      <c r="C23" s="27">
        <v>0</v>
      </c>
      <c r="D23" s="23">
        <f t="shared" si="0"/>
        <v>0</v>
      </c>
      <c r="E23" s="28">
        <v>0</v>
      </c>
      <c r="F23" s="24">
        <f t="shared" si="2"/>
        <v>0</v>
      </c>
      <c r="G23" s="28">
        <v>0</v>
      </c>
      <c r="H23" s="24">
        <f t="shared" si="3"/>
        <v>0</v>
      </c>
      <c r="I23" s="25">
        <f t="shared" si="1"/>
        <v>0</v>
      </c>
    </row>
    <row r="24" spans="1:9">
      <c r="A24" s="456" t="s">
        <v>15</v>
      </c>
      <c r="B24" s="27">
        <v>0</v>
      </c>
      <c r="C24" s="27">
        <v>0</v>
      </c>
      <c r="D24" s="23">
        <f t="shared" si="0"/>
        <v>0</v>
      </c>
      <c r="E24" s="28">
        <f>VLOOKUP(A24,[9]進出口值表查詢結果!$A$2:$C$15,3,0)</f>
        <v>1</v>
      </c>
      <c r="F24" s="24">
        <f t="shared" si="2"/>
        <v>2.4446291497579817E-5</v>
      </c>
      <c r="G24" s="28">
        <f>VLOOKUP(A24,[9]進出口值表查詢結果!$A$2:$C$15,2,0)</f>
        <v>2024</v>
      </c>
      <c r="H24" s="24">
        <f t="shared" si="3"/>
        <v>3.7382141900689834E-4</v>
      </c>
      <c r="I24" s="25">
        <f t="shared" si="1"/>
        <v>2024</v>
      </c>
    </row>
    <row r="25" spans="1:9">
      <c r="A25" s="455" t="s">
        <v>208</v>
      </c>
      <c r="B25" s="27">
        <v>0</v>
      </c>
      <c r="C25" s="27">
        <v>0</v>
      </c>
      <c r="D25" s="23">
        <f t="shared" si="0"/>
        <v>0</v>
      </c>
      <c r="E25" s="28">
        <v>0</v>
      </c>
      <c r="F25" s="24">
        <f t="shared" si="2"/>
        <v>0</v>
      </c>
      <c r="G25" s="28">
        <v>0</v>
      </c>
      <c r="H25" s="24">
        <f t="shared" si="3"/>
        <v>0</v>
      </c>
      <c r="I25" s="25">
        <f t="shared" si="1"/>
        <v>0</v>
      </c>
    </row>
    <row r="26" spans="1:9">
      <c r="A26" s="455" t="s">
        <v>209</v>
      </c>
      <c r="B26" s="27">
        <v>0</v>
      </c>
      <c r="C26" s="27">
        <v>0</v>
      </c>
      <c r="D26" s="23">
        <f t="shared" si="0"/>
        <v>0</v>
      </c>
      <c r="E26" s="28">
        <v>0</v>
      </c>
      <c r="F26" s="24">
        <f t="shared" si="2"/>
        <v>0</v>
      </c>
      <c r="G26" s="28">
        <v>0</v>
      </c>
      <c r="H26" s="24">
        <f t="shared" si="3"/>
        <v>0</v>
      </c>
      <c r="I26" s="25">
        <f t="shared" si="1"/>
        <v>0</v>
      </c>
    </row>
    <row r="27" spans="1:9">
      <c r="A27" s="457" t="s">
        <v>210</v>
      </c>
      <c r="B27" s="27">
        <v>0</v>
      </c>
      <c r="C27" s="27">
        <v>0</v>
      </c>
      <c r="D27" s="23">
        <f t="shared" si="0"/>
        <v>0</v>
      </c>
      <c r="E27" s="28">
        <v>0</v>
      </c>
      <c r="F27" s="24">
        <f t="shared" si="2"/>
        <v>0</v>
      </c>
      <c r="G27" s="28">
        <v>0</v>
      </c>
      <c r="H27" s="24">
        <f t="shared" si="3"/>
        <v>0</v>
      </c>
      <c r="I27" s="25">
        <f t="shared" si="1"/>
        <v>0</v>
      </c>
    </row>
    <row r="28" spans="1:9">
      <c r="A28" s="457" t="s">
        <v>211</v>
      </c>
      <c r="B28" s="27">
        <v>0</v>
      </c>
      <c r="C28" s="27">
        <v>0</v>
      </c>
      <c r="D28" s="23">
        <f t="shared" si="0"/>
        <v>0</v>
      </c>
      <c r="E28" s="28">
        <v>0</v>
      </c>
      <c r="F28" s="24">
        <f t="shared" si="2"/>
        <v>0</v>
      </c>
      <c r="G28" s="28">
        <v>0</v>
      </c>
      <c r="H28" s="24">
        <f t="shared" si="3"/>
        <v>0</v>
      </c>
      <c r="I28" s="25">
        <f t="shared" si="1"/>
        <v>0</v>
      </c>
    </row>
    <row r="29" spans="1:9">
      <c r="A29" s="456" t="s">
        <v>212</v>
      </c>
      <c r="B29" s="27">
        <v>0</v>
      </c>
      <c r="C29" s="27">
        <v>0</v>
      </c>
      <c r="D29" s="23">
        <f t="shared" si="0"/>
        <v>0</v>
      </c>
      <c r="E29" s="28">
        <v>0</v>
      </c>
      <c r="F29" s="24">
        <f t="shared" si="2"/>
        <v>0</v>
      </c>
      <c r="G29" s="28">
        <v>0</v>
      </c>
      <c r="H29" s="24">
        <f t="shared" si="3"/>
        <v>0</v>
      </c>
      <c r="I29" s="25">
        <f t="shared" si="1"/>
        <v>0</v>
      </c>
    </row>
    <row r="30" spans="1:9">
      <c r="A30" s="456" t="s">
        <v>213</v>
      </c>
      <c r="B30" s="27">
        <v>0</v>
      </c>
      <c r="C30" s="27">
        <v>0</v>
      </c>
      <c r="D30" s="23">
        <f t="shared" si="0"/>
        <v>0</v>
      </c>
      <c r="E30" s="28">
        <v>0</v>
      </c>
      <c r="F30" s="24">
        <f t="shared" si="2"/>
        <v>0</v>
      </c>
      <c r="G30" s="28">
        <v>0</v>
      </c>
      <c r="H30" s="24">
        <f t="shared" si="3"/>
        <v>0</v>
      </c>
      <c r="I30" s="25">
        <f t="shared" si="1"/>
        <v>0</v>
      </c>
    </row>
    <row r="31" spans="1:9">
      <c r="A31" s="456" t="s">
        <v>16</v>
      </c>
      <c r="B31" s="27">
        <v>0</v>
      </c>
      <c r="C31" s="27">
        <v>0</v>
      </c>
      <c r="D31" s="23">
        <f t="shared" si="0"/>
        <v>0</v>
      </c>
      <c r="E31" s="28">
        <v>0</v>
      </c>
      <c r="F31" s="24">
        <f t="shared" si="2"/>
        <v>0</v>
      </c>
      <c r="G31" s="28">
        <v>0</v>
      </c>
      <c r="H31" s="24">
        <f t="shared" si="3"/>
        <v>0</v>
      </c>
      <c r="I31" s="25">
        <f t="shared" si="1"/>
        <v>0</v>
      </c>
    </row>
    <row r="32" spans="1:9">
      <c r="A32" s="456" t="s">
        <v>17</v>
      </c>
      <c r="B32" s="27">
        <v>0</v>
      </c>
      <c r="C32" s="27">
        <v>0</v>
      </c>
      <c r="D32" s="23">
        <f t="shared" si="0"/>
        <v>0</v>
      </c>
      <c r="E32" s="28">
        <v>0</v>
      </c>
      <c r="F32" s="24">
        <f t="shared" si="2"/>
        <v>0</v>
      </c>
      <c r="G32" s="28">
        <v>0</v>
      </c>
      <c r="H32" s="24">
        <f t="shared" si="3"/>
        <v>0</v>
      </c>
      <c r="I32" s="25">
        <f t="shared" si="1"/>
        <v>0</v>
      </c>
    </row>
    <row r="33" spans="1:9">
      <c r="A33" s="456" t="s">
        <v>214</v>
      </c>
      <c r="B33" s="27">
        <v>0</v>
      </c>
      <c r="C33" s="27">
        <v>0</v>
      </c>
      <c r="D33" s="23">
        <f t="shared" si="0"/>
        <v>0</v>
      </c>
      <c r="E33" s="28">
        <v>0</v>
      </c>
      <c r="F33" s="24">
        <f t="shared" si="2"/>
        <v>0</v>
      </c>
      <c r="G33" s="28">
        <v>0</v>
      </c>
      <c r="H33" s="24">
        <f t="shared" si="3"/>
        <v>0</v>
      </c>
      <c r="I33" s="25">
        <f t="shared" si="1"/>
        <v>0</v>
      </c>
    </row>
    <row r="34" spans="1:9">
      <c r="A34" s="456" t="s">
        <v>215</v>
      </c>
      <c r="B34" s="27">
        <v>0</v>
      </c>
      <c r="C34" s="27">
        <v>0</v>
      </c>
      <c r="D34" s="23">
        <f t="shared" si="0"/>
        <v>0</v>
      </c>
      <c r="E34" s="28">
        <v>0</v>
      </c>
      <c r="F34" s="24">
        <f t="shared" si="2"/>
        <v>0</v>
      </c>
      <c r="G34" s="28">
        <v>0</v>
      </c>
      <c r="H34" s="24">
        <f t="shared" si="3"/>
        <v>0</v>
      </c>
      <c r="I34" s="25">
        <f t="shared" si="1"/>
        <v>0</v>
      </c>
    </row>
    <row r="35" spans="1:9">
      <c r="A35" s="456" t="s">
        <v>216</v>
      </c>
      <c r="B35" s="27">
        <v>0</v>
      </c>
      <c r="C35" s="27">
        <v>0</v>
      </c>
      <c r="D35" s="23">
        <f t="shared" si="0"/>
        <v>0</v>
      </c>
      <c r="E35" s="28">
        <v>0</v>
      </c>
      <c r="F35" s="24">
        <f t="shared" si="2"/>
        <v>0</v>
      </c>
      <c r="G35" s="28">
        <v>0</v>
      </c>
      <c r="H35" s="24">
        <f t="shared" si="3"/>
        <v>0</v>
      </c>
      <c r="I35" s="25">
        <f t="shared" si="1"/>
        <v>0</v>
      </c>
    </row>
    <row r="36" spans="1:9">
      <c r="A36" s="456" t="s">
        <v>217</v>
      </c>
      <c r="B36" s="27">
        <v>0</v>
      </c>
      <c r="C36" s="27">
        <v>0</v>
      </c>
      <c r="D36" s="23">
        <f t="shared" si="0"/>
        <v>0</v>
      </c>
      <c r="E36" s="28">
        <v>0</v>
      </c>
      <c r="F36" s="24">
        <f t="shared" si="2"/>
        <v>0</v>
      </c>
      <c r="G36" s="28">
        <v>0</v>
      </c>
      <c r="H36" s="24">
        <f t="shared" si="3"/>
        <v>0</v>
      </c>
      <c r="I36" s="25">
        <f t="shared" si="1"/>
        <v>0</v>
      </c>
    </row>
    <row r="37" spans="1:9">
      <c r="A37" s="456" t="s">
        <v>218</v>
      </c>
      <c r="B37" s="27">
        <v>0</v>
      </c>
      <c r="C37" s="27">
        <v>0</v>
      </c>
      <c r="D37" s="23">
        <f t="shared" si="0"/>
        <v>0</v>
      </c>
      <c r="E37" s="28">
        <v>0</v>
      </c>
      <c r="F37" s="24">
        <f t="shared" si="2"/>
        <v>0</v>
      </c>
      <c r="G37" s="28">
        <v>0</v>
      </c>
      <c r="H37" s="24">
        <f t="shared" si="3"/>
        <v>0</v>
      </c>
      <c r="I37" s="25">
        <f t="shared" si="1"/>
        <v>0</v>
      </c>
    </row>
    <row r="38" spans="1:9">
      <c r="A38" s="456" t="s">
        <v>219</v>
      </c>
      <c r="B38" s="27">
        <v>0</v>
      </c>
      <c r="C38" s="27">
        <v>0</v>
      </c>
      <c r="D38" s="23">
        <f t="shared" si="0"/>
        <v>0</v>
      </c>
      <c r="E38" s="28">
        <v>0</v>
      </c>
      <c r="F38" s="24">
        <f t="shared" si="2"/>
        <v>0</v>
      </c>
      <c r="G38" s="28">
        <v>0</v>
      </c>
      <c r="H38" s="24">
        <f t="shared" si="3"/>
        <v>0</v>
      </c>
      <c r="I38" s="25">
        <f t="shared" si="1"/>
        <v>0</v>
      </c>
    </row>
    <row r="39" spans="1:9">
      <c r="A39" s="456" t="s">
        <v>18</v>
      </c>
      <c r="B39" s="27">
        <v>0</v>
      </c>
      <c r="C39" s="27">
        <v>0</v>
      </c>
      <c r="D39" s="23">
        <f t="shared" si="0"/>
        <v>0</v>
      </c>
      <c r="E39" s="28">
        <v>0</v>
      </c>
      <c r="F39" s="24">
        <f t="shared" si="2"/>
        <v>0</v>
      </c>
      <c r="G39" s="28">
        <v>0</v>
      </c>
      <c r="H39" s="24">
        <f t="shared" si="3"/>
        <v>0</v>
      </c>
      <c r="I39" s="25">
        <f t="shared" si="1"/>
        <v>0</v>
      </c>
    </row>
    <row r="40" spans="1:9">
      <c r="A40" s="30"/>
      <c r="B40" s="27"/>
      <c r="C40" s="27"/>
      <c r="D40" s="23"/>
      <c r="E40" s="27"/>
      <c r="F40" s="24"/>
      <c r="G40" s="28"/>
      <c r="H40" s="29"/>
      <c r="I40" s="25"/>
    </row>
    <row r="41" spans="1:9" ht="15" customHeight="1">
      <c r="A41" s="36" t="s">
        <v>19</v>
      </c>
      <c r="B41" s="33">
        <f>SUM(B42:B45)</f>
        <v>0</v>
      </c>
      <c r="C41" s="33">
        <f>SUM(C42:C45)</f>
        <v>0</v>
      </c>
      <c r="D41" s="23">
        <f t="shared" si="0"/>
        <v>0</v>
      </c>
      <c r="E41" s="33">
        <f>SUM(E42:E44)</f>
        <v>0</v>
      </c>
      <c r="F41" s="24">
        <f>E41/$E$66</f>
        <v>0</v>
      </c>
      <c r="G41" s="28">
        <v>0</v>
      </c>
      <c r="H41" s="24">
        <f>G41/$G$66</f>
        <v>0</v>
      </c>
      <c r="I41" s="25">
        <f t="shared" si="1"/>
        <v>0</v>
      </c>
    </row>
    <row r="42" spans="1:9">
      <c r="A42" s="26" t="s">
        <v>220</v>
      </c>
      <c r="B42" s="27">
        <v>0</v>
      </c>
      <c r="C42" s="27">
        <v>0</v>
      </c>
      <c r="D42" s="23">
        <f t="shared" si="0"/>
        <v>0</v>
      </c>
      <c r="E42" s="28">
        <v>0</v>
      </c>
      <c r="F42" s="24">
        <f>E42/$E$66</f>
        <v>0</v>
      </c>
      <c r="G42" s="28">
        <v>0</v>
      </c>
      <c r="H42" s="24">
        <f>G42/$G$66</f>
        <v>0</v>
      </c>
      <c r="I42" s="25">
        <f t="shared" si="1"/>
        <v>0</v>
      </c>
    </row>
    <row r="43" spans="1:9">
      <c r="A43" s="26" t="s">
        <v>221</v>
      </c>
      <c r="B43" s="27">
        <v>0</v>
      </c>
      <c r="C43" s="27">
        <v>0</v>
      </c>
      <c r="D43" s="23">
        <f t="shared" si="0"/>
        <v>0</v>
      </c>
      <c r="E43" s="28">
        <v>0</v>
      </c>
      <c r="F43" s="24">
        <f>E43/$E$66</f>
        <v>0</v>
      </c>
      <c r="G43" s="28">
        <v>0</v>
      </c>
      <c r="H43" s="24">
        <f>G43/$G$66</f>
        <v>0</v>
      </c>
      <c r="I43" s="25">
        <f t="shared" si="1"/>
        <v>0</v>
      </c>
    </row>
    <row r="44" spans="1:9">
      <c r="A44" s="26" t="s">
        <v>222</v>
      </c>
      <c r="B44" s="27">
        <v>0</v>
      </c>
      <c r="C44" s="27">
        <v>0</v>
      </c>
      <c r="D44" s="23">
        <f t="shared" si="0"/>
        <v>0</v>
      </c>
      <c r="E44" s="28">
        <v>0</v>
      </c>
      <c r="F44" s="24">
        <f>E44/$E$66</f>
        <v>0</v>
      </c>
      <c r="G44" s="28">
        <v>0</v>
      </c>
      <c r="H44" s="24">
        <f>G44/$G$66</f>
        <v>0</v>
      </c>
      <c r="I44" s="25">
        <f t="shared" si="1"/>
        <v>0</v>
      </c>
    </row>
    <row r="45" spans="1:9">
      <c r="A45" s="30" t="s">
        <v>20</v>
      </c>
      <c r="B45" s="27">
        <v>0</v>
      </c>
      <c r="C45" s="27">
        <v>0</v>
      </c>
      <c r="D45" s="23">
        <f t="shared" si="0"/>
        <v>0</v>
      </c>
      <c r="E45" s="28">
        <v>0</v>
      </c>
      <c r="F45" s="24">
        <f>E45/$E$66</f>
        <v>0</v>
      </c>
      <c r="G45" s="28">
        <v>0</v>
      </c>
      <c r="H45" s="24">
        <f>G45/$G$66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 ht="18.600000000000001" customHeight="1">
      <c r="A47" s="36" t="s">
        <v>21</v>
      </c>
      <c r="B47" s="33">
        <f>SUM(B48:B64)</f>
        <v>9872</v>
      </c>
      <c r="C47" s="33">
        <f>SUM(C48:C64)</f>
        <v>1191171</v>
      </c>
      <c r="D47" s="23">
        <f t="shared" si="0"/>
        <v>120.6615680713128</v>
      </c>
      <c r="E47" s="33">
        <f>SUM(E48:E50)</f>
        <v>128</v>
      </c>
      <c r="F47" s="24">
        <f>E47/$E$66</f>
        <v>3.1291253116902166E-3</v>
      </c>
      <c r="G47" s="33">
        <v>3813148</v>
      </c>
      <c r="H47" s="24">
        <f t="shared" ref="H47:H66" si="4">G47/$G$66</f>
        <v>0.70426699419136185</v>
      </c>
      <c r="I47" s="25">
        <f t="shared" si="1"/>
        <v>29790.21875</v>
      </c>
    </row>
    <row r="48" spans="1:9" ht="16.899999999999999" customHeight="1">
      <c r="A48" s="487" t="s">
        <v>163</v>
      </c>
      <c r="B48" s="27">
        <f>VLOOKUP(A48,[8]進出口值表查詢結果!$A$10:$C$20,3,0)</f>
        <v>49</v>
      </c>
      <c r="C48" s="27">
        <f>VLOOKUP(A48,[8]進出口值表查詢結果!$A$10:$C$20,2,0)</f>
        <v>55435</v>
      </c>
      <c r="D48" s="23">
        <f t="shared" si="0"/>
        <v>1131.3265306122448</v>
      </c>
      <c r="E48" s="28">
        <f>VLOOKUP(A48,[9]進出口值表查詢結果!$A$2:$C$15,3,0)</f>
        <v>98</v>
      </c>
      <c r="F48" s="24"/>
      <c r="G48" s="28">
        <f>VLOOKUP(A48,[9]進出口值表查詢結果!$A$2:$C$15,2,0)</f>
        <v>108777</v>
      </c>
      <c r="H48" s="24">
        <f t="shared" si="4"/>
        <v>2.009050024472005E-2</v>
      </c>
      <c r="I48" s="25">
        <f t="shared" si="1"/>
        <v>1109.9693877551019</v>
      </c>
    </row>
    <row r="49" spans="1:9">
      <c r="A49" s="26" t="s">
        <v>223</v>
      </c>
      <c r="B49" s="27">
        <f>VLOOKUP(A49,[8]進出口值表查詢結果!$A$10:$C$20,3,0)</f>
        <v>9</v>
      </c>
      <c r="C49" s="27">
        <f>VLOOKUP(A49,[8]進出口值表查詢結果!$A$10:$C$20,2,0)</f>
        <v>1020</v>
      </c>
      <c r="D49" s="23">
        <f t="shared" si="0"/>
        <v>113.33333333333333</v>
      </c>
      <c r="E49" s="28">
        <f>VLOOKUP(A49,[9]進出口值表查詢結果!$A$2:$C$15,3,0)</f>
        <v>30</v>
      </c>
      <c r="F49" s="24">
        <f t="shared" ref="F49:F66" si="5">E49/$E$66</f>
        <v>7.3338874492739447E-4</v>
      </c>
      <c r="G49" s="28">
        <f>VLOOKUP(A49,[9]進出口值表查詢結果!$A$2:$C$15,2,0)</f>
        <v>10428</v>
      </c>
      <c r="H49" s="24">
        <f t="shared" si="4"/>
        <v>1.9259929631442372E-3</v>
      </c>
      <c r="I49" s="25">
        <f t="shared" si="1"/>
        <v>347.6</v>
      </c>
    </row>
    <row r="50" spans="1:9">
      <c r="A50" s="468" t="s">
        <v>224</v>
      </c>
      <c r="B50" s="27">
        <v>0</v>
      </c>
      <c r="C50" s="27">
        <v>0</v>
      </c>
      <c r="D50" s="23">
        <f t="shared" si="0"/>
        <v>0</v>
      </c>
      <c r="E50" s="28">
        <v>0</v>
      </c>
      <c r="F50" s="24">
        <f t="shared" si="5"/>
        <v>0</v>
      </c>
      <c r="G50" s="28">
        <v>0</v>
      </c>
      <c r="H50" s="24">
        <f t="shared" si="4"/>
        <v>0</v>
      </c>
      <c r="I50" s="25">
        <f t="shared" si="1"/>
        <v>0</v>
      </c>
    </row>
    <row r="51" spans="1:9">
      <c r="A51" s="26" t="s">
        <v>225</v>
      </c>
      <c r="B51" s="27">
        <v>0</v>
      </c>
      <c r="C51" s="27">
        <v>0</v>
      </c>
      <c r="D51" s="23">
        <f t="shared" si="0"/>
        <v>0</v>
      </c>
      <c r="E51" s="28">
        <v>0</v>
      </c>
      <c r="F51" s="24">
        <f t="shared" si="5"/>
        <v>0</v>
      </c>
      <c r="G51" s="28">
        <v>0</v>
      </c>
      <c r="H51" s="24">
        <f t="shared" si="4"/>
        <v>0</v>
      </c>
      <c r="I51" s="25">
        <f t="shared" si="1"/>
        <v>0</v>
      </c>
    </row>
    <row r="52" spans="1:9">
      <c r="A52" s="30" t="s">
        <v>22</v>
      </c>
      <c r="B52" s="27">
        <v>0</v>
      </c>
      <c r="C52" s="27">
        <v>0</v>
      </c>
      <c r="D52" s="23">
        <f t="shared" si="0"/>
        <v>0</v>
      </c>
      <c r="E52" s="28">
        <v>0</v>
      </c>
      <c r="F52" s="24">
        <f t="shared" si="5"/>
        <v>0</v>
      </c>
      <c r="G52" s="28">
        <v>0</v>
      </c>
      <c r="H52" s="24">
        <f t="shared" si="4"/>
        <v>0</v>
      </c>
      <c r="I52" s="25">
        <f t="shared" si="1"/>
        <v>0</v>
      </c>
    </row>
    <row r="53" spans="1:9">
      <c r="A53" s="26" t="s">
        <v>226</v>
      </c>
      <c r="B53" s="27">
        <v>0</v>
      </c>
      <c r="C53" s="27">
        <v>0</v>
      </c>
      <c r="D53" s="23">
        <f t="shared" si="0"/>
        <v>0</v>
      </c>
      <c r="E53" s="28">
        <v>0</v>
      </c>
      <c r="F53" s="24">
        <f t="shared" si="5"/>
        <v>0</v>
      </c>
      <c r="G53" s="28">
        <v>0</v>
      </c>
      <c r="H53" s="24">
        <f t="shared" si="4"/>
        <v>0</v>
      </c>
      <c r="I53" s="25">
        <f t="shared" si="1"/>
        <v>0</v>
      </c>
    </row>
    <row r="54" spans="1:9">
      <c r="A54" s="30" t="s">
        <v>111</v>
      </c>
      <c r="B54" s="27">
        <v>0</v>
      </c>
      <c r="C54" s="27">
        <v>0</v>
      </c>
      <c r="D54" s="23">
        <f t="shared" si="0"/>
        <v>0</v>
      </c>
      <c r="E54" s="28">
        <v>0</v>
      </c>
      <c r="F54" s="24">
        <f t="shared" si="5"/>
        <v>0</v>
      </c>
      <c r="G54" s="28">
        <v>0</v>
      </c>
      <c r="H54" s="24">
        <f t="shared" si="4"/>
        <v>0</v>
      </c>
      <c r="I54" s="25">
        <f t="shared" si="1"/>
        <v>0</v>
      </c>
    </row>
    <row r="55" spans="1:9">
      <c r="A55" s="30" t="s">
        <v>23</v>
      </c>
      <c r="B55" s="27">
        <v>0</v>
      </c>
      <c r="C55" s="27">
        <v>0</v>
      </c>
      <c r="D55" s="23">
        <f t="shared" si="0"/>
        <v>0</v>
      </c>
      <c r="E55" s="28">
        <v>0</v>
      </c>
      <c r="F55" s="24">
        <f t="shared" si="5"/>
        <v>0</v>
      </c>
      <c r="G55" s="28">
        <v>0</v>
      </c>
      <c r="H55" s="24">
        <f t="shared" si="4"/>
        <v>0</v>
      </c>
      <c r="I55" s="25">
        <f t="shared" si="1"/>
        <v>0</v>
      </c>
    </row>
    <row r="56" spans="1:9">
      <c r="A56" s="295" t="s">
        <v>231</v>
      </c>
      <c r="B56" s="27">
        <v>0</v>
      </c>
      <c r="C56" s="27">
        <v>0</v>
      </c>
      <c r="D56" s="23">
        <f t="shared" si="0"/>
        <v>0</v>
      </c>
      <c r="E56" s="28">
        <v>0</v>
      </c>
      <c r="F56" s="24">
        <f t="shared" si="5"/>
        <v>0</v>
      </c>
      <c r="G56" s="28">
        <v>0</v>
      </c>
      <c r="H56" s="24">
        <f t="shared" si="4"/>
        <v>0</v>
      </c>
      <c r="I56" s="25">
        <f t="shared" si="1"/>
        <v>0</v>
      </c>
    </row>
    <row r="57" spans="1:9">
      <c r="A57" s="37" t="s">
        <v>229</v>
      </c>
      <c r="B57" s="27">
        <v>0</v>
      </c>
      <c r="C57" s="27">
        <v>0</v>
      </c>
      <c r="D57" s="23">
        <f t="shared" si="0"/>
        <v>0</v>
      </c>
      <c r="E57" s="28">
        <v>0</v>
      </c>
      <c r="F57" s="24">
        <f t="shared" si="5"/>
        <v>0</v>
      </c>
      <c r="G57" s="28">
        <v>0</v>
      </c>
      <c r="H57" s="24">
        <f t="shared" si="4"/>
        <v>0</v>
      </c>
      <c r="I57" s="25">
        <f t="shared" si="1"/>
        <v>0</v>
      </c>
    </row>
    <row r="58" spans="1:9">
      <c r="A58" s="37" t="s">
        <v>392</v>
      </c>
      <c r="B58" s="27">
        <f>VLOOKUP(A58,[8]進出口值表查詢結果!$A$10:$C$20,3,0)</f>
        <v>2</v>
      </c>
      <c r="C58" s="27">
        <f>VLOOKUP(A58,[8]進出口值表查詢結果!$A$10:$C$20,2,0)</f>
        <v>2933</v>
      </c>
      <c r="D58" s="23">
        <f t="shared" si="0"/>
        <v>1466.5</v>
      </c>
      <c r="E58" s="28">
        <f>VLOOKUP(A58,[9]進出口值表查詢結果!$A$2:$C$15,3,0)</f>
        <v>262</v>
      </c>
      <c r="F58" s="24">
        <f t="shared" si="5"/>
        <v>6.4049283723659122E-3</v>
      </c>
      <c r="G58" s="28">
        <v>297687</v>
      </c>
      <c r="H58" s="24">
        <f t="shared" si="4"/>
        <v>5.4981114999953826E-2</v>
      </c>
      <c r="I58" s="25">
        <f t="shared" si="1"/>
        <v>1136.2099236641222</v>
      </c>
    </row>
    <row r="59" spans="1:9">
      <c r="A59" s="37" t="s">
        <v>112</v>
      </c>
      <c r="B59" s="27">
        <f>VLOOKUP(A59,[8]進出口值表查詢結果!$A$10:$C$20,3,0)</f>
        <v>71</v>
      </c>
      <c r="C59" s="27">
        <f>VLOOKUP(A59,[8]進出口值表查詢結果!$A$10:$C$20,2,0)</f>
        <v>105930</v>
      </c>
      <c r="D59" s="23">
        <f t="shared" si="0"/>
        <v>1491.9718309859154</v>
      </c>
      <c r="E59" s="28">
        <f>VLOOKUP(A59,[9]進出口值表查詢結果!$A$2:$C$15,3,0)</f>
        <v>110</v>
      </c>
      <c r="F59" s="24">
        <f t="shared" si="5"/>
        <v>2.6890920647337801E-3</v>
      </c>
      <c r="G59" s="28">
        <f>VLOOKUP(A59,[9]進出口值表查詢結果!$A$2:$C$15,2,0)</f>
        <v>152524</v>
      </c>
      <c r="H59" s="24">
        <f t="shared" si="4"/>
        <v>2.8170325154450674E-2</v>
      </c>
      <c r="I59" s="25">
        <f t="shared" si="1"/>
        <v>1386.5818181818181</v>
      </c>
    </row>
    <row r="60" spans="1:9">
      <c r="A60" s="37" t="s">
        <v>113</v>
      </c>
      <c r="B60" s="27">
        <v>0</v>
      </c>
      <c r="C60" s="27">
        <v>0</v>
      </c>
      <c r="D60" s="23">
        <f t="shared" si="0"/>
        <v>0</v>
      </c>
      <c r="E60" s="28">
        <v>0</v>
      </c>
      <c r="F60" s="24">
        <f t="shared" si="5"/>
        <v>0</v>
      </c>
      <c r="G60" s="28">
        <v>0</v>
      </c>
      <c r="H60" s="24">
        <f t="shared" si="4"/>
        <v>0</v>
      </c>
      <c r="I60" s="25">
        <f t="shared" si="1"/>
        <v>0</v>
      </c>
    </row>
    <row r="61" spans="1:9">
      <c r="A61" s="37" t="s">
        <v>114</v>
      </c>
      <c r="B61" s="27">
        <f>VLOOKUP(A61,[8]進出口值表查詢結果!$A$10:$C$20,3,0)</f>
        <v>9741</v>
      </c>
      <c r="C61" s="27">
        <f>VLOOKUP(A61,[8]進出口值表查詢結果!$A$10:$C$20,2,0)</f>
        <v>1025853</v>
      </c>
      <c r="D61" s="23">
        <f t="shared" si="0"/>
        <v>105.31290421927933</v>
      </c>
      <c r="E61" s="28">
        <f>VLOOKUP(A61,[9]進出口值表查詢結果!$A$2:$C$15,3,0)</f>
        <v>40272</v>
      </c>
      <c r="F61" s="24">
        <f t="shared" si="5"/>
        <v>0.98450105119053444</v>
      </c>
      <c r="G61" s="28">
        <f>VLOOKUP(A61,[9]進出口值表查詢結果!$A$2:$C$15,2,0)</f>
        <v>4431970</v>
      </c>
      <c r="H61" s="24">
        <f t="shared" si="4"/>
        <v>0.81855993794268933</v>
      </c>
      <c r="I61" s="25">
        <f t="shared" si="1"/>
        <v>110.0509038537942</v>
      </c>
    </row>
    <row r="62" spans="1:9">
      <c r="A62" s="37" t="s">
        <v>393</v>
      </c>
      <c r="B62" s="27">
        <v>0</v>
      </c>
      <c r="C62" s="27">
        <v>0</v>
      </c>
      <c r="D62" s="23">
        <f t="shared" si="0"/>
        <v>0</v>
      </c>
      <c r="E62" s="28">
        <v>0</v>
      </c>
      <c r="F62" s="24">
        <f t="shared" si="5"/>
        <v>0</v>
      </c>
      <c r="G62" s="28">
        <v>0</v>
      </c>
      <c r="H62" s="24">
        <f t="shared" si="4"/>
        <v>0</v>
      </c>
      <c r="I62" s="25">
        <f t="shared" si="1"/>
        <v>0</v>
      </c>
    </row>
    <row r="63" spans="1:9">
      <c r="A63" s="37" t="s">
        <v>394</v>
      </c>
      <c r="B63" s="27">
        <v>0</v>
      </c>
      <c r="C63" s="27">
        <v>0</v>
      </c>
      <c r="D63" s="23">
        <f t="shared" si="0"/>
        <v>0</v>
      </c>
      <c r="E63" s="28">
        <v>0</v>
      </c>
      <c r="F63" s="24">
        <f t="shared" si="5"/>
        <v>0</v>
      </c>
      <c r="G63" s="28">
        <v>0</v>
      </c>
      <c r="H63" s="24">
        <f t="shared" si="4"/>
        <v>0</v>
      </c>
      <c r="I63" s="25">
        <f t="shared" si="1"/>
        <v>0</v>
      </c>
    </row>
    <row r="64" spans="1:9">
      <c r="A64" s="37" t="s">
        <v>395</v>
      </c>
      <c r="B64" s="27">
        <v>0</v>
      </c>
      <c r="C64" s="27">
        <v>0</v>
      </c>
      <c r="D64" s="23">
        <f t="shared" si="0"/>
        <v>0</v>
      </c>
      <c r="E64" s="28">
        <v>0</v>
      </c>
      <c r="F64" s="24">
        <f t="shared" si="5"/>
        <v>0</v>
      </c>
      <c r="G64" s="28">
        <v>0</v>
      </c>
      <c r="H64" s="24">
        <f t="shared" si="4"/>
        <v>0</v>
      </c>
      <c r="I64" s="25">
        <f t="shared" si="1"/>
        <v>0</v>
      </c>
    </row>
    <row r="65" spans="1:9">
      <c r="A65" s="30" t="s">
        <v>29</v>
      </c>
      <c r="B65" s="27">
        <f>B66-B47-B41-B12-B7</f>
        <v>43</v>
      </c>
      <c r="C65" s="27">
        <f>C66-C47-C41-C12-C7</f>
        <v>82116</v>
      </c>
      <c r="D65" s="23">
        <f t="shared" si="0"/>
        <v>1909.6744186046512</v>
      </c>
      <c r="E65" s="27">
        <f>E66-E47-E41-E12-E7</f>
        <v>40743</v>
      </c>
      <c r="F65" s="24">
        <f t="shared" si="5"/>
        <v>0.99601525448589445</v>
      </c>
      <c r="G65" s="27">
        <f>G66-G47-G41-G12-G7</f>
        <v>1478998</v>
      </c>
      <c r="H65" s="24">
        <f t="shared" si="4"/>
        <v>0.27316261416421178</v>
      </c>
      <c r="I65" s="25">
        <f t="shared" si="1"/>
        <v>36.300665144932871</v>
      </c>
    </row>
    <row r="66" spans="1:9" ht="17.25" thickBot="1">
      <c r="A66" s="174" t="s">
        <v>404</v>
      </c>
      <c r="B66" s="175">
        <f>VLOOKUP(A66,[8]進出口值表查詢結果!$A$10:$C$20,3,0)</f>
        <v>9953</v>
      </c>
      <c r="C66" s="175">
        <f>VLOOKUP(A66,[8]進出口值表查詢結果!$A$10:$C$20,2,0)</f>
        <v>1434428</v>
      </c>
      <c r="D66" s="177">
        <f t="shared" ref="D66" si="6">C66/B66</f>
        <v>144.12016477443987</v>
      </c>
      <c r="E66" s="175">
        <f>VLOOKUP(A66,[9]進出口值表查詢結果!$A$2:$C$15,3,0)</f>
        <v>40906</v>
      </c>
      <c r="F66" s="176">
        <f t="shared" si="5"/>
        <v>1</v>
      </c>
      <c r="G66" s="175">
        <f>VLOOKUP(A66,[9]進出口值表查詢結果!$A$2:$C$15,2,0)</f>
        <v>5414350</v>
      </c>
      <c r="H66" s="176">
        <f t="shared" si="4"/>
        <v>1</v>
      </c>
      <c r="I66" s="177">
        <f>G66/E66</f>
        <v>132.36077836992129</v>
      </c>
    </row>
    <row r="67" spans="1:9" ht="17.25" thickTop="1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101" t="s">
        <v>153</v>
      </c>
      <c r="B68" s="102"/>
      <c r="C68" s="102"/>
      <c r="D68" s="178"/>
      <c r="E68" s="102"/>
      <c r="F68" s="179"/>
      <c r="G68" s="102"/>
      <c r="H68" s="180"/>
      <c r="I68" s="181"/>
    </row>
    <row r="69" spans="1:9">
      <c r="A69" s="8" t="s">
        <v>457</v>
      </c>
      <c r="B69" s="8" t="s">
        <v>425</v>
      </c>
      <c r="C69" s="8" t="s">
        <v>426</v>
      </c>
      <c r="D69" s="9" t="s">
        <v>0</v>
      </c>
      <c r="E69" s="10" t="s">
        <v>493</v>
      </c>
      <c r="F69" s="11" t="s">
        <v>1</v>
      </c>
      <c r="G69" s="8" t="s">
        <v>494</v>
      </c>
      <c r="H69" s="45" t="s">
        <v>1</v>
      </c>
      <c r="I69" s="513" t="s">
        <v>115</v>
      </c>
    </row>
    <row r="70" spans="1:9">
      <c r="A70" s="46"/>
      <c r="B70" s="47" t="s">
        <v>2</v>
      </c>
      <c r="C70" s="48" t="s">
        <v>3</v>
      </c>
      <c r="D70" s="43" t="s">
        <v>3</v>
      </c>
      <c r="E70" s="47" t="s">
        <v>2</v>
      </c>
      <c r="F70" s="44"/>
      <c r="G70" s="50" t="s">
        <v>3</v>
      </c>
      <c r="H70" s="51"/>
      <c r="I70" s="43" t="s">
        <v>3</v>
      </c>
    </row>
    <row r="71" spans="1:9">
      <c r="A71" s="32" t="s">
        <v>30</v>
      </c>
      <c r="B71" s="27">
        <v>132</v>
      </c>
      <c r="C71" s="27">
        <v>15682</v>
      </c>
      <c r="D71" s="523">
        <f>C71/B71</f>
        <v>118.8030303030303</v>
      </c>
      <c r="E71" s="27">
        <v>578</v>
      </c>
      <c r="F71" s="27">
        <v>15682</v>
      </c>
      <c r="G71" s="27">
        <v>64582</v>
      </c>
      <c r="H71" s="53">
        <v>1</v>
      </c>
      <c r="I71" s="52">
        <f>G71/E71</f>
        <v>111.73356401384083</v>
      </c>
    </row>
    <row r="72" spans="1:9" ht="16.149999999999999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5" t="s">
        <v>56</v>
      </c>
      <c r="B73" s="13"/>
      <c r="C73" s="169"/>
      <c r="D73" s="182"/>
      <c r="E73" s="13"/>
      <c r="F73" s="169"/>
      <c r="G73" s="170"/>
      <c r="H73" s="13"/>
      <c r="I73" s="183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1">
    <mergeCell ref="A1:I1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7"/>
  <sheetViews>
    <sheetView topLeftCell="A34" workbookViewId="0">
      <selection activeCell="A3" sqref="A3"/>
    </sheetView>
  </sheetViews>
  <sheetFormatPr defaultRowHeight="16.5"/>
  <cols>
    <col min="1" max="1" width="17.125" style="5" customWidth="1"/>
    <col min="2" max="2" width="16.125" style="5" customWidth="1"/>
    <col min="3" max="3" width="19.125" style="5" customWidth="1"/>
    <col min="4" max="4" width="13.875" style="5" customWidth="1"/>
    <col min="5" max="5" width="13.25" style="5" customWidth="1"/>
    <col min="6" max="6" width="10.25" style="5" customWidth="1"/>
    <col min="7" max="7" width="18.25" style="5" customWidth="1"/>
    <col min="8" max="8" width="14.125" style="5" bestFit="1" customWidth="1"/>
    <col min="9" max="9" width="11.3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19.5">
      <c r="A1" s="1" t="s">
        <v>502</v>
      </c>
      <c r="B1" s="1"/>
      <c r="C1" s="1"/>
      <c r="D1" s="1"/>
      <c r="E1" s="2"/>
      <c r="F1" s="2"/>
      <c r="G1" s="2"/>
      <c r="H1" s="2"/>
      <c r="I1" s="2"/>
    </row>
    <row r="2" spans="1:9" ht="19.5">
      <c r="A2" s="1"/>
      <c r="B2" s="1"/>
      <c r="C2" s="1"/>
      <c r="D2" s="1"/>
      <c r="E2" s="2"/>
      <c r="F2" s="2"/>
      <c r="G2" s="2"/>
      <c r="H2" s="2"/>
      <c r="I2" s="2"/>
    </row>
    <row r="3" spans="1:9" s="223" customFormat="1" ht="17.25">
      <c r="A3" s="219" t="s">
        <v>157</v>
      </c>
      <c r="B3" s="220"/>
      <c r="C3" s="220"/>
      <c r="D3" s="220"/>
      <c r="E3" s="221"/>
      <c r="F3" s="221"/>
      <c r="G3" s="221"/>
      <c r="H3" s="221"/>
      <c r="I3" s="222"/>
    </row>
    <row r="4" spans="1:9" s="223" customFormat="1" ht="17.25">
      <c r="A4" s="224" t="s">
        <v>161</v>
      </c>
      <c r="B4" s="225"/>
      <c r="C4" s="225"/>
      <c r="D4" s="225"/>
      <c r="E4" s="226"/>
      <c r="F4" s="226"/>
      <c r="G4" s="226"/>
      <c r="H4" s="226"/>
      <c r="I4" s="227"/>
    </row>
    <row r="5" spans="1:9" s="231" customFormat="1">
      <c r="A5" s="8" t="s">
        <v>490</v>
      </c>
      <c r="B5" s="8" t="s">
        <v>491</v>
      </c>
      <c r="C5" s="8" t="s">
        <v>492</v>
      </c>
      <c r="D5" s="9" t="s">
        <v>0</v>
      </c>
      <c r="E5" s="10" t="s">
        <v>493</v>
      </c>
      <c r="F5" s="11" t="s">
        <v>1</v>
      </c>
      <c r="G5" s="8" t="s">
        <v>494</v>
      </c>
      <c r="H5" s="230" t="s">
        <v>1</v>
      </c>
      <c r="I5" s="229" t="s">
        <v>0</v>
      </c>
    </row>
    <row r="6" spans="1:9" s="231" customFormat="1">
      <c r="A6" s="232"/>
      <c r="B6" s="233" t="s">
        <v>2</v>
      </c>
      <c r="C6" s="234" t="s">
        <v>3</v>
      </c>
      <c r="D6" s="232" t="s">
        <v>3</v>
      </c>
      <c r="E6" s="230" t="s">
        <v>2</v>
      </c>
      <c r="F6" s="230"/>
      <c r="G6" s="228" t="s">
        <v>3</v>
      </c>
      <c r="H6" s="228"/>
      <c r="I6" s="229" t="s">
        <v>3</v>
      </c>
    </row>
    <row r="7" spans="1:9" s="231" customFormat="1">
      <c r="A7" s="235" t="s">
        <v>4</v>
      </c>
      <c r="B7" s="236"/>
      <c r="C7" s="237"/>
      <c r="D7" s="236"/>
      <c r="E7" s="239"/>
      <c r="F7" s="238"/>
      <c r="G7" s="239"/>
      <c r="H7" s="238"/>
      <c r="I7" s="239"/>
    </row>
    <row r="8" spans="1:9" s="231" customFormat="1">
      <c r="A8" s="240" t="s">
        <v>5</v>
      </c>
      <c r="B8" s="241">
        <f>SUM(B9:B11)</f>
        <v>6892</v>
      </c>
      <c r="C8" s="242">
        <f>SUM(C9:C11)</f>
        <v>14325184</v>
      </c>
      <c r="D8" s="554">
        <f>IF(B8,C8/B8,0)</f>
        <v>2078.5235055136391</v>
      </c>
      <c r="E8" s="557">
        <f>SUM(E9:E11)</f>
        <v>19023</v>
      </c>
      <c r="F8" s="555">
        <f>E8/E64</f>
        <v>0.28429028304988491</v>
      </c>
      <c r="G8" s="557">
        <f>SUM(G9:G11)</f>
        <v>39754104</v>
      </c>
      <c r="H8" s="555">
        <f>G8/G64</f>
        <v>0.32267516999634283</v>
      </c>
      <c r="I8" s="245">
        <f>IF(E8,G8/E8,0)</f>
        <v>2089.7915155338274</v>
      </c>
    </row>
    <row r="9" spans="1:9" s="231" customFormat="1">
      <c r="A9" s="246" t="s">
        <v>164</v>
      </c>
      <c r="B9" s="247">
        <f>VLOOKUP(A9,[10]進出口值表查詢結果!$A$10:$C$40,3,0)</f>
        <v>5044</v>
      </c>
      <c r="C9" s="247">
        <f>VLOOKUP(A9,[10]進出口值表查詢結果!$A$10:$C$40,2,0)</f>
        <v>10929838</v>
      </c>
      <c r="D9" s="243">
        <f t="shared" ref="D9:D63" si="0">IF(B9,C9/B9,0)</f>
        <v>2166.8988897700237</v>
      </c>
      <c r="E9" s="248">
        <f>VLOOKUP(A9,[11]進出口值表查詢結果!$A$10:$C$47,3,0)</f>
        <v>16264</v>
      </c>
      <c r="F9" s="244">
        <f>E9/E64</f>
        <v>0.2430582538781122</v>
      </c>
      <c r="G9" s="556">
        <f>VLOOKUP(A9,[11]進出口值表查詢結果!$A$10:$C$47,2,0)</f>
        <v>34257089</v>
      </c>
      <c r="H9" s="244">
        <f>G9/G64</f>
        <v>0.27805712881001787</v>
      </c>
      <c r="I9" s="245">
        <f t="shared" ref="I9:I63" si="1">IF(E9,G9/E9,0)</f>
        <v>2106.3138834235119</v>
      </c>
    </row>
    <row r="10" spans="1:9" s="231" customFormat="1">
      <c r="A10" s="37" t="s">
        <v>6</v>
      </c>
      <c r="B10" s="247">
        <f>VLOOKUP(A10,[10]進出口值表查詢結果!$A$10:$C$40,3,0)</f>
        <v>1848</v>
      </c>
      <c r="C10" s="247">
        <f>VLOOKUP(A10,[10]進出口值表查詢結果!$A$10:$C$40,2,0)</f>
        <v>3395346</v>
      </c>
      <c r="D10" s="243">
        <f t="shared" si="0"/>
        <v>1837.3084415584415</v>
      </c>
      <c r="E10" s="248">
        <f>VLOOKUP(A10,[11]進出口值表查詢結果!$A$10:$C$47,3,0)</f>
        <v>2632</v>
      </c>
      <c r="F10" s="244">
        <f>E10/E64</f>
        <v>3.9334070598081118E-2</v>
      </c>
      <c r="G10" s="249">
        <f>VLOOKUP(A10,[11]進出口值表查詢結果!$A$10:$C$47,2,0)</f>
        <v>5101289</v>
      </c>
      <c r="H10" s="244">
        <f>G10/G64</f>
        <v>4.1406021760054604E-2</v>
      </c>
      <c r="I10" s="245">
        <f t="shared" si="1"/>
        <v>1938.1797112462007</v>
      </c>
    </row>
    <row r="11" spans="1:9" s="231" customFormat="1">
      <c r="A11" s="37" t="s">
        <v>7</v>
      </c>
      <c r="B11" s="247">
        <v>0</v>
      </c>
      <c r="C11" s="247">
        <v>0</v>
      </c>
      <c r="D11" s="243">
        <f t="shared" si="0"/>
        <v>0</v>
      </c>
      <c r="E11" s="248">
        <f>VLOOKUP(A11,[11]進出口值表查詢結果!$A$10:$C$47,3,0)</f>
        <v>127</v>
      </c>
      <c r="F11" s="244">
        <f>E11/E64</f>
        <v>1.8979585736916041E-3</v>
      </c>
      <c r="G11" s="249">
        <f>VLOOKUP(A11,[11]進出口值表查詢結果!$A$10:$C$47,2,0)</f>
        <v>395726</v>
      </c>
      <c r="H11" s="244">
        <f>G11/G64</f>
        <v>3.2120194262703736E-3</v>
      </c>
      <c r="I11" s="245">
        <f t="shared" si="1"/>
        <v>3115.9527559055118</v>
      </c>
    </row>
    <row r="12" spans="1:9" s="231" customFormat="1">
      <c r="A12" s="37"/>
      <c r="B12" s="34"/>
      <c r="C12" s="34"/>
      <c r="D12" s="243"/>
      <c r="E12" s="249"/>
      <c r="F12" s="250"/>
      <c r="G12" s="249"/>
      <c r="H12" s="250"/>
      <c r="I12" s="245"/>
    </row>
    <row r="13" spans="1:9" s="231" customFormat="1">
      <c r="A13" s="251" t="s">
        <v>8</v>
      </c>
      <c r="B13" s="252">
        <f>SUM(B14:B39)</f>
        <v>23146</v>
      </c>
      <c r="C13" s="252">
        <f>SUM(C14:C39)</f>
        <v>37754925</v>
      </c>
      <c r="D13" s="243">
        <f t="shared" si="0"/>
        <v>1631.1641320314525</v>
      </c>
      <c r="E13" s="252">
        <f>SUM(E14:E40)</f>
        <v>38378</v>
      </c>
      <c r="F13" s="244">
        <f>E13/E64</f>
        <v>0.57354215859162505</v>
      </c>
      <c r="G13" s="252">
        <f>SUM(G14:G40)</f>
        <v>64691557</v>
      </c>
      <c r="H13" s="244">
        <f>G13/G64</f>
        <v>0.52508689800436958</v>
      </c>
      <c r="I13" s="245">
        <f t="shared" si="1"/>
        <v>1685.6416957631977</v>
      </c>
    </row>
    <row r="14" spans="1:9" s="231" customFormat="1">
      <c r="A14" s="246" t="s">
        <v>249</v>
      </c>
      <c r="B14" s="247">
        <f>VLOOKUP(A14,[10]進出口值表查詢結果!$A$10:$C$40,3,0)</f>
        <v>13500</v>
      </c>
      <c r="C14" s="247">
        <f>VLOOKUP(A14,[10]進出口值表查詢結果!$A$10:$C$40,2,0)</f>
        <v>24070259</v>
      </c>
      <c r="D14" s="243">
        <f t="shared" si="0"/>
        <v>1782.9821481481481</v>
      </c>
      <c r="E14" s="248">
        <f>VLOOKUP(A14,[11]進出口值表查詢結果!$A$10:$C$47,3,0)</f>
        <v>23905</v>
      </c>
      <c r="F14" s="244">
        <f>E14/E64</f>
        <v>0.35724960396927402</v>
      </c>
      <c r="G14" s="249">
        <f>VLOOKUP(A14,[11]進出口值表查詢結果!$A$10:$C$47,2,0)</f>
        <v>44267785</v>
      </c>
      <c r="H14" s="244">
        <f>G14/G64</f>
        <v>0.35931170905616577</v>
      </c>
      <c r="I14" s="245">
        <f t="shared" si="1"/>
        <v>1851.8211671198494</v>
      </c>
    </row>
    <row r="15" spans="1:9" s="231" customFormat="1">
      <c r="A15" s="246" t="s">
        <v>250</v>
      </c>
      <c r="B15" s="247">
        <f>VLOOKUP(A15,[10]進出口值表查詢結果!$A$10:$C$40,3,0)</f>
        <v>6687</v>
      </c>
      <c r="C15" s="247">
        <f>VLOOKUP(A15,[10]進出口值表查詢結果!$A$10:$C$40,2,0)</f>
        <v>9137105</v>
      </c>
      <c r="D15" s="243">
        <f t="shared" si="0"/>
        <v>1366.3982353820847</v>
      </c>
      <c r="E15" s="248">
        <f>VLOOKUP(A15,[11]進出口值表查詢結果!$A$10:$C$47,3,0)</f>
        <v>8968</v>
      </c>
      <c r="F15" s="244">
        <f>E15/E64</f>
        <v>0.1340227755028843</v>
      </c>
      <c r="G15" s="249">
        <f>VLOOKUP(A15,[11]進出口值表查詢結果!$A$10:$C$47,2,0)</f>
        <v>11928687</v>
      </c>
      <c r="H15" s="244">
        <f>G15/G64</f>
        <v>9.6822484178191129E-2</v>
      </c>
      <c r="I15" s="245">
        <f t="shared" si="1"/>
        <v>1330.139049955397</v>
      </c>
    </row>
    <row r="16" spans="1:9" s="231" customFormat="1">
      <c r="A16" s="37" t="s">
        <v>9</v>
      </c>
      <c r="B16" s="247">
        <f>VLOOKUP(A16,[10]進出口值表查詢結果!$A$10:$C$40,3,0)</f>
        <v>448</v>
      </c>
      <c r="C16" s="247">
        <f>VLOOKUP(A16,[10]進出口值表查詢結果!$A$10:$C$40,2,0)</f>
        <v>811317</v>
      </c>
      <c r="D16" s="243">
        <f t="shared" si="0"/>
        <v>1810.9754464285713</v>
      </c>
      <c r="E16" s="248">
        <f>VLOOKUP(A16,[11]進出口值表查詢結果!$A$10:$C$47,3,0)</f>
        <v>806</v>
      </c>
      <c r="F16" s="244">
        <f>E16/E64</f>
        <v>1.2045311892877424E-2</v>
      </c>
      <c r="G16" s="249">
        <f>VLOOKUP(A16,[11]進出口值表查詢結果!$A$10:$C$47,2,0)</f>
        <v>1572692</v>
      </c>
      <c r="H16" s="244">
        <f>G16/G64</f>
        <v>1.2765189185294892E-2</v>
      </c>
      <c r="I16" s="245">
        <f t="shared" si="1"/>
        <v>1951.2307692307693</v>
      </c>
    </row>
    <row r="17" spans="1:9" s="231" customFormat="1">
      <c r="A17" s="246" t="s">
        <v>251</v>
      </c>
      <c r="B17" s="247">
        <f>VLOOKUP(A17,[10]進出口值表查詢結果!$A$10:$C$40,3,0)</f>
        <v>593</v>
      </c>
      <c r="C17" s="247">
        <f>VLOOKUP(A17,[10]進出口值表查詢結果!$A$10:$C$40,2,0)</f>
        <v>1029136</v>
      </c>
      <c r="D17" s="243">
        <f t="shared" si="0"/>
        <v>1735.4738617200674</v>
      </c>
      <c r="E17" s="248">
        <f>VLOOKUP(A17,[11]進出口值表查詢結果!$A$10:$C$47,3,0)</f>
        <v>1393</v>
      </c>
      <c r="F17" s="244">
        <f>E17/E64</f>
        <v>2.0817766087814209E-2</v>
      </c>
      <c r="G17" s="249">
        <f>VLOOKUP(A17,[11]進出口值表查詢結果!$A$10:$C$47,2,0)</f>
        <v>1912779</v>
      </c>
      <c r="H17" s="244">
        <f>G17/G64</f>
        <v>1.5525599293859941E-2</v>
      </c>
      <c r="I17" s="245">
        <f t="shared" si="1"/>
        <v>1373.1363962670496</v>
      </c>
    </row>
    <row r="18" spans="1:9" s="231" customFormat="1">
      <c r="A18" s="37" t="s">
        <v>10</v>
      </c>
      <c r="B18" s="247">
        <f>VLOOKUP(A18,[10]進出口值表查詢結果!$A$10:$C$40,3,0)</f>
        <v>511</v>
      </c>
      <c r="C18" s="247">
        <f>VLOOKUP(A18,[10]進出口值表查詢結果!$A$10:$C$40,2,0)</f>
        <v>1297672</v>
      </c>
      <c r="D18" s="243">
        <f t="shared" si="0"/>
        <v>2539.4755381604696</v>
      </c>
      <c r="E18" s="248">
        <f>VLOOKUP(A18,[11]進出口值表查詢結果!$A$10:$C$47,3,0)</f>
        <v>1008</v>
      </c>
      <c r="F18" s="244">
        <f>E18/E64</f>
        <v>1.506411214394596E-2</v>
      </c>
      <c r="G18" s="249">
        <f>VLOOKUP(A18,[11]進出口值表查詢結果!$A$10:$C$47,2,0)</f>
        <v>2289156</v>
      </c>
      <c r="H18" s="244">
        <f>G18/G64</f>
        <v>1.8580567215101821E-2</v>
      </c>
      <c r="I18" s="245">
        <f t="shared" si="1"/>
        <v>2270.9880952380954</v>
      </c>
    </row>
    <row r="19" spans="1:9" s="231" customFormat="1">
      <c r="A19" s="37" t="s">
        <v>11</v>
      </c>
      <c r="B19" s="247">
        <f>VLOOKUP(A19,[10]進出口值表查詢結果!$A$10:$C$40,3,0)</f>
        <v>246</v>
      </c>
      <c r="C19" s="247">
        <f>VLOOKUP(A19,[10]進出口值表查詢結果!$A$10:$C$40,2,0)</f>
        <v>421709</v>
      </c>
      <c r="D19" s="243">
        <f t="shared" si="0"/>
        <v>1714.2642276422764</v>
      </c>
      <c r="E19" s="248">
        <f>VLOOKUP(A19,[11]進出口值表查詢結果!$A$10:$C$47,3,0)</f>
        <v>246</v>
      </c>
      <c r="F19" s="244">
        <f>E19/E64</f>
        <v>3.6763607017963355E-3</v>
      </c>
      <c r="G19" s="249">
        <f>VLOOKUP(A19,[11]進出口值表查詢結果!$A$10:$C$47,2,0)</f>
        <v>421709</v>
      </c>
      <c r="H19" s="244">
        <f>G19/G64</f>
        <v>3.4229176254101396E-3</v>
      </c>
      <c r="I19" s="245">
        <f t="shared" si="1"/>
        <v>1714.2642276422764</v>
      </c>
    </row>
    <row r="20" spans="1:9" s="231" customFormat="1">
      <c r="A20" s="246" t="s">
        <v>253</v>
      </c>
      <c r="B20" s="247">
        <f>VLOOKUP(A20,[10]進出口值表查詢結果!$A$10:$C$40,3,0)</f>
        <v>83</v>
      </c>
      <c r="C20" s="247">
        <f>VLOOKUP(A20,[10]進出口值表查詢結果!$A$10:$C$40,2,0)</f>
        <v>178228</v>
      </c>
      <c r="D20" s="243">
        <f t="shared" si="0"/>
        <v>2147.3253012048194</v>
      </c>
      <c r="E20" s="248">
        <f>VLOOKUP(A20,[11]進出口值表查詢結果!$A$10:$C$47,3,0)</f>
        <v>456</v>
      </c>
      <c r="F20" s="244">
        <f>E20/E64</f>
        <v>6.8147173984517443E-3</v>
      </c>
      <c r="G20" s="249">
        <f>VLOOKUP(A20,[11]進出口值表查詢結果!$A$10:$C$47,2,0)</f>
        <v>928260</v>
      </c>
      <c r="H20" s="244">
        <f>G20/G64</f>
        <v>7.5344787874179024E-3</v>
      </c>
      <c r="I20" s="245">
        <f t="shared" si="1"/>
        <v>2035.6578947368421</v>
      </c>
    </row>
    <row r="21" spans="1:9" s="231" customFormat="1">
      <c r="A21" s="37" t="s">
        <v>12</v>
      </c>
      <c r="B21" s="247">
        <v>0</v>
      </c>
      <c r="C21" s="247">
        <v>0</v>
      </c>
      <c r="D21" s="243">
        <f t="shared" si="0"/>
        <v>0</v>
      </c>
      <c r="E21" s="248">
        <f>VLOOKUP(A21,[11]進出口值表查詢結果!$A$10:$C$47,3,0)</f>
        <v>2</v>
      </c>
      <c r="F21" s="244">
        <f>E21/E64</f>
        <v>2.9889111396718176E-5</v>
      </c>
      <c r="G21" s="249">
        <f>VLOOKUP(A21,[11]進出口值表查詢結果!$A$10:$C$47,2,0)</f>
        <v>1093</v>
      </c>
      <c r="H21" s="244">
        <f>G21/G64</f>
        <v>8.8716365184837952E-6</v>
      </c>
      <c r="I21" s="245">
        <f t="shared" si="1"/>
        <v>546.5</v>
      </c>
    </row>
    <row r="22" spans="1:9" s="231" customFormat="1">
      <c r="A22" s="246" t="s">
        <v>254</v>
      </c>
      <c r="B22" s="247">
        <v>0</v>
      </c>
      <c r="C22" s="247">
        <v>0</v>
      </c>
      <c r="D22" s="243">
        <f t="shared" si="0"/>
        <v>0</v>
      </c>
      <c r="E22" s="248">
        <v>0</v>
      </c>
      <c r="F22" s="244">
        <f>E22/E64</f>
        <v>0</v>
      </c>
      <c r="G22" s="247">
        <v>0</v>
      </c>
      <c r="H22" s="244">
        <f>G22/G64</f>
        <v>0</v>
      </c>
      <c r="I22" s="245">
        <f t="shared" si="1"/>
        <v>0</v>
      </c>
    </row>
    <row r="23" spans="1:9" s="231" customFormat="1">
      <c r="A23" s="37" t="s">
        <v>13</v>
      </c>
      <c r="B23" s="247">
        <v>0</v>
      </c>
      <c r="C23" s="247">
        <v>0</v>
      </c>
      <c r="D23" s="243">
        <f t="shared" si="0"/>
        <v>0</v>
      </c>
      <c r="E23" s="248">
        <v>0</v>
      </c>
      <c r="F23" s="244">
        <f>E23/E64</f>
        <v>0</v>
      </c>
      <c r="G23" s="247">
        <v>0</v>
      </c>
      <c r="H23" s="244">
        <f>G23/G64</f>
        <v>0</v>
      </c>
      <c r="I23" s="245">
        <f t="shared" si="1"/>
        <v>0</v>
      </c>
    </row>
    <row r="24" spans="1:9" s="231" customFormat="1">
      <c r="A24" s="37" t="s">
        <v>14</v>
      </c>
      <c r="B24" s="247">
        <v>0</v>
      </c>
      <c r="C24" s="247">
        <v>0</v>
      </c>
      <c r="D24" s="243">
        <f t="shared" si="0"/>
        <v>0</v>
      </c>
      <c r="E24" s="248">
        <v>0</v>
      </c>
      <c r="F24" s="244">
        <f>E24/E64</f>
        <v>0</v>
      </c>
      <c r="G24" s="247">
        <v>0</v>
      </c>
      <c r="H24" s="244">
        <f>G24/G64</f>
        <v>0</v>
      </c>
      <c r="I24" s="245">
        <f t="shared" si="1"/>
        <v>0</v>
      </c>
    </row>
    <row r="25" spans="1:9" s="231" customFormat="1">
      <c r="A25" s="37" t="s">
        <v>15</v>
      </c>
      <c r="B25" s="247">
        <f>VLOOKUP(A25,[10]進出口值表查詢結果!$A$10:$C$40,3,0)</f>
        <v>1</v>
      </c>
      <c r="C25" s="247">
        <f>VLOOKUP(A25,[10]進出口值表查詢結果!$A$10:$C$40,2,0)</f>
        <v>2741</v>
      </c>
      <c r="D25" s="243">
        <f t="shared" si="0"/>
        <v>2741</v>
      </c>
      <c r="E25" s="248">
        <f>VLOOKUP(A25,[11]進出口值表查詢結果!$A$10:$C$47,3,0)</f>
        <v>1</v>
      </c>
      <c r="F25" s="244">
        <f>E25/E64</f>
        <v>1.4944555698359088E-5</v>
      </c>
      <c r="G25" s="249">
        <f>VLOOKUP(A25,[11]進出口值表查詢結果!$A$10:$C$47,2,0)</f>
        <v>2741</v>
      </c>
      <c r="H25" s="244">
        <f>G25/G64</f>
        <v>2.2248083894935115E-5</v>
      </c>
      <c r="I25" s="245">
        <f t="shared" si="1"/>
        <v>2741</v>
      </c>
    </row>
    <row r="26" spans="1:9" s="231" customFormat="1">
      <c r="A26" s="246" t="s">
        <v>257</v>
      </c>
      <c r="B26" s="247">
        <f>VLOOKUP(A26,[10]進出口值表查詢結果!$A$10:$C$40,3,0)</f>
        <v>800</v>
      </c>
      <c r="C26" s="247">
        <f>VLOOKUP(A26,[10]進出口值表查詢結果!$A$10:$C$40,2,0)</f>
        <v>325852</v>
      </c>
      <c r="D26" s="243">
        <f t="shared" si="0"/>
        <v>407.315</v>
      </c>
      <c r="E26" s="248">
        <f>VLOOKUP(A26,[11]進出口值表查詢結果!$A$10:$C$47,3,0)</f>
        <v>1100</v>
      </c>
      <c r="F26" s="244">
        <f>E26/E64</f>
        <v>1.6439011268194997E-2</v>
      </c>
      <c r="G26" s="249">
        <f>VLOOKUP(A26,[11]進出口值表查詢結果!$A$10:$C$47,2,0)</f>
        <v>441533</v>
      </c>
      <c r="H26" s="244">
        <f>G26/G64</f>
        <v>3.5838245991909475E-3</v>
      </c>
      <c r="I26" s="245">
        <f t="shared" si="1"/>
        <v>401.39363636363635</v>
      </c>
    </row>
    <row r="27" spans="1:9" s="231" customFormat="1">
      <c r="A27" s="246" t="s">
        <v>259</v>
      </c>
      <c r="B27" s="247">
        <f>VLOOKUP(A27,[10]進出口值表查詢結果!$A$10:$C$40,3,0)</f>
        <v>135</v>
      </c>
      <c r="C27" s="247">
        <f>VLOOKUP(A27,[10]進出口值表查詢結果!$A$10:$C$40,2,0)</f>
        <v>229551</v>
      </c>
      <c r="D27" s="243">
        <f t="shared" si="0"/>
        <v>1700.3777777777777</v>
      </c>
      <c r="E27" s="248">
        <f>VLOOKUP(A27,[11]進出口值表查詢結果!$A$10:$C$47,3,0)</f>
        <v>135</v>
      </c>
      <c r="F27" s="244">
        <f>E27/E64</f>
        <v>2.0175150192784769E-3</v>
      </c>
      <c r="G27" s="249">
        <f>VLOOKUP(A27,[11]進出口值表查詢結果!$A$10:$C$47,2,0)</f>
        <v>229551</v>
      </c>
      <c r="H27" s="244">
        <f>G27/G64</f>
        <v>1.8632141211843308E-3</v>
      </c>
      <c r="I27" s="245">
        <f t="shared" si="1"/>
        <v>1700.3777777777777</v>
      </c>
    </row>
    <row r="28" spans="1:9" s="231" customFormat="1">
      <c r="A28" s="254" t="s">
        <v>260</v>
      </c>
      <c r="B28" s="247">
        <f>VLOOKUP(A28,[10]進出口值表查詢結果!$A$10:$C$40,3,0)</f>
        <v>35</v>
      </c>
      <c r="C28" s="247">
        <f>VLOOKUP(A28,[10]進出口值表查詢結果!$A$10:$C$40,2,0)</f>
        <v>64807</v>
      </c>
      <c r="D28" s="243">
        <f t="shared" si="0"/>
        <v>1851.6285714285714</v>
      </c>
      <c r="E28" s="248">
        <f>VLOOKUP(A28,[11]進出口值表查詢結果!$A$10:$C$47,3,0)</f>
        <v>158</v>
      </c>
      <c r="F28" s="244">
        <f>E28/E64</f>
        <v>2.3612398003407357E-3</v>
      </c>
      <c r="G28" s="249">
        <f>VLOOKUP(A28,[11]進出口值表查詢結果!$A$10:$C$47,2,0)</f>
        <v>293856</v>
      </c>
      <c r="H28" s="244">
        <f>G28/G64</f>
        <v>2.3851634224845144E-3</v>
      </c>
      <c r="I28" s="245">
        <f t="shared" si="1"/>
        <v>1859.8481012658228</v>
      </c>
    </row>
    <row r="29" spans="1:9" s="231" customFormat="1">
      <c r="A29" s="254" t="s">
        <v>261</v>
      </c>
      <c r="B29" s="247">
        <v>0</v>
      </c>
      <c r="C29" s="247">
        <v>0</v>
      </c>
      <c r="D29" s="243">
        <f t="shared" si="0"/>
        <v>0</v>
      </c>
      <c r="E29" s="248">
        <f>VLOOKUP(A29,[11]進出口值表查詢結果!$A$10:$C$47,3,0)</f>
        <v>93</v>
      </c>
      <c r="F29" s="244">
        <f>E29/E64</f>
        <v>1.3898436799473952E-3</v>
      </c>
      <c r="G29" s="249">
        <f>VLOOKUP(A29,[11]進出口值表查詢結果!$A$10:$C$47,2,0)</f>
        <v>215167</v>
      </c>
      <c r="H29" s="244">
        <f>G29/G64</f>
        <v>1.7464624105879257E-3</v>
      </c>
      <c r="I29" s="245">
        <f t="shared" si="1"/>
        <v>2313.6236559139784</v>
      </c>
    </row>
    <row r="30" spans="1:9" s="231" customFormat="1">
      <c r="A30" s="254" t="s">
        <v>262</v>
      </c>
      <c r="B30" s="247">
        <f>VLOOKUP(A30,[10]進出口值表查詢結果!$A$10:$C$40,3,0)</f>
        <v>107</v>
      </c>
      <c r="C30" s="247">
        <f>VLOOKUP(A30,[10]進出口值表查詢結果!$A$10:$C$40,2,0)</f>
        <v>186548</v>
      </c>
      <c r="D30" s="243">
        <f t="shared" si="0"/>
        <v>1743.4392523364486</v>
      </c>
      <c r="E30" s="248">
        <f>VLOOKUP(A30,[11]進出口值表查詢結果!$A$10:$C$47,3,0)</f>
        <v>107</v>
      </c>
      <c r="F30" s="244">
        <f>E30/E64</f>
        <v>1.5990674597244224E-3</v>
      </c>
      <c r="G30" s="249">
        <f>VLOOKUP(A30,[11]進出口值表查詢結果!$A$10:$C$47,2,0)</f>
        <v>186548</v>
      </c>
      <c r="H30" s="244">
        <f>G30/G64</f>
        <v>1.5141683890668939E-3</v>
      </c>
      <c r="I30" s="245">
        <f t="shared" si="1"/>
        <v>1743.4392523364486</v>
      </c>
    </row>
    <row r="31" spans="1:9" s="231" customFormat="1">
      <c r="A31" s="254" t="s">
        <v>263</v>
      </c>
      <c r="B31" s="247">
        <v>0</v>
      </c>
      <c r="C31" s="247">
        <v>0</v>
      </c>
      <c r="D31" s="243">
        <f t="shared" si="0"/>
        <v>0</v>
      </c>
      <c r="E31" s="248">
        <v>0</v>
      </c>
      <c r="F31" s="244">
        <f>E31/E64</f>
        <v>0</v>
      </c>
      <c r="G31" s="247">
        <v>0</v>
      </c>
      <c r="H31" s="244">
        <f>G31/G64</f>
        <v>0</v>
      </c>
      <c r="I31" s="245">
        <f t="shared" si="1"/>
        <v>0</v>
      </c>
    </row>
    <row r="32" spans="1:9" s="231" customFormat="1">
      <c r="A32" s="30" t="s">
        <v>265</v>
      </c>
      <c r="B32" s="247">
        <v>0</v>
      </c>
      <c r="C32" s="247">
        <v>0</v>
      </c>
      <c r="D32" s="243">
        <f t="shared" si="0"/>
        <v>0</v>
      </c>
      <c r="E32" s="248">
        <v>0</v>
      </c>
      <c r="F32" s="244">
        <f>E32/E64</f>
        <v>0</v>
      </c>
      <c r="G32" s="247">
        <v>0</v>
      </c>
      <c r="H32" s="244">
        <f>G32/G64</f>
        <v>0</v>
      </c>
      <c r="I32" s="245">
        <f t="shared" si="1"/>
        <v>0</v>
      </c>
    </row>
    <row r="33" spans="1:9" s="231" customFormat="1">
      <c r="A33" s="254" t="s">
        <v>267</v>
      </c>
      <c r="B33" s="247">
        <v>0</v>
      </c>
      <c r="C33" s="247">
        <v>0</v>
      </c>
      <c r="D33" s="243">
        <f t="shared" si="0"/>
        <v>0</v>
      </c>
      <c r="E33" s="248">
        <v>0</v>
      </c>
      <c r="F33" s="244">
        <f>E33/E64</f>
        <v>0</v>
      </c>
      <c r="G33" s="247">
        <v>0</v>
      </c>
      <c r="H33" s="244">
        <f>G33/G64</f>
        <v>0</v>
      </c>
      <c r="I33" s="245">
        <f t="shared" si="1"/>
        <v>0</v>
      </c>
    </row>
    <row r="34" spans="1:9" s="231" customFormat="1">
      <c r="A34" s="254" t="s">
        <v>268</v>
      </c>
      <c r="B34" s="247">
        <v>0</v>
      </c>
      <c r="C34" s="247">
        <v>0</v>
      </c>
      <c r="D34" s="243">
        <f t="shared" si="0"/>
        <v>0</v>
      </c>
      <c r="E34" s="248">
        <v>0</v>
      </c>
      <c r="F34" s="244">
        <f>E34/E64</f>
        <v>0</v>
      </c>
      <c r="G34" s="247">
        <v>0</v>
      </c>
      <c r="H34" s="244">
        <f>G34/G64</f>
        <v>0</v>
      </c>
      <c r="I34" s="245">
        <f t="shared" si="1"/>
        <v>0</v>
      </c>
    </row>
    <row r="35" spans="1:9" s="231" customFormat="1">
      <c r="A35" s="255" t="s">
        <v>386</v>
      </c>
      <c r="B35" s="247">
        <v>0</v>
      </c>
      <c r="C35" s="247">
        <v>0</v>
      </c>
      <c r="D35" s="243">
        <f t="shared" si="0"/>
        <v>0</v>
      </c>
      <c r="E35" s="248">
        <v>0</v>
      </c>
      <c r="F35" s="244">
        <f>E35/E64</f>
        <v>0</v>
      </c>
      <c r="G35" s="247">
        <v>0</v>
      </c>
      <c r="H35" s="244">
        <f>G35/G64</f>
        <v>0</v>
      </c>
      <c r="I35" s="245">
        <f t="shared" si="1"/>
        <v>0</v>
      </c>
    </row>
    <row r="36" spans="1:9" s="231" customFormat="1">
      <c r="A36" s="254" t="s">
        <v>271</v>
      </c>
      <c r="B36" s="247">
        <v>0</v>
      </c>
      <c r="C36" s="247">
        <v>0</v>
      </c>
      <c r="D36" s="243">
        <f t="shared" si="0"/>
        <v>0</v>
      </c>
      <c r="E36" s="248">
        <v>0</v>
      </c>
      <c r="F36" s="244">
        <f>E36/E64</f>
        <v>0</v>
      </c>
      <c r="G36" s="247">
        <v>0</v>
      </c>
      <c r="H36" s="244">
        <f>G36/G64</f>
        <v>0</v>
      </c>
      <c r="I36" s="245">
        <f t="shared" si="1"/>
        <v>0</v>
      </c>
    </row>
    <row r="37" spans="1:9" s="231" customFormat="1">
      <c r="A37" s="254" t="s">
        <v>387</v>
      </c>
      <c r="B37" s="247">
        <v>0</v>
      </c>
      <c r="C37" s="247">
        <v>0</v>
      </c>
      <c r="D37" s="243">
        <f t="shared" si="0"/>
        <v>0</v>
      </c>
      <c r="E37" s="248">
        <v>0</v>
      </c>
      <c r="F37" s="244">
        <f>E37/E64</f>
        <v>0</v>
      </c>
      <c r="G37" s="247">
        <v>0</v>
      </c>
      <c r="H37" s="244">
        <f>G37/G64</f>
        <v>0</v>
      </c>
      <c r="I37" s="245">
        <f t="shared" si="1"/>
        <v>0</v>
      </c>
    </row>
    <row r="38" spans="1:9" s="231" customFormat="1">
      <c r="A38" s="254" t="s">
        <v>273</v>
      </c>
      <c r="B38" s="247">
        <v>0</v>
      </c>
      <c r="C38" s="247">
        <v>0</v>
      </c>
      <c r="D38" s="243">
        <f t="shared" si="0"/>
        <v>0</v>
      </c>
      <c r="E38" s="248">
        <v>0</v>
      </c>
      <c r="F38" s="244">
        <f>E38/E64</f>
        <v>0</v>
      </c>
      <c r="G38" s="247">
        <v>0</v>
      </c>
      <c r="H38" s="244">
        <f>G38/G64</f>
        <v>0</v>
      </c>
      <c r="I38" s="245">
        <f t="shared" si="1"/>
        <v>0</v>
      </c>
    </row>
    <row r="39" spans="1:9" s="231" customFormat="1">
      <c r="A39" s="254" t="s">
        <v>274</v>
      </c>
      <c r="B39" s="247">
        <v>0</v>
      </c>
      <c r="C39" s="247">
        <v>0</v>
      </c>
      <c r="D39" s="243">
        <f t="shared" si="0"/>
        <v>0</v>
      </c>
      <c r="E39" s="248">
        <v>0</v>
      </c>
      <c r="F39" s="244">
        <f>E39/E64</f>
        <v>0</v>
      </c>
      <c r="G39" s="247">
        <v>0</v>
      </c>
      <c r="H39" s="244">
        <f>G39/G64</f>
        <v>0</v>
      </c>
      <c r="I39" s="245">
        <f t="shared" si="1"/>
        <v>0</v>
      </c>
    </row>
    <row r="40" spans="1:9" s="231" customFormat="1">
      <c r="A40" s="30" t="s">
        <v>275</v>
      </c>
      <c r="B40" s="247">
        <v>0</v>
      </c>
      <c r="C40" s="247">
        <v>0</v>
      </c>
      <c r="D40" s="243">
        <f t="shared" si="0"/>
        <v>0</v>
      </c>
      <c r="E40" s="248">
        <v>0</v>
      </c>
      <c r="F40" s="244">
        <f>E40/E64</f>
        <v>0</v>
      </c>
      <c r="G40" s="247">
        <v>0</v>
      </c>
      <c r="H40" s="244">
        <f>G40/G64</f>
        <v>0</v>
      </c>
      <c r="I40" s="245">
        <f t="shared" si="1"/>
        <v>0</v>
      </c>
    </row>
    <row r="41" spans="1:9" s="231" customFormat="1">
      <c r="A41" s="30"/>
      <c r="B41" s="34"/>
      <c r="C41" s="35"/>
      <c r="D41" s="243"/>
      <c r="E41" s="249"/>
      <c r="F41" s="250"/>
      <c r="G41" s="249"/>
      <c r="H41" s="250"/>
      <c r="I41" s="245"/>
    </row>
    <row r="42" spans="1:9" s="231" customFormat="1">
      <c r="A42" s="253" t="s">
        <v>19</v>
      </c>
      <c r="B42" s="252">
        <f>SUM(B43:B46)</f>
        <v>1619</v>
      </c>
      <c r="C42" s="252">
        <f>SUM(C43:C46)</f>
        <v>3070705</v>
      </c>
      <c r="D42" s="243">
        <f t="shared" si="0"/>
        <v>1896.6676961087092</v>
      </c>
      <c r="E42" s="252">
        <f>SUM(E43:E46)</f>
        <v>2791</v>
      </c>
      <c r="F42" s="244">
        <f>E42/E64</f>
        <v>4.1710254954120216E-2</v>
      </c>
      <c r="G42" s="252">
        <f>SUM(G43:G46)</f>
        <v>5083560</v>
      </c>
      <c r="H42" s="244">
        <f>G42/G64</f>
        <v>4.1262119432665584E-2</v>
      </c>
      <c r="I42" s="245">
        <f t="shared" si="1"/>
        <v>1821.4116804012899</v>
      </c>
    </row>
    <row r="43" spans="1:9" s="231" customFormat="1">
      <c r="A43" s="246" t="s">
        <v>184</v>
      </c>
      <c r="B43" s="247">
        <f>VLOOKUP(A43,[10]進出口值表查詢結果!$A$10:$C$40,3,0)</f>
        <v>335</v>
      </c>
      <c r="C43" s="247">
        <f>VLOOKUP(A43,[10]進出口值表查詢結果!$A$10:$C$40,2,0)</f>
        <v>760822</v>
      </c>
      <c r="D43" s="243">
        <f t="shared" si="0"/>
        <v>2271.1104477611939</v>
      </c>
      <c r="E43" s="248">
        <f>VLOOKUP(A43,[11]進出口值表查詢結果!$A$10:$C$47,3,0)</f>
        <v>1297</v>
      </c>
      <c r="F43" s="244">
        <f>E43/E64</f>
        <v>1.9383088740771735E-2</v>
      </c>
      <c r="G43" s="249">
        <f>VLOOKUP(A43,[11]進出口值表查詢結果!$A$10:$C$47,2,0)</f>
        <v>2440483</v>
      </c>
      <c r="H43" s="244">
        <f>G43/G64</f>
        <v>1.980885462537867E-2</v>
      </c>
      <c r="I43" s="245">
        <f t="shared" si="1"/>
        <v>1881.6368542791056</v>
      </c>
    </row>
    <row r="44" spans="1:9" s="231" customFormat="1">
      <c r="A44" s="246" t="s">
        <v>277</v>
      </c>
      <c r="B44" s="247">
        <f>VLOOKUP(A44,[10]進出口值表查詢結果!$A$10:$C$40,3,0)</f>
        <v>1239</v>
      </c>
      <c r="C44" s="247">
        <f>VLOOKUP(A44,[10]進出口值表查詢結果!$A$10:$C$40,2,0)</f>
        <v>2200033</v>
      </c>
      <c r="D44" s="243">
        <f t="shared" si="0"/>
        <v>1775.6521388216304</v>
      </c>
      <c r="E44" s="248">
        <f>VLOOKUP(A44,[11]進出口值表查詢結果!$A$10:$C$47,3,0)</f>
        <v>1449</v>
      </c>
      <c r="F44" s="244">
        <f>E44/E64</f>
        <v>2.1654661206922318E-2</v>
      </c>
      <c r="G44" s="249">
        <f>VLOOKUP(A44,[11]進出口值表查詢結果!$A$10:$C$47,2,0)</f>
        <v>2533227</v>
      </c>
      <c r="H44" s="244">
        <f>G44/G64</f>
        <v>2.0561636928462166E-2</v>
      </c>
      <c r="I44" s="245">
        <f t="shared" si="1"/>
        <v>1748.2587991718426</v>
      </c>
    </row>
    <row r="45" spans="1:9" s="231" customFormat="1">
      <c r="A45" s="246" t="s">
        <v>278</v>
      </c>
      <c r="B45" s="247">
        <f>VLOOKUP(A45,[10]進出口值表查詢結果!$A$10:$C$40,3,0)</f>
        <v>45</v>
      </c>
      <c r="C45" s="247">
        <f>VLOOKUP(A45,[10]進出口值表查詢結果!$A$10:$C$40,2,0)</f>
        <v>109850</v>
      </c>
      <c r="D45" s="243">
        <f t="shared" si="0"/>
        <v>2441.1111111111113</v>
      </c>
      <c r="E45" s="248">
        <f>VLOOKUP(A45,[11]進出口值表查詢結果!$A$10:$C$47,3,0)</f>
        <v>45</v>
      </c>
      <c r="F45" s="244">
        <f>E45/E64</f>
        <v>6.7250500642615898E-4</v>
      </c>
      <c r="G45" s="249">
        <f>VLOOKUP(A45,[11]進出口值表查詢結果!$A$10:$C$47,2,0)</f>
        <v>109850</v>
      </c>
      <c r="H45" s="244">
        <f>G45/G64</f>
        <v>8.9162787882474375E-4</v>
      </c>
      <c r="I45" s="245">
        <f t="shared" si="1"/>
        <v>2441.1111111111113</v>
      </c>
    </row>
    <row r="46" spans="1:9" s="231" customFormat="1">
      <c r="A46" s="37" t="s">
        <v>20</v>
      </c>
      <c r="B46" s="247">
        <v>0</v>
      </c>
      <c r="C46" s="247">
        <f>_xlfn.IFNA(VLOOKUP(A46,[3]電!$C$3:$F$367,3,0),-[4]整車!$B$22)</f>
        <v>0</v>
      </c>
      <c r="D46" s="243">
        <f t="shared" si="0"/>
        <v>0</v>
      </c>
      <c r="E46" s="248">
        <v>0</v>
      </c>
      <c r="F46" s="244">
        <f>E46/E64</f>
        <v>0</v>
      </c>
      <c r="G46" s="247">
        <v>0</v>
      </c>
      <c r="H46" s="244">
        <f>G46/G64</f>
        <v>0</v>
      </c>
      <c r="I46" s="245">
        <f t="shared" si="1"/>
        <v>0</v>
      </c>
    </row>
    <row r="47" spans="1:9" s="231" customFormat="1">
      <c r="A47" s="37"/>
      <c r="B47" s="247"/>
      <c r="C47" s="35"/>
      <c r="D47" s="243"/>
      <c r="E47" s="249"/>
      <c r="F47" s="250"/>
      <c r="G47" s="249"/>
      <c r="H47" s="250"/>
      <c r="I47" s="245"/>
    </row>
    <row r="48" spans="1:9" s="231" customFormat="1">
      <c r="A48" s="253" t="s">
        <v>21</v>
      </c>
      <c r="B48" s="252">
        <f>SUM(B49:B62)</f>
        <v>3064</v>
      </c>
      <c r="C48" s="252">
        <f>SUM(C49:C62)</f>
        <v>5879949</v>
      </c>
      <c r="D48" s="243">
        <f t="shared" si="0"/>
        <v>1919.0434073107049</v>
      </c>
      <c r="E48" s="252">
        <f>SUM(E49:E62)</f>
        <v>5805</v>
      </c>
      <c r="F48" s="244">
        <f>E48/E64</f>
        <v>8.6753145828974504E-2</v>
      </c>
      <c r="G48" s="252">
        <f>SUM(G49:G62)</f>
        <v>11355626</v>
      </c>
      <c r="H48" s="244">
        <f>G48/G64</f>
        <v>9.2171076223096129E-2</v>
      </c>
      <c r="I48" s="245">
        <f t="shared" si="1"/>
        <v>1956.1801894918174</v>
      </c>
    </row>
    <row r="49" spans="1:9" s="231" customFormat="1">
      <c r="A49" s="253" t="s">
        <v>163</v>
      </c>
      <c r="B49" s="247">
        <f>VLOOKUP(A49,[10]進出口值表查詢結果!$A$10:$C$40,3,0)</f>
        <v>1461</v>
      </c>
      <c r="C49" s="247">
        <f>VLOOKUP(A49,[10]進出口值表查詢結果!$A$10:$C$40,2,0)</f>
        <v>2431718</v>
      </c>
      <c r="D49" s="243">
        <f t="shared" si="0"/>
        <v>1664.4202600958247</v>
      </c>
      <c r="E49" s="248">
        <f>VLOOKUP(A49,[11]進出口值表查詢結果!$A$10:$C$47,3,0)</f>
        <v>2888</v>
      </c>
      <c r="F49" s="244">
        <f>E49/E64</f>
        <v>4.3159876856861047E-2</v>
      </c>
      <c r="G49" s="249">
        <f>VLOOKUP(A49,[11]進出口值表查詢結果!$A$10:$C$47,2,0)</f>
        <v>5283005</v>
      </c>
      <c r="H49" s="244">
        <f>G49/G64</f>
        <v>4.2880969885940055E-2</v>
      </c>
      <c r="I49" s="245">
        <f t="shared" si="1"/>
        <v>1829.2953601108034</v>
      </c>
    </row>
    <row r="50" spans="1:9" s="231" customFormat="1">
      <c r="A50" s="246" t="s">
        <v>388</v>
      </c>
      <c r="B50" s="247">
        <f>VLOOKUP(A50,[10]進出口值表查詢結果!$A$10:$C$40,3,0)</f>
        <v>240</v>
      </c>
      <c r="C50" s="247">
        <f>VLOOKUP(A50,[10]進出口值表查詢結果!$A$10:$C$40,2,0)</f>
        <v>188811</v>
      </c>
      <c r="D50" s="243">
        <f t="shared" si="0"/>
        <v>786.71249999999998</v>
      </c>
      <c r="E50" s="248">
        <f>VLOOKUP(A50,[11]進出口值表查詢結果!$A$10:$C$47,3,0)</f>
        <v>812</v>
      </c>
      <c r="F50" s="244">
        <f>E50/E64</f>
        <v>1.2134979227067579E-2</v>
      </c>
      <c r="G50" s="249">
        <f>VLOOKUP(A50,[11]進出口值表查詢結果!$A$10:$C$47,2,0)</f>
        <v>834377</v>
      </c>
      <c r="H50" s="244">
        <f>G50/G64</f>
        <v>6.7724514761051723E-3</v>
      </c>
      <c r="I50" s="245">
        <f t="shared" si="1"/>
        <v>1027.557881773399</v>
      </c>
    </row>
    <row r="51" spans="1:9" s="231" customFormat="1">
      <c r="A51" s="246" t="s">
        <v>389</v>
      </c>
      <c r="B51" s="247">
        <v>0</v>
      </c>
      <c r="C51" s="247">
        <v>0</v>
      </c>
      <c r="D51" s="243">
        <f t="shared" si="0"/>
        <v>0</v>
      </c>
      <c r="E51" s="248">
        <v>0</v>
      </c>
      <c r="F51" s="244">
        <f>E51/E64</f>
        <v>0</v>
      </c>
      <c r="G51" s="249">
        <v>0</v>
      </c>
      <c r="H51" s="244">
        <f>G51/G64</f>
        <v>0</v>
      </c>
      <c r="I51" s="245">
        <f t="shared" si="1"/>
        <v>0</v>
      </c>
    </row>
    <row r="52" spans="1:9" s="231" customFormat="1">
      <c r="A52" s="246" t="s">
        <v>301</v>
      </c>
      <c r="B52" s="247">
        <f>VLOOKUP(A52,[10]進出口值表查詢結果!$A$10:$C$40,3,0)</f>
        <v>1</v>
      </c>
      <c r="C52" s="247">
        <f>VLOOKUP(A52,[10]進出口值表查詢結果!$A$10:$C$40,2,0)</f>
        <v>1849</v>
      </c>
      <c r="D52" s="243">
        <f t="shared" si="0"/>
        <v>1849</v>
      </c>
      <c r="E52" s="248">
        <f>VLOOKUP(A52,[11]進出口值表查詢結果!$A$10:$C$47,3,0)</f>
        <v>1</v>
      </c>
      <c r="F52" s="244">
        <f>E52/E64</f>
        <v>1.4944555698359088E-5</v>
      </c>
      <c r="G52" s="249">
        <f>VLOOKUP(A52,[11]進出口值表查詢結果!$A$10:$C$47,2,0)</f>
        <v>1849</v>
      </c>
      <c r="H52" s="244">
        <f>G52/G64</f>
        <v>1.5007919416904425E-5</v>
      </c>
      <c r="I52" s="245">
        <f t="shared" si="1"/>
        <v>1849</v>
      </c>
    </row>
    <row r="53" spans="1:9" s="231" customFormat="1">
      <c r="A53" s="37" t="s">
        <v>22</v>
      </c>
      <c r="B53" s="247">
        <v>0</v>
      </c>
      <c r="C53" s="247">
        <v>0</v>
      </c>
      <c r="D53" s="243">
        <f t="shared" si="0"/>
        <v>0</v>
      </c>
      <c r="E53" s="248">
        <v>0</v>
      </c>
      <c r="F53" s="244">
        <f>E53/E64</f>
        <v>0</v>
      </c>
      <c r="G53" s="247">
        <v>0</v>
      </c>
      <c r="H53" s="244">
        <f>G53/G64</f>
        <v>0</v>
      </c>
      <c r="I53" s="245">
        <f t="shared" si="1"/>
        <v>0</v>
      </c>
    </row>
    <row r="54" spans="1:9" s="231" customFormat="1">
      <c r="A54" s="246" t="s">
        <v>307</v>
      </c>
      <c r="B54" s="247">
        <v>0</v>
      </c>
      <c r="C54" s="247">
        <v>0</v>
      </c>
      <c r="D54" s="243">
        <f t="shared" si="0"/>
        <v>0</v>
      </c>
      <c r="E54" s="248">
        <v>0</v>
      </c>
      <c r="F54" s="244">
        <f>E54/E64</f>
        <v>0</v>
      </c>
      <c r="G54" s="247">
        <v>0</v>
      </c>
      <c r="H54" s="244">
        <f>G54/G64</f>
        <v>0</v>
      </c>
      <c r="I54" s="245">
        <f t="shared" si="1"/>
        <v>0</v>
      </c>
    </row>
    <row r="55" spans="1:9" s="231" customFormat="1">
      <c r="A55" s="26" t="s">
        <v>390</v>
      </c>
      <c r="B55" s="247">
        <f>VLOOKUP(A55,[10]進出口值表查詢結果!$A$10:$C$40,3,0)</f>
        <v>524</v>
      </c>
      <c r="C55" s="247">
        <f>VLOOKUP(A55,[10]進出口值表查詢結果!$A$10:$C$40,2,0)</f>
        <v>1117150</v>
      </c>
      <c r="D55" s="243">
        <f t="shared" si="0"/>
        <v>2131.9656488549617</v>
      </c>
      <c r="E55" s="248">
        <f>VLOOKUP(A55,[11]進出口值表查詢結果!$A$10:$C$47,3,0)</f>
        <v>731</v>
      </c>
      <c r="F55" s="244">
        <f>E55/E64</f>
        <v>1.0924470215500493E-2</v>
      </c>
      <c r="G55" s="249">
        <f>VLOOKUP(A55,[11]進出口值表查詢結果!$A$10:$C$47,2,0)</f>
        <v>1648288</v>
      </c>
      <c r="H55" s="244">
        <f>G55/G64</f>
        <v>1.3378785008031671E-2</v>
      </c>
      <c r="I55" s="245">
        <f t="shared" si="1"/>
        <v>2254.8399452804379</v>
      </c>
    </row>
    <row r="56" spans="1:9" s="231" customFormat="1">
      <c r="A56" s="37" t="s">
        <v>23</v>
      </c>
      <c r="B56" s="247">
        <v>0</v>
      </c>
      <c r="C56" s="247">
        <v>0</v>
      </c>
      <c r="D56" s="243">
        <f t="shared" si="0"/>
        <v>0</v>
      </c>
      <c r="E56" s="248">
        <v>0</v>
      </c>
      <c r="F56" s="244">
        <f>E56/E64</f>
        <v>0</v>
      </c>
      <c r="G56" s="247">
        <v>0</v>
      </c>
      <c r="H56" s="244">
        <f>G56/G64</f>
        <v>0</v>
      </c>
      <c r="I56" s="245">
        <f t="shared" si="1"/>
        <v>0</v>
      </c>
    </row>
    <row r="57" spans="1:9" s="231" customFormat="1">
      <c r="A57" s="37" t="s">
        <v>243</v>
      </c>
      <c r="B57" s="247">
        <v>0</v>
      </c>
      <c r="C57" s="247">
        <v>0</v>
      </c>
      <c r="D57" s="243">
        <f t="shared" si="0"/>
        <v>0</v>
      </c>
      <c r="E57" s="248">
        <v>0</v>
      </c>
      <c r="F57" s="244">
        <f>E57/E64</f>
        <v>0</v>
      </c>
      <c r="G57" s="247">
        <v>0</v>
      </c>
      <c r="H57" s="244">
        <f>G57/G64</f>
        <v>0</v>
      </c>
      <c r="I57" s="245">
        <f t="shared" si="1"/>
        <v>0</v>
      </c>
    </row>
    <row r="58" spans="1:9" s="231" customFormat="1">
      <c r="A58" s="37" t="s">
        <v>236</v>
      </c>
      <c r="B58" s="247">
        <f>VLOOKUP(A58,[10]進出口值表查詢結果!$A$10:$C$40,3,0)</f>
        <v>123</v>
      </c>
      <c r="C58" s="247">
        <f>VLOOKUP(A58,[10]進出口值表查詢結果!$A$10:$C$40,2,0)</f>
        <v>281543</v>
      </c>
      <c r="D58" s="243">
        <f t="shared" si="0"/>
        <v>2288.9674796747968</v>
      </c>
      <c r="E58" s="248">
        <f>VLOOKUP(A58,[11]進出口值表查詢結果!$A$10:$C$47,3,0)</f>
        <v>397</v>
      </c>
      <c r="F58" s="244">
        <f>E58/E64</f>
        <v>5.9329886122485576E-3</v>
      </c>
      <c r="G58" s="249">
        <f>VLOOKUP(A58,[11]進出口值表查詢結果!$A$10:$C$47,2,0)</f>
        <v>998927</v>
      </c>
      <c r="H58" s="244">
        <f>G58/G64</f>
        <v>8.1080670196701388E-3</v>
      </c>
      <c r="I58" s="245">
        <f t="shared" si="1"/>
        <v>2516.1889168765742</v>
      </c>
    </row>
    <row r="59" spans="1:9" s="231" customFormat="1">
      <c r="A59" s="37" t="s">
        <v>281</v>
      </c>
      <c r="B59" s="247">
        <v>0</v>
      </c>
      <c r="C59" s="247">
        <v>0</v>
      </c>
      <c r="D59" s="243">
        <f t="shared" si="0"/>
        <v>0</v>
      </c>
      <c r="E59" s="248">
        <v>0</v>
      </c>
      <c r="F59" s="244">
        <f>E59/E64</f>
        <v>0</v>
      </c>
      <c r="G59" s="247">
        <v>0</v>
      </c>
      <c r="H59" s="244">
        <f>G59/G64</f>
        <v>0</v>
      </c>
      <c r="I59" s="245">
        <f t="shared" si="1"/>
        <v>0</v>
      </c>
    </row>
    <row r="60" spans="1:9" s="231" customFormat="1">
      <c r="A60" s="37" t="s">
        <v>286</v>
      </c>
      <c r="B60" s="247">
        <v>0</v>
      </c>
      <c r="C60" s="247">
        <v>0</v>
      </c>
      <c r="D60" s="243">
        <f t="shared" si="0"/>
        <v>0</v>
      </c>
      <c r="E60" s="248">
        <v>0</v>
      </c>
      <c r="F60" s="244">
        <f>E60/E64</f>
        <v>0</v>
      </c>
      <c r="G60" s="247">
        <v>0</v>
      </c>
      <c r="H60" s="244">
        <f>G60/G64</f>
        <v>0</v>
      </c>
      <c r="I60" s="245">
        <f t="shared" si="1"/>
        <v>0</v>
      </c>
    </row>
    <row r="61" spans="1:9" s="231" customFormat="1">
      <c r="A61" s="37" t="s">
        <v>292</v>
      </c>
      <c r="B61" s="247">
        <f>VLOOKUP(A61,[10]進出口值表查詢結果!$A$10:$C$40,3,0)</f>
        <v>296</v>
      </c>
      <c r="C61" s="247">
        <f>VLOOKUP(A61,[10]進出口值表查詢結果!$A$10:$C$40,2,0)</f>
        <v>778132</v>
      </c>
      <c r="D61" s="243">
        <f t="shared" si="0"/>
        <v>2628.8243243243242</v>
      </c>
      <c r="E61" s="248">
        <f>VLOOKUP(A61,[11]進出口值表查詢結果!$A$10:$C$47,3,0)</f>
        <v>555</v>
      </c>
      <c r="F61" s="244">
        <f>E61/E64</f>
        <v>8.2942284125892933E-3</v>
      </c>
      <c r="G61" s="249">
        <f>VLOOKUP(A61,[11]進出口值表查詢結果!$A$10:$C$47,2,0)</f>
        <v>1501043</v>
      </c>
      <c r="H61" s="244">
        <f>G61/G64</f>
        <v>1.2183630278695765E-2</v>
      </c>
      <c r="I61" s="245">
        <f t="shared" si="1"/>
        <v>2704.5819819819822</v>
      </c>
    </row>
    <row r="62" spans="1:9" s="231" customFormat="1">
      <c r="A62" s="37" t="s">
        <v>340</v>
      </c>
      <c r="B62" s="247">
        <f>VLOOKUP(A62,[10]進出口值表查詢結果!$A$10:$C$40,3,0)</f>
        <v>419</v>
      </c>
      <c r="C62" s="247">
        <f>VLOOKUP(A62,[10]進出口值表查詢結果!$A$10:$C$40,2,0)</f>
        <v>1080746</v>
      </c>
      <c r="D62" s="243">
        <f t="shared" si="0"/>
        <v>2579.3460620525061</v>
      </c>
      <c r="E62" s="248">
        <f>VLOOKUP(A62,[11]進出口值表查詢結果!$A$10:$C$47,3,0)</f>
        <v>421</v>
      </c>
      <c r="F62" s="244">
        <f>E62/E64</f>
        <v>6.2916579490091759E-3</v>
      </c>
      <c r="G62" s="249">
        <f>VLOOKUP(A62,[11]進出口值表查詢結果!$A$10:$C$47,2,0)</f>
        <v>1088137</v>
      </c>
      <c r="H62" s="244">
        <f>G62/G64</f>
        <v>8.8321646352364138E-3</v>
      </c>
      <c r="I62" s="245">
        <f t="shared" si="1"/>
        <v>2584.648456057007</v>
      </c>
    </row>
    <row r="63" spans="1:9" s="231" customFormat="1">
      <c r="A63" s="37" t="s">
        <v>29</v>
      </c>
      <c r="B63" s="34">
        <f>B64-B48-B42-B13-B8</f>
        <v>355</v>
      </c>
      <c r="C63" s="34">
        <f>C64-C48-C42-C13-C8</f>
        <v>995887</v>
      </c>
      <c r="D63" s="243">
        <f t="shared" si="0"/>
        <v>2805.3154929577463</v>
      </c>
      <c r="E63" s="34">
        <f>E64-E48-E42-E13-E8</f>
        <v>917</v>
      </c>
      <c r="F63" s="250">
        <f>E63/$E$64</f>
        <v>1.3704157575395283E-2</v>
      </c>
      <c r="G63" s="34">
        <f>G64-G48-G42-G13-G8</f>
        <v>2316774</v>
      </c>
      <c r="H63" s="250">
        <f>G63/$G$64</f>
        <v>1.880473634352587E-2</v>
      </c>
      <c r="I63" s="245">
        <f t="shared" si="1"/>
        <v>2526.4711014176664</v>
      </c>
    </row>
    <row r="64" spans="1:9" s="231" customFormat="1">
      <c r="A64" s="251" t="s">
        <v>405</v>
      </c>
      <c r="B64" s="247">
        <f>VLOOKUP(A64,[10]進出口值表查詢結果!$A$10:$C$40,3,0)</f>
        <v>35076</v>
      </c>
      <c r="C64" s="247">
        <f>VLOOKUP(A64,[10]進出口值表查詢結果!$A$10:$C$40,2,0)</f>
        <v>62026650</v>
      </c>
      <c r="D64" s="526">
        <f t="shared" ref="D64" si="2">C64/B64</f>
        <v>1768.3501539514198</v>
      </c>
      <c r="E64" s="248">
        <f>VLOOKUP(A64,[11]進出口值表查詢結果!$A$10:$C$47,3,0)</f>
        <v>66914</v>
      </c>
      <c r="F64" s="527">
        <f>E64/$E$64</f>
        <v>1</v>
      </c>
      <c r="G64" s="249">
        <f>VLOOKUP(A64,[11]進出口值表查詢結果!$A$10:$C$47,2,0)</f>
        <v>123201621</v>
      </c>
      <c r="H64" s="244">
        <f>G64/$G$64</f>
        <v>1</v>
      </c>
      <c r="I64" s="245">
        <f>G64/E64</f>
        <v>1841.1934871626268</v>
      </c>
    </row>
    <row r="65" spans="1:9" s="231" customFormat="1">
      <c r="A65" s="256"/>
      <c r="B65" s="257"/>
      <c r="C65" s="258"/>
      <c r="D65" s="259"/>
      <c r="E65" s="260"/>
      <c r="F65" s="261"/>
      <c r="G65" s="258"/>
      <c r="H65" s="261"/>
      <c r="I65" s="262"/>
    </row>
    <row r="66" spans="1:9" s="231" customFormat="1" ht="15" customHeight="1">
      <c r="A66" s="263" t="s">
        <v>120</v>
      </c>
      <c r="B66" s="264"/>
      <c r="C66" s="264"/>
      <c r="D66" s="264"/>
    </row>
    <row r="67" spans="1:9" s="231" customFormat="1">
      <c r="A67" s="5"/>
      <c r="B67" s="5"/>
      <c r="C67" s="5"/>
      <c r="D67" s="5"/>
      <c r="E67" s="5"/>
      <c r="F67" s="5"/>
      <c r="G67" s="5"/>
      <c r="H67" s="5"/>
      <c r="I67" s="5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6"/>
  <sheetViews>
    <sheetView zoomScaleNormal="100" workbookViewId="0">
      <selection activeCell="A3" sqref="A3"/>
    </sheetView>
  </sheetViews>
  <sheetFormatPr defaultRowHeight="16.5"/>
  <cols>
    <col min="1" max="1" width="19.5" style="270" customWidth="1"/>
    <col min="2" max="2" width="12.125" style="270" customWidth="1"/>
    <col min="3" max="3" width="12.5" style="271" customWidth="1"/>
    <col min="4" max="4" width="13.75" style="272" customWidth="1"/>
    <col min="5" max="5" width="14.625" style="270" customWidth="1"/>
    <col min="6" max="6" width="15.125" style="271" customWidth="1"/>
    <col min="7" max="7" width="12.25" style="304" customWidth="1"/>
    <col min="8" max="8" width="12.5" style="270" customWidth="1"/>
    <col min="9" max="9" width="12.25" style="270" customWidth="1"/>
    <col min="10" max="10" width="11.625" style="270" customWidth="1"/>
    <col min="11" max="256" width="8.875" style="270"/>
    <col min="257" max="257" width="19.5" style="270" customWidth="1"/>
    <col min="258" max="259" width="12.125" style="270" customWidth="1"/>
    <col min="260" max="260" width="13.75" style="270" customWidth="1"/>
    <col min="261" max="261" width="14.625" style="270" customWidth="1"/>
    <col min="262" max="262" width="15.125" style="270" customWidth="1"/>
    <col min="263" max="263" width="12.25" style="270" customWidth="1"/>
    <col min="264" max="264" width="12.5" style="270" customWidth="1"/>
    <col min="265" max="265" width="12.25" style="270" customWidth="1"/>
    <col min="266" max="266" width="11.625" style="270" customWidth="1"/>
    <col min="267" max="512" width="8.875" style="270"/>
    <col min="513" max="513" width="19.5" style="270" customWidth="1"/>
    <col min="514" max="515" width="12.125" style="270" customWidth="1"/>
    <col min="516" max="516" width="13.75" style="270" customWidth="1"/>
    <col min="517" max="517" width="14.625" style="270" customWidth="1"/>
    <col min="518" max="518" width="15.125" style="270" customWidth="1"/>
    <col min="519" max="519" width="12.25" style="270" customWidth="1"/>
    <col min="520" max="520" width="12.5" style="270" customWidth="1"/>
    <col min="521" max="521" width="12.25" style="270" customWidth="1"/>
    <col min="522" max="522" width="11.625" style="270" customWidth="1"/>
    <col min="523" max="768" width="8.875" style="270"/>
    <col min="769" max="769" width="19.5" style="270" customWidth="1"/>
    <col min="770" max="771" width="12.125" style="270" customWidth="1"/>
    <col min="772" max="772" width="13.75" style="270" customWidth="1"/>
    <col min="773" max="773" width="14.625" style="270" customWidth="1"/>
    <col min="774" max="774" width="15.125" style="270" customWidth="1"/>
    <col min="775" max="775" width="12.25" style="270" customWidth="1"/>
    <col min="776" max="776" width="12.5" style="270" customWidth="1"/>
    <col min="777" max="777" width="12.25" style="270" customWidth="1"/>
    <col min="778" max="778" width="11.625" style="270" customWidth="1"/>
    <col min="779" max="1024" width="8.875" style="270"/>
    <col min="1025" max="1025" width="19.5" style="270" customWidth="1"/>
    <col min="1026" max="1027" width="12.125" style="270" customWidth="1"/>
    <col min="1028" max="1028" width="13.75" style="270" customWidth="1"/>
    <col min="1029" max="1029" width="14.625" style="270" customWidth="1"/>
    <col min="1030" max="1030" width="15.125" style="270" customWidth="1"/>
    <col min="1031" max="1031" width="12.25" style="270" customWidth="1"/>
    <col min="1032" max="1032" width="12.5" style="270" customWidth="1"/>
    <col min="1033" max="1033" width="12.25" style="270" customWidth="1"/>
    <col min="1034" max="1034" width="11.625" style="270" customWidth="1"/>
    <col min="1035" max="1280" width="8.875" style="270"/>
    <col min="1281" max="1281" width="19.5" style="270" customWidth="1"/>
    <col min="1282" max="1283" width="12.125" style="270" customWidth="1"/>
    <col min="1284" max="1284" width="13.75" style="270" customWidth="1"/>
    <col min="1285" max="1285" width="14.625" style="270" customWidth="1"/>
    <col min="1286" max="1286" width="15.125" style="270" customWidth="1"/>
    <col min="1287" max="1287" width="12.25" style="270" customWidth="1"/>
    <col min="1288" max="1288" width="12.5" style="270" customWidth="1"/>
    <col min="1289" max="1289" width="12.25" style="270" customWidth="1"/>
    <col min="1290" max="1290" width="11.625" style="270" customWidth="1"/>
    <col min="1291" max="1536" width="8.875" style="270"/>
    <col min="1537" max="1537" width="19.5" style="270" customWidth="1"/>
    <col min="1538" max="1539" width="12.125" style="270" customWidth="1"/>
    <col min="1540" max="1540" width="13.75" style="270" customWidth="1"/>
    <col min="1541" max="1541" width="14.625" style="270" customWidth="1"/>
    <col min="1542" max="1542" width="15.125" style="270" customWidth="1"/>
    <col min="1543" max="1543" width="12.25" style="270" customWidth="1"/>
    <col min="1544" max="1544" width="12.5" style="270" customWidth="1"/>
    <col min="1545" max="1545" width="12.25" style="270" customWidth="1"/>
    <col min="1546" max="1546" width="11.625" style="270" customWidth="1"/>
    <col min="1547" max="1792" width="8.875" style="270"/>
    <col min="1793" max="1793" width="19.5" style="270" customWidth="1"/>
    <col min="1794" max="1795" width="12.125" style="270" customWidth="1"/>
    <col min="1796" max="1796" width="13.75" style="270" customWidth="1"/>
    <col min="1797" max="1797" width="14.625" style="270" customWidth="1"/>
    <col min="1798" max="1798" width="15.125" style="270" customWidth="1"/>
    <col min="1799" max="1799" width="12.25" style="270" customWidth="1"/>
    <col min="1800" max="1800" width="12.5" style="270" customWidth="1"/>
    <col min="1801" max="1801" width="12.25" style="270" customWidth="1"/>
    <col min="1802" max="1802" width="11.625" style="270" customWidth="1"/>
    <col min="1803" max="2048" width="8.875" style="270"/>
    <col min="2049" max="2049" width="19.5" style="270" customWidth="1"/>
    <col min="2050" max="2051" width="12.125" style="270" customWidth="1"/>
    <col min="2052" max="2052" width="13.75" style="270" customWidth="1"/>
    <col min="2053" max="2053" width="14.625" style="270" customWidth="1"/>
    <col min="2054" max="2054" width="15.125" style="270" customWidth="1"/>
    <col min="2055" max="2055" width="12.25" style="270" customWidth="1"/>
    <col min="2056" max="2056" width="12.5" style="270" customWidth="1"/>
    <col min="2057" max="2057" width="12.25" style="270" customWidth="1"/>
    <col min="2058" max="2058" width="11.625" style="270" customWidth="1"/>
    <col min="2059" max="2304" width="8.875" style="270"/>
    <col min="2305" max="2305" width="19.5" style="270" customWidth="1"/>
    <col min="2306" max="2307" width="12.125" style="270" customWidth="1"/>
    <col min="2308" max="2308" width="13.75" style="270" customWidth="1"/>
    <col min="2309" max="2309" width="14.625" style="270" customWidth="1"/>
    <col min="2310" max="2310" width="15.125" style="270" customWidth="1"/>
    <col min="2311" max="2311" width="12.25" style="270" customWidth="1"/>
    <col min="2312" max="2312" width="12.5" style="270" customWidth="1"/>
    <col min="2313" max="2313" width="12.25" style="270" customWidth="1"/>
    <col min="2314" max="2314" width="11.625" style="270" customWidth="1"/>
    <col min="2315" max="2560" width="8.875" style="270"/>
    <col min="2561" max="2561" width="19.5" style="270" customWidth="1"/>
    <col min="2562" max="2563" width="12.125" style="270" customWidth="1"/>
    <col min="2564" max="2564" width="13.75" style="270" customWidth="1"/>
    <col min="2565" max="2565" width="14.625" style="270" customWidth="1"/>
    <col min="2566" max="2566" width="15.125" style="270" customWidth="1"/>
    <col min="2567" max="2567" width="12.25" style="270" customWidth="1"/>
    <col min="2568" max="2568" width="12.5" style="270" customWidth="1"/>
    <col min="2569" max="2569" width="12.25" style="270" customWidth="1"/>
    <col min="2570" max="2570" width="11.625" style="270" customWidth="1"/>
    <col min="2571" max="2816" width="8.875" style="270"/>
    <col min="2817" max="2817" width="19.5" style="270" customWidth="1"/>
    <col min="2818" max="2819" width="12.125" style="270" customWidth="1"/>
    <col min="2820" max="2820" width="13.75" style="270" customWidth="1"/>
    <col min="2821" max="2821" width="14.625" style="270" customWidth="1"/>
    <col min="2822" max="2822" width="15.125" style="270" customWidth="1"/>
    <col min="2823" max="2823" width="12.25" style="270" customWidth="1"/>
    <col min="2824" max="2824" width="12.5" style="270" customWidth="1"/>
    <col min="2825" max="2825" width="12.25" style="270" customWidth="1"/>
    <col min="2826" max="2826" width="11.625" style="270" customWidth="1"/>
    <col min="2827" max="3072" width="8.875" style="270"/>
    <col min="3073" max="3073" width="19.5" style="270" customWidth="1"/>
    <col min="3074" max="3075" width="12.125" style="270" customWidth="1"/>
    <col min="3076" max="3076" width="13.75" style="270" customWidth="1"/>
    <col min="3077" max="3077" width="14.625" style="270" customWidth="1"/>
    <col min="3078" max="3078" width="15.125" style="270" customWidth="1"/>
    <col min="3079" max="3079" width="12.25" style="270" customWidth="1"/>
    <col min="3080" max="3080" width="12.5" style="270" customWidth="1"/>
    <col min="3081" max="3081" width="12.25" style="270" customWidth="1"/>
    <col min="3082" max="3082" width="11.625" style="270" customWidth="1"/>
    <col min="3083" max="3328" width="8.875" style="270"/>
    <col min="3329" max="3329" width="19.5" style="270" customWidth="1"/>
    <col min="3330" max="3331" width="12.125" style="270" customWidth="1"/>
    <col min="3332" max="3332" width="13.75" style="270" customWidth="1"/>
    <col min="3333" max="3333" width="14.625" style="270" customWidth="1"/>
    <col min="3334" max="3334" width="15.125" style="270" customWidth="1"/>
    <col min="3335" max="3335" width="12.25" style="270" customWidth="1"/>
    <col min="3336" max="3336" width="12.5" style="270" customWidth="1"/>
    <col min="3337" max="3337" width="12.25" style="270" customWidth="1"/>
    <col min="3338" max="3338" width="11.625" style="270" customWidth="1"/>
    <col min="3339" max="3584" width="8.875" style="270"/>
    <col min="3585" max="3585" width="19.5" style="270" customWidth="1"/>
    <col min="3586" max="3587" width="12.125" style="270" customWidth="1"/>
    <col min="3588" max="3588" width="13.75" style="270" customWidth="1"/>
    <col min="3589" max="3589" width="14.625" style="270" customWidth="1"/>
    <col min="3590" max="3590" width="15.125" style="270" customWidth="1"/>
    <col min="3591" max="3591" width="12.25" style="270" customWidth="1"/>
    <col min="3592" max="3592" width="12.5" style="270" customWidth="1"/>
    <col min="3593" max="3593" width="12.25" style="270" customWidth="1"/>
    <col min="3594" max="3594" width="11.625" style="270" customWidth="1"/>
    <col min="3595" max="3840" width="8.875" style="270"/>
    <col min="3841" max="3841" width="19.5" style="270" customWidth="1"/>
    <col min="3842" max="3843" width="12.125" style="270" customWidth="1"/>
    <col min="3844" max="3844" width="13.75" style="270" customWidth="1"/>
    <col min="3845" max="3845" width="14.625" style="270" customWidth="1"/>
    <col min="3846" max="3846" width="15.125" style="270" customWidth="1"/>
    <col min="3847" max="3847" width="12.25" style="270" customWidth="1"/>
    <col min="3848" max="3848" width="12.5" style="270" customWidth="1"/>
    <col min="3849" max="3849" width="12.25" style="270" customWidth="1"/>
    <col min="3850" max="3850" width="11.625" style="270" customWidth="1"/>
    <col min="3851" max="4096" width="8.875" style="270"/>
    <col min="4097" max="4097" width="19.5" style="270" customWidth="1"/>
    <col min="4098" max="4099" width="12.125" style="270" customWidth="1"/>
    <col min="4100" max="4100" width="13.75" style="270" customWidth="1"/>
    <col min="4101" max="4101" width="14.625" style="270" customWidth="1"/>
    <col min="4102" max="4102" width="15.125" style="270" customWidth="1"/>
    <col min="4103" max="4103" width="12.25" style="270" customWidth="1"/>
    <col min="4104" max="4104" width="12.5" style="270" customWidth="1"/>
    <col min="4105" max="4105" width="12.25" style="270" customWidth="1"/>
    <col min="4106" max="4106" width="11.625" style="270" customWidth="1"/>
    <col min="4107" max="4352" width="8.875" style="270"/>
    <col min="4353" max="4353" width="19.5" style="270" customWidth="1"/>
    <col min="4354" max="4355" width="12.125" style="270" customWidth="1"/>
    <col min="4356" max="4356" width="13.75" style="270" customWidth="1"/>
    <col min="4357" max="4357" width="14.625" style="270" customWidth="1"/>
    <col min="4358" max="4358" width="15.125" style="270" customWidth="1"/>
    <col min="4359" max="4359" width="12.25" style="270" customWidth="1"/>
    <col min="4360" max="4360" width="12.5" style="270" customWidth="1"/>
    <col min="4361" max="4361" width="12.25" style="270" customWidth="1"/>
    <col min="4362" max="4362" width="11.625" style="270" customWidth="1"/>
    <col min="4363" max="4608" width="8.875" style="270"/>
    <col min="4609" max="4609" width="19.5" style="270" customWidth="1"/>
    <col min="4610" max="4611" width="12.125" style="270" customWidth="1"/>
    <col min="4612" max="4612" width="13.75" style="270" customWidth="1"/>
    <col min="4613" max="4613" width="14.625" style="270" customWidth="1"/>
    <col min="4614" max="4614" width="15.125" style="270" customWidth="1"/>
    <col min="4615" max="4615" width="12.25" style="270" customWidth="1"/>
    <col min="4616" max="4616" width="12.5" style="270" customWidth="1"/>
    <col min="4617" max="4617" width="12.25" style="270" customWidth="1"/>
    <col min="4618" max="4618" width="11.625" style="270" customWidth="1"/>
    <col min="4619" max="4864" width="8.875" style="270"/>
    <col min="4865" max="4865" width="19.5" style="270" customWidth="1"/>
    <col min="4866" max="4867" width="12.125" style="270" customWidth="1"/>
    <col min="4868" max="4868" width="13.75" style="270" customWidth="1"/>
    <col min="4869" max="4869" width="14.625" style="270" customWidth="1"/>
    <col min="4870" max="4870" width="15.125" style="270" customWidth="1"/>
    <col min="4871" max="4871" width="12.25" style="270" customWidth="1"/>
    <col min="4872" max="4872" width="12.5" style="270" customWidth="1"/>
    <col min="4873" max="4873" width="12.25" style="270" customWidth="1"/>
    <col min="4874" max="4874" width="11.625" style="270" customWidth="1"/>
    <col min="4875" max="5120" width="8.875" style="270"/>
    <col min="5121" max="5121" width="19.5" style="270" customWidth="1"/>
    <col min="5122" max="5123" width="12.125" style="270" customWidth="1"/>
    <col min="5124" max="5124" width="13.75" style="270" customWidth="1"/>
    <col min="5125" max="5125" width="14.625" style="270" customWidth="1"/>
    <col min="5126" max="5126" width="15.125" style="270" customWidth="1"/>
    <col min="5127" max="5127" width="12.25" style="270" customWidth="1"/>
    <col min="5128" max="5128" width="12.5" style="270" customWidth="1"/>
    <col min="5129" max="5129" width="12.25" style="270" customWidth="1"/>
    <col min="5130" max="5130" width="11.625" style="270" customWidth="1"/>
    <col min="5131" max="5376" width="8.875" style="270"/>
    <col min="5377" max="5377" width="19.5" style="270" customWidth="1"/>
    <col min="5378" max="5379" width="12.125" style="270" customWidth="1"/>
    <col min="5380" max="5380" width="13.75" style="270" customWidth="1"/>
    <col min="5381" max="5381" width="14.625" style="270" customWidth="1"/>
    <col min="5382" max="5382" width="15.125" style="270" customWidth="1"/>
    <col min="5383" max="5383" width="12.25" style="270" customWidth="1"/>
    <col min="5384" max="5384" width="12.5" style="270" customWidth="1"/>
    <col min="5385" max="5385" width="12.25" style="270" customWidth="1"/>
    <col min="5386" max="5386" width="11.625" style="270" customWidth="1"/>
    <col min="5387" max="5632" width="8.875" style="270"/>
    <col min="5633" max="5633" width="19.5" style="270" customWidth="1"/>
    <col min="5634" max="5635" width="12.125" style="270" customWidth="1"/>
    <col min="5636" max="5636" width="13.75" style="270" customWidth="1"/>
    <col min="5637" max="5637" width="14.625" style="270" customWidth="1"/>
    <col min="5638" max="5638" width="15.125" style="270" customWidth="1"/>
    <col min="5639" max="5639" width="12.25" style="270" customWidth="1"/>
    <col min="5640" max="5640" width="12.5" style="270" customWidth="1"/>
    <col min="5641" max="5641" width="12.25" style="270" customWidth="1"/>
    <col min="5642" max="5642" width="11.625" style="270" customWidth="1"/>
    <col min="5643" max="5888" width="8.875" style="270"/>
    <col min="5889" max="5889" width="19.5" style="270" customWidth="1"/>
    <col min="5890" max="5891" width="12.125" style="270" customWidth="1"/>
    <col min="5892" max="5892" width="13.75" style="270" customWidth="1"/>
    <col min="5893" max="5893" width="14.625" style="270" customWidth="1"/>
    <col min="5894" max="5894" width="15.125" style="270" customWidth="1"/>
    <col min="5895" max="5895" width="12.25" style="270" customWidth="1"/>
    <col min="5896" max="5896" width="12.5" style="270" customWidth="1"/>
    <col min="5897" max="5897" width="12.25" style="270" customWidth="1"/>
    <col min="5898" max="5898" width="11.625" style="270" customWidth="1"/>
    <col min="5899" max="6144" width="8.875" style="270"/>
    <col min="6145" max="6145" width="19.5" style="270" customWidth="1"/>
    <col min="6146" max="6147" width="12.125" style="270" customWidth="1"/>
    <col min="6148" max="6148" width="13.75" style="270" customWidth="1"/>
    <col min="6149" max="6149" width="14.625" style="270" customWidth="1"/>
    <col min="6150" max="6150" width="15.125" style="270" customWidth="1"/>
    <col min="6151" max="6151" width="12.25" style="270" customWidth="1"/>
    <col min="6152" max="6152" width="12.5" style="270" customWidth="1"/>
    <col min="6153" max="6153" width="12.25" style="270" customWidth="1"/>
    <col min="6154" max="6154" width="11.625" style="270" customWidth="1"/>
    <col min="6155" max="6400" width="8.875" style="270"/>
    <col min="6401" max="6401" width="19.5" style="270" customWidth="1"/>
    <col min="6402" max="6403" width="12.125" style="270" customWidth="1"/>
    <col min="6404" max="6404" width="13.75" style="270" customWidth="1"/>
    <col min="6405" max="6405" width="14.625" style="270" customWidth="1"/>
    <col min="6406" max="6406" width="15.125" style="270" customWidth="1"/>
    <col min="6407" max="6407" width="12.25" style="270" customWidth="1"/>
    <col min="6408" max="6408" width="12.5" style="270" customWidth="1"/>
    <col min="6409" max="6409" width="12.25" style="270" customWidth="1"/>
    <col min="6410" max="6410" width="11.625" style="270" customWidth="1"/>
    <col min="6411" max="6656" width="8.875" style="270"/>
    <col min="6657" max="6657" width="19.5" style="270" customWidth="1"/>
    <col min="6658" max="6659" width="12.125" style="270" customWidth="1"/>
    <col min="6660" max="6660" width="13.75" style="270" customWidth="1"/>
    <col min="6661" max="6661" width="14.625" style="270" customWidth="1"/>
    <col min="6662" max="6662" width="15.125" style="270" customWidth="1"/>
    <col min="6663" max="6663" width="12.25" style="270" customWidth="1"/>
    <col min="6664" max="6664" width="12.5" style="270" customWidth="1"/>
    <col min="6665" max="6665" width="12.25" style="270" customWidth="1"/>
    <col min="6666" max="6666" width="11.625" style="270" customWidth="1"/>
    <col min="6667" max="6912" width="8.875" style="270"/>
    <col min="6913" max="6913" width="19.5" style="270" customWidth="1"/>
    <col min="6914" max="6915" width="12.125" style="270" customWidth="1"/>
    <col min="6916" max="6916" width="13.75" style="270" customWidth="1"/>
    <col min="6917" max="6917" width="14.625" style="270" customWidth="1"/>
    <col min="6918" max="6918" width="15.125" style="270" customWidth="1"/>
    <col min="6919" max="6919" width="12.25" style="270" customWidth="1"/>
    <col min="6920" max="6920" width="12.5" style="270" customWidth="1"/>
    <col min="6921" max="6921" width="12.25" style="270" customWidth="1"/>
    <col min="6922" max="6922" width="11.625" style="270" customWidth="1"/>
    <col min="6923" max="7168" width="8.875" style="270"/>
    <col min="7169" max="7169" width="19.5" style="270" customWidth="1"/>
    <col min="7170" max="7171" width="12.125" style="270" customWidth="1"/>
    <col min="7172" max="7172" width="13.75" style="270" customWidth="1"/>
    <col min="7173" max="7173" width="14.625" style="270" customWidth="1"/>
    <col min="7174" max="7174" width="15.125" style="270" customWidth="1"/>
    <col min="7175" max="7175" width="12.25" style="270" customWidth="1"/>
    <col min="7176" max="7176" width="12.5" style="270" customWidth="1"/>
    <col min="7177" max="7177" width="12.25" style="270" customWidth="1"/>
    <col min="7178" max="7178" width="11.625" style="270" customWidth="1"/>
    <col min="7179" max="7424" width="8.875" style="270"/>
    <col min="7425" max="7425" width="19.5" style="270" customWidth="1"/>
    <col min="7426" max="7427" width="12.125" style="270" customWidth="1"/>
    <col min="7428" max="7428" width="13.75" style="270" customWidth="1"/>
    <col min="7429" max="7429" width="14.625" style="270" customWidth="1"/>
    <col min="7430" max="7430" width="15.125" style="270" customWidth="1"/>
    <col min="7431" max="7431" width="12.25" style="270" customWidth="1"/>
    <col min="7432" max="7432" width="12.5" style="270" customWidth="1"/>
    <col min="7433" max="7433" width="12.25" style="270" customWidth="1"/>
    <col min="7434" max="7434" width="11.625" style="270" customWidth="1"/>
    <col min="7435" max="7680" width="8.875" style="270"/>
    <col min="7681" max="7681" width="19.5" style="270" customWidth="1"/>
    <col min="7682" max="7683" width="12.125" style="270" customWidth="1"/>
    <col min="7684" max="7684" width="13.75" style="270" customWidth="1"/>
    <col min="7685" max="7685" width="14.625" style="270" customWidth="1"/>
    <col min="7686" max="7686" width="15.125" style="270" customWidth="1"/>
    <col min="7687" max="7687" width="12.25" style="270" customWidth="1"/>
    <col min="7688" max="7688" width="12.5" style="270" customWidth="1"/>
    <col min="7689" max="7689" width="12.25" style="270" customWidth="1"/>
    <col min="7690" max="7690" width="11.625" style="270" customWidth="1"/>
    <col min="7691" max="7936" width="8.875" style="270"/>
    <col min="7937" max="7937" width="19.5" style="270" customWidth="1"/>
    <col min="7938" max="7939" width="12.125" style="270" customWidth="1"/>
    <col min="7940" max="7940" width="13.75" style="270" customWidth="1"/>
    <col min="7941" max="7941" width="14.625" style="270" customWidth="1"/>
    <col min="7942" max="7942" width="15.125" style="270" customWidth="1"/>
    <col min="7943" max="7943" width="12.25" style="270" customWidth="1"/>
    <col min="7944" max="7944" width="12.5" style="270" customWidth="1"/>
    <col min="7945" max="7945" width="12.25" style="270" customWidth="1"/>
    <col min="7946" max="7946" width="11.625" style="270" customWidth="1"/>
    <col min="7947" max="8192" width="8.875" style="270"/>
    <col min="8193" max="8193" width="19.5" style="270" customWidth="1"/>
    <col min="8194" max="8195" width="12.125" style="270" customWidth="1"/>
    <col min="8196" max="8196" width="13.75" style="270" customWidth="1"/>
    <col min="8197" max="8197" width="14.625" style="270" customWidth="1"/>
    <col min="8198" max="8198" width="15.125" style="270" customWidth="1"/>
    <col min="8199" max="8199" width="12.25" style="270" customWidth="1"/>
    <col min="8200" max="8200" width="12.5" style="270" customWidth="1"/>
    <col min="8201" max="8201" width="12.25" style="270" customWidth="1"/>
    <col min="8202" max="8202" width="11.625" style="270" customWidth="1"/>
    <col min="8203" max="8448" width="8.875" style="270"/>
    <col min="8449" max="8449" width="19.5" style="270" customWidth="1"/>
    <col min="8450" max="8451" width="12.125" style="270" customWidth="1"/>
    <col min="8452" max="8452" width="13.75" style="270" customWidth="1"/>
    <col min="8453" max="8453" width="14.625" style="270" customWidth="1"/>
    <col min="8454" max="8454" width="15.125" style="270" customWidth="1"/>
    <col min="8455" max="8455" width="12.25" style="270" customWidth="1"/>
    <col min="8456" max="8456" width="12.5" style="270" customWidth="1"/>
    <col min="8457" max="8457" width="12.25" style="270" customWidth="1"/>
    <col min="8458" max="8458" width="11.625" style="270" customWidth="1"/>
    <col min="8459" max="8704" width="8.875" style="270"/>
    <col min="8705" max="8705" width="19.5" style="270" customWidth="1"/>
    <col min="8706" max="8707" width="12.125" style="270" customWidth="1"/>
    <col min="8708" max="8708" width="13.75" style="270" customWidth="1"/>
    <col min="8709" max="8709" width="14.625" style="270" customWidth="1"/>
    <col min="8710" max="8710" width="15.125" style="270" customWidth="1"/>
    <col min="8711" max="8711" width="12.25" style="270" customWidth="1"/>
    <col min="8712" max="8712" width="12.5" style="270" customWidth="1"/>
    <col min="8713" max="8713" width="12.25" style="270" customWidth="1"/>
    <col min="8714" max="8714" width="11.625" style="270" customWidth="1"/>
    <col min="8715" max="8960" width="8.875" style="270"/>
    <col min="8961" max="8961" width="19.5" style="270" customWidth="1"/>
    <col min="8962" max="8963" width="12.125" style="270" customWidth="1"/>
    <col min="8964" max="8964" width="13.75" style="270" customWidth="1"/>
    <col min="8965" max="8965" width="14.625" style="270" customWidth="1"/>
    <col min="8966" max="8966" width="15.125" style="270" customWidth="1"/>
    <col min="8967" max="8967" width="12.25" style="270" customWidth="1"/>
    <col min="8968" max="8968" width="12.5" style="270" customWidth="1"/>
    <col min="8969" max="8969" width="12.25" style="270" customWidth="1"/>
    <col min="8970" max="8970" width="11.625" style="270" customWidth="1"/>
    <col min="8971" max="9216" width="8.875" style="270"/>
    <col min="9217" max="9217" width="19.5" style="270" customWidth="1"/>
    <col min="9218" max="9219" width="12.125" style="270" customWidth="1"/>
    <col min="9220" max="9220" width="13.75" style="270" customWidth="1"/>
    <col min="9221" max="9221" width="14.625" style="270" customWidth="1"/>
    <col min="9222" max="9222" width="15.125" style="270" customWidth="1"/>
    <col min="9223" max="9223" width="12.25" style="270" customWidth="1"/>
    <col min="9224" max="9224" width="12.5" style="270" customWidth="1"/>
    <col min="9225" max="9225" width="12.25" style="270" customWidth="1"/>
    <col min="9226" max="9226" width="11.625" style="270" customWidth="1"/>
    <col min="9227" max="9472" width="8.875" style="270"/>
    <col min="9473" max="9473" width="19.5" style="270" customWidth="1"/>
    <col min="9474" max="9475" width="12.125" style="270" customWidth="1"/>
    <col min="9476" max="9476" width="13.75" style="270" customWidth="1"/>
    <col min="9477" max="9477" width="14.625" style="270" customWidth="1"/>
    <col min="9478" max="9478" width="15.125" style="270" customWidth="1"/>
    <col min="9479" max="9479" width="12.25" style="270" customWidth="1"/>
    <col min="9480" max="9480" width="12.5" style="270" customWidth="1"/>
    <col min="9481" max="9481" width="12.25" style="270" customWidth="1"/>
    <col min="9482" max="9482" width="11.625" style="270" customWidth="1"/>
    <col min="9483" max="9728" width="8.875" style="270"/>
    <col min="9729" max="9729" width="19.5" style="270" customWidth="1"/>
    <col min="9730" max="9731" width="12.125" style="270" customWidth="1"/>
    <col min="9732" max="9732" width="13.75" style="270" customWidth="1"/>
    <col min="9733" max="9733" width="14.625" style="270" customWidth="1"/>
    <col min="9734" max="9734" width="15.125" style="270" customWidth="1"/>
    <col min="9735" max="9735" width="12.25" style="270" customWidth="1"/>
    <col min="9736" max="9736" width="12.5" style="270" customWidth="1"/>
    <col min="9737" max="9737" width="12.25" style="270" customWidth="1"/>
    <col min="9738" max="9738" width="11.625" style="270" customWidth="1"/>
    <col min="9739" max="9984" width="8.875" style="270"/>
    <col min="9985" max="9985" width="19.5" style="270" customWidth="1"/>
    <col min="9986" max="9987" width="12.125" style="270" customWidth="1"/>
    <col min="9988" max="9988" width="13.75" style="270" customWidth="1"/>
    <col min="9989" max="9989" width="14.625" style="270" customWidth="1"/>
    <col min="9990" max="9990" width="15.125" style="270" customWidth="1"/>
    <col min="9991" max="9991" width="12.25" style="270" customWidth="1"/>
    <col min="9992" max="9992" width="12.5" style="270" customWidth="1"/>
    <col min="9993" max="9993" width="12.25" style="270" customWidth="1"/>
    <col min="9994" max="9994" width="11.625" style="270" customWidth="1"/>
    <col min="9995" max="10240" width="8.875" style="270"/>
    <col min="10241" max="10241" width="19.5" style="270" customWidth="1"/>
    <col min="10242" max="10243" width="12.125" style="270" customWidth="1"/>
    <col min="10244" max="10244" width="13.75" style="270" customWidth="1"/>
    <col min="10245" max="10245" width="14.625" style="270" customWidth="1"/>
    <col min="10246" max="10246" width="15.125" style="270" customWidth="1"/>
    <col min="10247" max="10247" width="12.25" style="270" customWidth="1"/>
    <col min="10248" max="10248" width="12.5" style="270" customWidth="1"/>
    <col min="10249" max="10249" width="12.25" style="270" customWidth="1"/>
    <col min="10250" max="10250" width="11.625" style="270" customWidth="1"/>
    <col min="10251" max="10496" width="8.875" style="270"/>
    <col min="10497" max="10497" width="19.5" style="270" customWidth="1"/>
    <col min="10498" max="10499" width="12.125" style="270" customWidth="1"/>
    <col min="10500" max="10500" width="13.75" style="270" customWidth="1"/>
    <col min="10501" max="10501" width="14.625" style="270" customWidth="1"/>
    <col min="10502" max="10502" width="15.125" style="270" customWidth="1"/>
    <col min="10503" max="10503" width="12.25" style="270" customWidth="1"/>
    <col min="10504" max="10504" width="12.5" style="270" customWidth="1"/>
    <col min="10505" max="10505" width="12.25" style="270" customWidth="1"/>
    <col min="10506" max="10506" width="11.625" style="270" customWidth="1"/>
    <col min="10507" max="10752" width="8.875" style="270"/>
    <col min="10753" max="10753" width="19.5" style="270" customWidth="1"/>
    <col min="10754" max="10755" width="12.125" style="270" customWidth="1"/>
    <col min="10756" max="10756" width="13.75" style="270" customWidth="1"/>
    <col min="10757" max="10757" width="14.625" style="270" customWidth="1"/>
    <col min="10758" max="10758" width="15.125" style="270" customWidth="1"/>
    <col min="10759" max="10759" width="12.25" style="270" customWidth="1"/>
    <col min="10760" max="10760" width="12.5" style="270" customWidth="1"/>
    <col min="10761" max="10761" width="12.25" style="270" customWidth="1"/>
    <col min="10762" max="10762" width="11.625" style="270" customWidth="1"/>
    <col min="10763" max="11008" width="8.875" style="270"/>
    <col min="11009" max="11009" width="19.5" style="270" customWidth="1"/>
    <col min="11010" max="11011" width="12.125" style="270" customWidth="1"/>
    <col min="11012" max="11012" width="13.75" style="270" customWidth="1"/>
    <col min="11013" max="11013" width="14.625" style="270" customWidth="1"/>
    <col min="11014" max="11014" width="15.125" style="270" customWidth="1"/>
    <col min="11015" max="11015" width="12.25" style="270" customWidth="1"/>
    <col min="11016" max="11016" width="12.5" style="270" customWidth="1"/>
    <col min="11017" max="11017" width="12.25" style="270" customWidth="1"/>
    <col min="11018" max="11018" width="11.625" style="270" customWidth="1"/>
    <col min="11019" max="11264" width="8.875" style="270"/>
    <col min="11265" max="11265" width="19.5" style="270" customWidth="1"/>
    <col min="11266" max="11267" width="12.125" style="270" customWidth="1"/>
    <col min="11268" max="11268" width="13.75" style="270" customWidth="1"/>
    <col min="11269" max="11269" width="14.625" style="270" customWidth="1"/>
    <col min="11270" max="11270" width="15.125" style="270" customWidth="1"/>
    <col min="11271" max="11271" width="12.25" style="270" customWidth="1"/>
    <col min="11272" max="11272" width="12.5" style="270" customWidth="1"/>
    <col min="11273" max="11273" width="12.25" style="270" customWidth="1"/>
    <col min="11274" max="11274" width="11.625" style="270" customWidth="1"/>
    <col min="11275" max="11520" width="8.875" style="270"/>
    <col min="11521" max="11521" width="19.5" style="270" customWidth="1"/>
    <col min="11522" max="11523" width="12.125" style="270" customWidth="1"/>
    <col min="11524" max="11524" width="13.75" style="270" customWidth="1"/>
    <col min="11525" max="11525" width="14.625" style="270" customWidth="1"/>
    <col min="11526" max="11526" width="15.125" style="270" customWidth="1"/>
    <col min="11527" max="11527" width="12.25" style="270" customWidth="1"/>
    <col min="11528" max="11528" width="12.5" style="270" customWidth="1"/>
    <col min="11529" max="11529" width="12.25" style="270" customWidth="1"/>
    <col min="11530" max="11530" width="11.625" style="270" customWidth="1"/>
    <col min="11531" max="11776" width="8.875" style="270"/>
    <col min="11777" max="11777" width="19.5" style="270" customWidth="1"/>
    <col min="11778" max="11779" width="12.125" style="270" customWidth="1"/>
    <col min="11780" max="11780" width="13.75" style="270" customWidth="1"/>
    <col min="11781" max="11781" width="14.625" style="270" customWidth="1"/>
    <col min="11782" max="11782" width="15.125" style="270" customWidth="1"/>
    <col min="11783" max="11783" width="12.25" style="270" customWidth="1"/>
    <col min="11784" max="11784" width="12.5" style="270" customWidth="1"/>
    <col min="11785" max="11785" width="12.25" style="270" customWidth="1"/>
    <col min="11786" max="11786" width="11.625" style="270" customWidth="1"/>
    <col min="11787" max="12032" width="8.875" style="270"/>
    <col min="12033" max="12033" width="19.5" style="270" customWidth="1"/>
    <col min="12034" max="12035" width="12.125" style="270" customWidth="1"/>
    <col min="12036" max="12036" width="13.75" style="270" customWidth="1"/>
    <col min="12037" max="12037" width="14.625" style="270" customWidth="1"/>
    <col min="12038" max="12038" width="15.125" style="270" customWidth="1"/>
    <col min="12039" max="12039" width="12.25" style="270" customWidth="1"/>
    <col min="12040" max="12040" width="12.5" style="270" customWidth="1"/>
    <col min="12041" max="12041" width="12.25" style="270" customWidth="1"/>
    <col min="12042" max="12042" width="11.625" style="270" customWidth="1"/>
    <col min="12043" max="12288" width="8.875" style="270"/>
    <col min="12289" max="12289" width="19.5" style="270" customWidth="1"/>
    <col min="12290" max="12291" width="12.125" style="270" customWidth="1"/>
    <col min="12292" max="12292" width="13.75" style="270" customWidth="1"/>
    <col min="12293" max="12293" width="14.625" style="270" customWidth="1"/>
    <col min="12294" max="12294" width="15.125" style="270" customWidth="1"/>
    <col min="12295" max="12295" width="12.25" style="270" customWidth="1"/>
    <col min="12296" max="12296" width="12.5" style="270" customWidth="1"/>
    <col min="12297" max="12297" width="12.25" style="270" customWidth="1"/>
    <col min="12298" max="12298" width="11.625" style="270" customWidth="1"/>
    <col min="12299" max="12544" width="8.875" style="270"/>
    <col min="12545" max="12545" width="19.5" style="270" customWidth="1"/>
    <col min="12546" max="12547" width="12.125" style="270" customWidth="1"/>
    <col min="12548" max="12548" width="13.75" style="270" customWidth="1"/>
    <col min="12549" max="12549" width="14.625" style="270" customWidth="1"/>
    <col min="12550" max="12550" width="15.125" style="270" customWidth="1"/>
    <col min="12551" max="12551" width="12.25" style="270" customWidth="1"/>
    <col min="12552" max="12552" width="12.5" style="270" customWidth="1"/>
    <col min="12553" max="12553" width="12.25" style="270" customWidth="1"/>
    <col min="12554" max="12554" width="11.625" style="270" customWidth="1"/>
    <col min="12555" max="12800" width="8.875" style="270"/>
    <col min="12801" max="12801" width="19.5" style="270" customWidth="1"/>
    <col min="12802" max="12803" width="12.125" style="270" customWidth="1"/>
    <col min="12804" max="12804" width="13.75" style="270" customWidth="1"/>
    <col min="12805" max="12805" width="14.625" style="270" customWidth="1"/>
    <col min="12806" max="12806" width="15.125" style="270" customWidth="1"/>
    <col min="12807" max="12807" width="12.25" style="270" customWidth="1"/>
    <col min="12808" max="12808" width="12.5" style="270" customWidth="1"/>
    <col min="12809" max="12809" width="12.25" style="270" customWidth="1"/>
    <col min="12810" max="12810" width="11.625" style="270" customWidth="1"/>
    <col min="12811" max="13056" width="8.875" style="270"/>
    <col min="13057" max="13057" width="19.5" style="270" customWidth="1"/>
    <col min="13058" max="13059" width="12.125" style="270" customWidth="1"/>
    <col min="13060" max="13060" width="13.75" style="270" customWidth="1"/>
    <col min="13061" max="13061" width="14.625" style="270" customWidth="1"/>
    <col min="13062" max="13062" width="15.125" style="270" customWidth="1"/>
    <col min="13063" max="13063" width="12.25" style="270" customWidth="1"/>
    <col min="13064" max="13064" width="12.5" style="270" customWidth="1"/>
    <col min="13065" max="13065" width="12.25" style="270" customWidth="1"/>
    <col min="13066" max="13066" width="11.625" style="270" customWidth="1"/>
    <col min="13067" max="13312" width="8.875" style="270"/>
    <col min="13313" max="13313" width="19.5" style="270" customWidth="1"/>
    <col min="13314" max="13315" width="12.125" style="270" customWidth="1"/>
    <col min="13316" max="13316" width="13.75" style="270" customWidth="1"/>
    <col min="13317" max="13317" width="14.625" style="270" customWidth="1"/>
    <col min="13318" max="13318" width="15.125" style="270" customWidth="1"/>
    <col min="13319" max="13319" width="12.25" style="270" customWidth="1"/>
    <col min="13320" max="13320" width="12.5" style="270" customWidth="1"/>
    <col min="13321" max="13321" width="12.25" style="270" customWidth="1"/>
    <col min="13322" max="13322" width="11.625" style="270" customWidth="1"/>
    <col min="13323" max="13568" width="8.875" style="270"/>
    <col min="13569" max="13569" width="19.5" style="270" customWidth="1"/>
    <col min="13570" max="13571" width="12.125" style="270" customWidth="1"/>
    <col min="13572" max="13572" width="13.75" style="270" customWidth="1"/>
    <col min="13573" max="13573" width="14.625" style="270" customWidth="1"/>
    <col min="13574" max="13574" width="15.125" style="270" customWidth="1"/>
    <col min="13575" max="13575" width="12.25" style="270" customWidth="1"/>
    <col min="13576" max="13576" width="12.5" style="270" customWidth="1"/>
    <col min="13577" max="13577" width="12.25" style="270" customWidth="1"/>
    <col min="13578" max="13578" width="11.625" style="270" customWidth="1"/>
    <col min="13579" max="13824" width="8.875" style="270"/>
    <col min="13825" max="13825" width="19.5" style="270" customWidth="1"/>
    <col min="13826" max="13827" width="12.125" style="270" customWidth="1"/>
    <col min="13828" max="13828" width="13.75" style="270" customWidth="1"/>
    <col min="13829" max="13829" width="14.625" style="270" customWidth="1"/>
    <col min="13830" max="13830" width="15.125" style="270" customWidth="1"/>
    <col min="13831" max="13831" width="12.25" style="270" customWidth="1"/>
    <col min="13832" max="13832" width="12.5" style="270" customWidth="1"/>
    <col min="13833" max="13833" width="12.25" style="270" customWidth="1"/>
    <col min="13834" max="13834" width="11.625" style="270" customWidth="1"/>
    <col min="13835" max="14080" width="8.875" style="270"/>
    <col min="14081" max="14081" width="19.5" style="270" customWidth="1"/>
    <col min="14082" max="14083" width="12.125" style="270" customWidth="1"/>
    <col min="14084" max="14084" width="13.75" style="270" customWidth="1"/>
    <col min="14085" max="14085" width="14.625" style="270" customWidth="1"/>
    <col min="14086" max="14086" width="15.125" style="270" customWidth="1"/>
    <col min="14087" max="14087" width="12.25" style="270" customWidth="1"/>
    <col min="14088" max="14088" width="12.5" style="270" customWidth="1"/>
    <col min="14089" max="14089" width="12.25" style="270" customWidth="1"/>
    <col min="14090" max="14090" width="11.625" style="270" customWidth="1"/>
    <col min="14091" max="14336" width="8.875" style="270"/>
    <col min="14337" max="14337" width="19.5" style="270" customWidth="1"/>
    <col min="14338" max="14339" width="12.125" style="270" customWidth="1"/>
    <col min="14340" max="14340" width="13.75" style="270" customWidth="1"/>
    <col min="14341" max="14341" width="14.625" style="270" customWidth="1"/>
    <col min="14342" max="14342" width="15.125" style="270" customWidth="1"/>
    <col min="14343" max="14343" width="12.25" style="270" customWidth="1"/>
    <col min="14344" max="14344" width="12.5" style="270" customWidth="1"/>
    <col min="14345" max="14345" width="12.25" style="270" customWidth="1"/>
    <col min="14346" max="14346" width="11.625" style="270" customWidth="1"/>
    <col min="14347" max="14592" width="8.875" style="270"/>
    <col min="14593" max="14593" width="19.5" style="270" customWidth="1"/>
    <col min="14594" max="14595" width="12.125" style="270" customWidth="1"/>
    <col min="14596" max="14596" width="13.75" style="270" customWidth="1"/>
    <col min="14597" max="14597" width="14.625" style="270" customWidth="1"/>
    <col min="14598" max="14598" width="15.125" style="270" customWidth="1"/>
    <col min="14599" max="14599" width="12.25" style="270" customWidth="1"/>
    <col min="14600" max="14600" width="12.5" style="270" customWidth="1"/>
    <col min="14601" max="14601" width="12.25" style="270" customWidth="1"/>
    <col min="14602" max="14602" width="11.625" style="270" customWidth="1"/>
    <col min="14603" max="14848" width="8.875" style="270"/>
    <col min="14849" max="14849" width="19.5" style="270" customWidth="1"/>
    <col min="14850" max="14851" width="12.125" style="270" customWidth="1"/>
    <col min="14852" max="14852" width="13.75" style="270" customWidth="1"/>
    <col min="14853" max="14853" width="14.625" style="270" customWidth="1"/>
    <col min="14854" max="14854" width="15.125" style="270" customWidth="1"/>
    <col min="14855" max="14855" width="12.25" style="270" customWidth="1"/>
    <col min="14856" max="14856" width="12.5" style="270" customWidth="1"/>
    <col min="14857" max="14857" width="12.25" style="270" customWidth="1"/>
    <col min="14858" max="14858" width="11.625" style="270" customWidth="1"/>
    <col min="14859" max="15104" width="8.875" style="270"/>
    <col min="15105" max="15105" width="19.5" style="270" customWidth="1"/>
    <col min="15106" max="15107" width="12.125" style="270" customWidth="1"/>
    <col min="15108" max="15108" width="13.75" style="270" customWidth="1"/>
    <col min="15109" max="15109" width="14.625" style="270" customWidth="1"/>
    <col min="15110" max="15110" width="15.125" style="270" customWidth="1"/>
    <col min="15111" max="15111" width="12.25" style="270" customWidth="1"/>
    <col min="15112" max="15112" width="12.5" style="270" customWidth="1"/>
    <col min="15113" max="15113" width="12.25" style="270" customWidth="1"/>
    <col min="15114" max="15114" width="11.625" style="270" customWidth="1"/>
    <col min="15115" max="15360" width="8.875" style="270"/>
    <col min="15361" max="15361" width="19.5" style="270" customWidth="1"/>
    <col min="15362" max="15363" width="12.125" style="270" customWidth="1"/>
    <col min="15364" max="15364" width="13.75" style="270" customWidth="1"/>
    <col min="15365" max="15365" width="14.625" style="270" customWidth="1"/>
    <col min="15366" max="15366" width="15.125" style="270" customWidth="1"/>
    <col min="15367" max="15367" width="12.25" style="270" customWidth="1"/>
    <col min="15368" max="15368" width="12.5" style="270" customWidth="1"/>
    <col min="15369" max="15369" width="12.25" style="270" customWidth="1"/>
    <col min="15370" max="15370" width="11.625" style="270" customWidth="1"/>
    <col min="15371" max="15616" width="8.875" style="270"/>
    <col min="15617" max="15617" width="19.5" style="270" customWidth="1"/>
    <col min="15618" max="15619" width="12.125" style="270" customWidth="1"/>
    <col min="15620" max="15620" width="13.75" style="270" customWidth="1"/>
    <col min="15621" max="15621" width="14.625" style="270" customWidth="1"/>
    <col min="15622" max="15622" width="15.125" style="270" customWidth="1"/>
    <col min="15623" max="15623" width="12.25" style="270" customWidth="1"/>
    <col min="15624" max="15624" width="12.5" style="270" customWidth="1"/>
    <col min="15625" max="15625" width="12.25" style="270" customWidth="1"/>
    <col min="15626" max="15626" width="11.625" style="270" customWidth="1"/>
    <col min="15627" max="15872" width="8.875" style="270"/>
    <col min="15873" max="15873" width="19.5" style="270" customWidth="1"/>
    <col min="15874" max="15875" width="12.125" style="270" customWidth="1"/>
    <col min="15876" max="15876" width="13.75" style="270" customWidth="1"/>
    <col min="15877" max="15877" width="14.625" style="270" customWidth="1"/>
    <col min="15878" max="15878" width="15.125" style="270" customWidth="1"/>
    <col min="15879" max="15879" width="12.25" style="270" customWidth="1"/>
    <col min="15880" max="15880" width="12.5" style="270" customWidth="1"/>
    <col min="15881" max="15881" width="12.25" style="270" customWidth="1"/>
    <col min="15882" max="15882" width="11.625" style="270" customWidth="1"/>
    <col min="15883" max="16128" width="8.875" style="270"/>
    <col min="16129" max="16129" width="19.5" style="270" customWidth="1"/>
    <col min="16130" max="16131" width="12.125" style="270" customWidth="1"/>
    <col min="16132" max="16132" width="13.75" style="270" customWidth="1"/>
    <col min="16133" max="16133" width="14.625" style="270" customWidth="1"/>
    <col min="16134" max="16134" width="15.125" style="270" customWidth="1"/>
    <col min="16135" max="16135" width="12.25" style="270" customWidth="1"/>
    <col min="16136" max="16136" width="12.5" style="270" customWidth="1"/>
    <col min="16137" max="16137" width="12.25" style="270" customWidth="1"/>
    <col min="16138" max="16138" width="11.625" style="270" customWidth="1"/>
    <col min="16139" max="16384" width="8.875" style="270"/>
  </cols>
  <sheetData>
    <row r="1" spans="1:10" ht="19.5">
      <c r="A1" s="265" t="s">
        <v>526</v>
      </c>
      <c r="B1" s="266"/>
      <c r="C1" s="267"/>
      <c r="D1" s="268"/>
      <c r="E1" s="266"/>
      <c r="F1" s="267"/>
      <c r="G1" s="269"/>
    </row>
    <row r="2" spans="1:10">
      <c r="G2" s="273"/>
    </row>
    <row r="3" spans="1:10" ht="17.25">
      <c r="A3" s="274" t="s">
        <v>157</v>
      </c>
      <c r="B3" s="275"/>
      <c r="C3" s="275"/>
      <c r="D3" s="275"/>
      <c r="E3" s="276"/>
      <c r="F3" s="276"/>
      <c r="G3" s="276"/>
      <c r="H3" s="276"/>
      <c r="I3" s="276"/>
      <c r="J3" s="277"/>
    </row>
    <row r="4" spans="1:10" ht="17.25">
      <c r="A4" s="278" t="s">
        <v>158</v>
      </c>
      <c r="B4" s="279"/>
      <c r="C4" s="279"/>
      <c r="D4" s="279"/>
      <c r="E4" s="280"/>
      <c r="F4" s="280"/>
      <c r="G4" s="280"/>
      <c r="H4" s="280"/>
      <c r="I4" s="280"/>
      <c r="J4" s="281"/>
    </row>
    <row r="5" spans="1:10">
      <c r="A5" s="70" t="s">
        <v>498</v>
      </c>
      <c r="B5" s="8" t="s">
        <v>463</v>
      </c>
      <c r="C5" s="71" t="s">
        <v>464</v>
      </c>
      <c r="D5" s="72" t="s">
        <v>159</v>
      </c>
      <c r="E5" s="8" t="s">
        <v>463</v>
      </c>
      <c r="F5" s="71" t="s">
        <v>464</v>
      </c>
      <c r="G5" s="74" t="s">
        <v>160</v>
      </c>
      <c r="H5" s="8" t="s">
        <v>463</v>
      </c>
      <c r="I5" s="71" t="s">
        <v>464</v>
      </c>
      <c r="J5" s="208" t="s">
        <v>36</v>
      </c>
    </row>
    <row r="6" spans="1:10">
      <c r="A6" s="283"/>
      <c r="B6" s="282" t="s">
        <v>32</v>
      </c>
      <c r="C6" s="501" t="s">
        <v>421</v>
      </c>
      <c r="D6" s="505" t="s">
        <v>1</v>
      </c>
      <c r="E6" s="284" t="s">
        <v>33</v>
      </c>
      <c r="F6" s="506" t="s">
        <v>422</v>
      </c>
      <c r="G6" s="505" t="s">
        <v>1</v>
      </c>
      <c r="H6" s="285" t="s">
        <v>35</v>
      </c>
      <c r="I6" s="508" t="s">
        <v>423</v>
      </c>
      <c r="J6" s="505" t="s">
        <v>1</v>
      </c>
    </row>
    <row r="7" spans="1:10">
      <c r="A7" s="286" t="s">
        <v>4</v>
      </c>
      <c r="B7" s="287"/>
      <c r="C7" s="81"/>
      <c r="D7" s="211"/>
      <c r="E7" s="288"/>
      <c r="F7" s="81"/>
      <c r="G7" s="507"/>
      <c r="H7" s="289"/>
      <c r="I7" s="84"/>
      <c r="J7" s="212"/>
    </row>
    <row r="8" spans="1:10">
      <c r="A8" s="286" t="s">
        <v>5</v>
      </c>
      <c r="B8" s="290">
        <f>SUM(B9:B11)</f>
        <v>19023</v>
      </c>
      <c r="C8" s="502">
        <f>SUM(C9:C11)</f>
        <v>35946</v>
      </c>
      <c r="D8" s="515">
        <f>IF(C8,(B8-C8)/C8,0)</f>
        <v>-0.47078951760974797</v>
      </c>
      <c r="E8" s="291">
        <f>SUM(E9:E11)</f>
        <v>39754104</v>
      </c>
      <c r="F8" s="85">
        <f>SUM(F9:F11)</f>
        <v>71879443</v>
      </c>
      <c r="G8" s="514">
        <f>IF(F8,(E8-F8)/F8,0)</f>
        <v>-0.44693361076824151</v>
      </c>
      <c r="H8" s="87">
        <f>IF(B8,E8/B8,0)</f>
        <v>2089.7915155338274</v>
      </c>
      <c r="I8" s="88">
        <f>IF(C8,F8/C8,0)</f>
        <v>1999.6506704501196</v>
      </c>
      <c r="J8" s="516">
        <f t="shared" ref="J8:J64" si="0">IF(I8,(H8-I8)/I8,0)</f>
        <v>4.5078296132302506E-2</v>
      </c>
    </row>
    <row r="9" spans="1:10">
      <c r="A9" s="292" t="s">
        <v>164</v>
      </c>
      <c r="B9" s="293">
        <f>電輔車!E9</f>
        <v>16264</v>
      </c>
      <c r="C9" s="89">
        <f>VLOOKUP(A9,[12]進出口值表查詢結果!$A$10:$C$47,3,0)</f>
        <v>31713</v>
      </c>
      <c r="D9" s="515">
        <f t="shared" ref="D9:D64" si="1">IF(C9,(B9-C9)/C9,0)</f>
        <v>-0.48715037997035915</v>
      </c>
      <c r="E9" s="294">
        <f>電輔車!G9</f>
        <v>34257089</v>
      </c>
      <c r="F9" s="90">
        <f>VLOOKUP(A9,[12]進出口值表查詢結果!$A$10:$C$47,2,0)</f>
        <v>63553979</v>
      </c>
      <c r="G9" s="514">
        <f t="shared" ref="G9:G64" si="2">IF(F9,(E9-F9)/F9,0)</f>
        <v>-0.46097648740451008</v>
      </c>
      <c r="H9" s="87">
        <f t="shared" ref="H9:H11" si="3">IF(B9,E9/B9,0)</f>
        <v>2106.3138834235119</v>
      </c>
      <c r="I9" s="88">
        <f t="shared" ref="I9:I11" si="4">IF(C9,F9/C9,0)</f>
        <v>2004.0355374767446</v>
      </c>
      <c r="J9" s="516">
        <f t="shared" si="0"/>
        <v>5.103619373713536E-2</v>
      </c>
    </row>
    <row r="10" spans="1:10">
      <c r="A10" s="295" t="s">
        <v>6</v>
      </c>
      <c r="B10" s="293">
        <f>電輔車!E10</f>
        <v>2632</v>
      </c>
      <c r="C10" s="89">
        <f>VLOOKUP(A10,[12]進出口值表查詢結果!$A$10:$C$47,3,0)</f>
        <v>4001</v>
      </c>
      <c r="D10" s="515">
        <f t="shared" si="1"/>
        <v>-0.34216445888527869</v>
      </c>
      <c r="E10" s="294">
        <f>電輔車!G10</f>
        <v>5101289</v>
      </c>
      <c r="F10" s="90">
        <f>VLOOKUP(A10,[12]進出口值表查詢結果!$A$10:$C$47,2,0)</f>
        <v>7747359</v>
      </c>
      <c r="G10" s="514">
        <f t="shared" si="2"/>
        <v>-0.34154477674262934</v>
      </c>
      <c r="H10" s="87">
        <f t="shared" si="3"/>
        <v>1938.1797112462007</v>
      </c>
      <c r="I10" s="88">
        <f t="shared" si="4"/>
        <v>1936.3556610847288</v>
      </c>
      <c r="J10" s="516">
        <f t="shared" si="0"/>
        <v>9.4200161578273452E-4</v>
      </c>
    </row>
    <row r="11" spans="1:10">
      <c r="A11" s="295" t="s">
        <v>7</v>
      </c>
      <c r="B11" s="293">
        <f>電輔車!E11</f>
        <v>127</v>
      </c>
      <c r="C11" s="89">
        <f>VLOOKUP(A11,[12]進出口值表查詢結果!$A$10:$C$47,3,0)</f>
        <v>232</v>
      </c>
      <c r="D11" s="515">
        <f t="shared" si="1"/>
        <v>-0.45258620689655171</v>
      </c>
      <c r="E11" s="294">
        <f>電輔車!G11</f>
        <v>395726</v>
      </c>
      <c r="F11" s="90">
        <f>VLOOKUP(A11,[12]進出口值表查詢結果!$A$10:$C$47,2,0)</f>
        <v>578105</v>
      </c>
      <c r="G11" s="514">
        <f t="shared" si="2"/>
        <v>-0.31547729218740539</v>
      </c>
      <c r="H11" s="87">
        <f t="shared" si="3"/>
        <v>3115.9527559055118</v>
      </c>
      <c r="I11" s="88">
        <f t="shared" si="4"/>
        <v>2491.8318965517242</v>
      </c>
      <c r="J11" s="516">
        <f t="shared" si="0"/>
        <v>0.25046667883875545</v>
      </c>
    </row>
    <row r="12" spans="1:10">
      <c r="A12" s="295"/>
      <c r="B12" s="293"/>
      <c r="C12" s="503"/>
      <c r="D12" s="515"/>
      <c r="E12" s="294"/>
      <c r="F12" s="90"/>
      <c r="G12" s="514"/>
      <c r="H12" s="87"/>
      <c r="I12" s="88"/>
      <c r="J12" s="516"/>
    </row>
    <row r="13" spans="1:10">
      <c r="A13" s="296" t="s">
        <v>8</v>
      </c>
      <c r="B13" s="297">
        <f>SUM(B14:B40)</f>
        <v>38378</v>
      </c>
      <c r="C13" s="504">
        <f>SUM(C14:C40)</f>
        <v>107999</v>
      </c>
      <c r="D13" s="515">
        <f t="shared" si="1"/>
        <v>-0.6446448578227576</v>
      </c>
      <c r="E13" s="297">
        <f>SUM(E14:E40)</f>
        <v>64691557</v>
      </c>
      <c r="F13" s="91">
        <f>SUM(F14:F40)</f>
        <v>155025199</v>
      </c>
      <c r="G13" s="514">
        <f t="shared" si="2"/>
        <v>-0.5827029578591284</v>
      </c>
      <c r="H13" s="87">
        <f t="shared" ref="H13:H18" si="5">IF(B13,E13/B13,0)</f>
        <v>1685.6416957631977</v>
      </c>
      <c r="I13" s="88">
        <f t="shared" ref="I13:I18" si="6">IF(C13,F13/C13,0)</f>
        <v>1435.4318002944472</v>
      </c>
      <c r="J13" s="516">
        <f t="shared" si="0"/>
        <v>0.17430984559309995</v>
      </c>
    </row>
    <row r="14" spans="1:10">
      <c r="A14" s="455" t="s">
        <v>249</v>
      </c>
      <c r="B14" s="294">
        <f>電輔車!E14</f>
        <v>23905</v>
      </c>
      <c r="C14" s="89">
        <f>VLOOKUP(A14,[12]進出口值表查詢結果!$A$10:$C$47,3,0)</f>
        <v>69151</v>
      </c>
      <c r="D14" s="515">
        <f t="shared" si="1"/>
        <v>-0.65430724067620138</v>
      </c>
      <c r="E14" s="294">
        <f>電輔車!G14</f>
        <v>44267785</v>
      </c>
      <c r="F14" s="90">
        <f>VLOOKUP(A14,[12]進出口值表查詢結果!$A$10:$C$47,2,0)</f>
        <v>105358370</v>
      </c>
      <c r="G14" s="514">
        <f t="shared" si="2"/>
        <v>-0.57983608706171141</v>
      </c>
      <c r="H14" s="87">
        <f t="shared" si="5"/>
        <v>1851.8211671198494</v>
      </c>
      <c r="I14" s="88">
        <f t="shared" si="6"/>
        <v>1523.5986464403986</v>
      </c>
      <c r="J14" s="516">
        <f t="shared" si="0"/>
        <v>0.21542584160617423</v>
      </c>
    </row>
    <row r="15" spans="1:10">
      <c r="A15" s="455" t="s">
        <v>250</v>
      </c>
      <c r="B15" s="294">
        <f>電輔車!E15</f>
        <v>8968</v>
      </c>
      <c r="C15" s="89">
        <f>VLOOKUP(A15,[12]進出口值表查詢結果!$A$10:$C$47,3,0)</f>
        <v>16755</v>
      </c>
      <c r="D15" s="515">
        <f t="shared" si="1"/>
        <v>-0.4647567890182035</v>
      </c>
      <c r="E15" s="294">
        <f>電輔車!G15</f>
        <v>11928687</v>
      </c>
      <c r="F15" s="90">
        <f>VLOOKUP(A15,[12]進出口值表查詢結果!$A$10:$C$47,2,0)</f>
        <v>15915102</v>
      </c>
      <c r="G15" s="514">
        <f t="shared" si="2"/>
        <v>-0.25048001577369722</v>
      </c>
      <c r="H15" s="87">
        <f t="shared" si="5"/>
        <v>1330.139049955397</v>
      </c>
      <c r="I15" s="88">
        <f t="shared" si="6"/>
        <v>949.87179946284687</v>
      </c>
      <c r="J15" s="516">
        <f t="shared" si="0"/>
        <v>0.40033534073502502</v>
      </c>
    </row>
    <row r="16" spans="1:10">
      <c r="A16" s="456" t="s">
        <v>9</v>
      </c>
      <c r="B16" s="294">
        <f>電輔車!E16</f>
        <v>806</v>
      </c>
      <c r="C16" s="89">
        <f>VLOOKUP(A16,[12]進出口值表查詢結果!$A$10:$C$47,3,0)</f>
        <v>2553</v>
      </c>
      <c r="D16" s="515">
        <f t="shared" si="1"/>
        <v>-0.68429298864081478</v>
      </c>
      <c r="E16" s="294">
        <f>電輔車!G16</f>
        <v>1572692</v>
      </c>
      <c r="F16" s="90">
        <f>VLOOKUP(A16,[12]進出口值表查詢結果!$A$10:$C$47,2,0)</f>
        <v>3022909</v>
      </c>
      <c r="G16" s="514">
        <f t="shared" si="2"/>
        <v>-0.47974219534891721</v>
      </c>
      <c r="H16" s="87">
        <f t="shared" si="5"/>
        <v>1951.2307692307693</v>
      </c>
      <c r="I16" s="88">
        <f t="shared" si="6"/>
        <v>1184.0614962788875</v>
      </c>
      <c r="J16" s="516">
        <f t="shared" si="0"/>
        <v>0.6479133688265688</v>
      </c>
    </row>
    <row r="17" spans="1:10">
      <c r="A17" s="455" t="s">
        <v>251</v>
      </c>
      <c r="B17" s="294">
        <f>電輔車!E17</f>
        <v>1393</v>
      </c>
      <c r="C17" s="89">
        <f>VLOOKUP(A17,[12]進出口值表查詢結果!$A$10:$C$47,3,0)</f>
        <v>5279</v>
      </c>
      <c r="D17" s="515">
        <f t="shared" si="1"/>
        <v>-0.73612426595946201</v>
      </c>
      <c r="E17" s="294">
        <f>電輔車!G17</f>
        <v>1912779</v>
      </c>
      <c r="F17" s="90">
        <f>VLOOKUP(A17,[12]進出口值表查詢結果!$A$10:$C$47,2,0)</f>
        <v>6266854</v>
      </c>
      <c r="G17" s="514">
        <f t="shared" si="2"/>
        <v>-0.69477843268727812</v>
      </c>
      <c r="H17" s="87">
        <f t="shared" si="5"/>
        <v>1373.1363962670496</v>
      </c>
      <c r="I17" s="88">
        <f t="shared" si="6"/>
        <v>1187.1290017048684</v>
      </c>
      <c r="J17" s="516">
        <f t="shared" si="0"/>
        <v>0.15668675796400464</v>
      </c>
    </row>
    <row r="18" spans="1:10">
      <c r="A18" s="456" t="s">
        <v>10</v>
      </c>
      <c r="B18" s="294">
        <f>電輔車!E18</f>
        <v>1008</v>
      </c>
      <c r="C18" s="89">
        <f>VLOOKUP(A18,[12]進出口值表查詢結果!$A$10:$C$47,3,0)</f>
        <v>3576</v>
      </c>
      <c r="D18" s="515">
        <f t="shared" si="1"/>
        <v>-0.71812080536912748</v>
      </c>
      <c r="E18" s="294">
        <f>電輔車!G18</f>
        <v>2289156</v>
      </c>
      <c r="F18" s="90">
        <f>VLOOKUP(A18,[12]進出口值表查詢結果!$A$10:$C$47,2,0)</f>
        <v>7729220</v>
      </c>
      <c r="G18" s="514">
        <f t="shared" si="2"/>
        <v>-0.70383091696186684</v>
      </c>
      <c r="H18" s="87">
        <f t="shared" si="5"/>
        <v>2270.9880952380954</v>
      </c>
      <c r="I18" s="88">
        <f t="shared" si="6"/>
        <v>2161.4149888143179</v>
      </c>
      <c r="J18" s="516">
        <f t="shared" si="0"/>
        <v>5.0695080301948754E-2</v>
      </c>
    </row>
    <row r="19" spans="1:10">
      <c r="A19" s="456" t="s">
        <v>11</v>
      </c>
      <c r="B19" s="294">
        <f>電輔車!E19</f>
        <v>246</v>
      </c>
      <c r="C19" s="89">
        <f>VLOOKUP(A19,[12]進出口值表查詢結果!$A$10:$C$47,3,0)</f>
        <v>1455</v>
      </c>
      <c r="D19" s="515">
        <f t="shared" si="1"/>
        <v>-0.83092783505154644</v>
      </c>
      <c r="E19" s="294">
        <f>電輔車!G19</f>
        <v>421709</v>
      </c>
      <c r="F19" s="90">
        <f>VLOOKUP(A19,[12]進出口值表查詢結果!$A$10:$C$47,2,0)</f>
        <v>3480070</v>
      </c>
      <c r="G19" s="514">
        <f t="shared" si="2"/>
        <v>-0.87882169036829716</v>
      </c>
      <c r="H19" s="87">
        <f>IF(B19,E19/B19,0)</f>
        <v>1714.2642276422764</v>
      </c>
      <c r="I19" s="88">
        <f>IF(C19,F19/C19,0)</f>
        <v>2391.8006872852234</v>
      </c>
      <c r="J19" s="516">
        <f t="shared" si="0"/>
        <v>-0.28327463205639192</v>
      </c>
    </row>
    <row r="20" spans="1:10">
      <c r="A20" s="455" t="s">
        <v>253</v>
      </c>
      <c r="B20" s="294">
        <f>電輔車!E20</f>
        <v>456</v>
      </c>
      <c r="C20" s="89">
        <f>VLOOKUP(A20,[12]進出口值表查詢結果!$A$10:$C$47,3,0)</f>
        <v>1445</v>
      </c>
      <c r="D20" s="515">
        <f t="shared" si="1"/>
        <v>-0.68442906574394469</v>
      </c>
      <c r="E20" s="294">
        <f>電輔車!G20</f>
        <v>928260</v>
      </c>
      <c r="F20" s="90">
        <f>VLOOKUP(A20,[12]進出口值表查詢結果!$A$10:$C$47,2,0)</f>
        <v>2100997</v>
      </c>
      <c r="G20" s="514">
        <f t="shared" si="2"/>
        <v>-0.55818118731249977</v>
      </c>
      <c r="H20" s="87">
        <f t="shared" ref="H20:H33" si="7">IF(B20,E20/B20,0)</f>
        <v>2035.6578947368421</v>
      </c>
      <c r="I20" s="88">
        <f t="shared" ref="I20:I33" si="8">IF(C20,F20/C20,0)</f>
        <v>1453.9771626297577</v>
      </c>
      <c r="J20" s="516">
        <f t="shared" si="0"/>
        <v>0.40006180774876737</v>
      </c>
    </row>
    <row r="21" spans="1:10">
      <c r="A21" s="456" t="s">
        <v>12</v>
      </c>
      <c r="B21" s="294">
        <f>電輔車!E21</f>
        <v>2</v>
      </c>
      <c r="C21" s="89">
        <v>0</v>
      </c>
      <c r="D21" s="515">
        <f t="shared" si="1"/>
        <v>0</v>
      </c>
      <c r="E21" s="294">
        <f>電輔車!G21</f>
        <v>1093</v>
      </c>
      <c r="F21" s="90">
        <f>_xlfn.IFNA(VLOOKUP(A21,[3]電同!$C$3:$G$576,3,0),-[4]整車!$B$22)</f>
        <v>0</v>
      </c>
      <c r="G21" s="514">
        <f t="shared" si="2"/>
        <v>0</v>
      </c>
      <c r="H21" s="87">
        <f t="shared" si="7"/>
        <v>546.5</v>
      </c>
      <c r="I21" s="88">
        <f t="shared" si="8"/>
        <v>0</v>
      </c>
      <c r="J21" s="516">
        <f t="shared" si="0"/>
        <v>0</v>
      </c>
    </row>
    <row r="22" spans="1:10">
      <c r="A22" s="455" t="s">
        <v>254</v>
      </c>
      <c r="B22" s="294">
        <f>電輔車!E22</f>
        <v>0</v>
      </c>
      <c r="C22" s="89">
        <f>VLOOKUP(A22,[12]進出口值表查詢結果!$A$10:$C$47,3,0)</f>
        <v>2085</v>
      </c>
      <c r="D22" s="515">
        <f t="shared" si="1"/>
        <v>-1</v>
      </c>
      <c r="E22" s="294">
        <f>電輔車!G22</f>
        <v>0</v>
      </c>
      <c r="F22" s="90">
        <f>VLOOKUP(A22,[12]進出口值表查詢結果!$A$10:$C$47,2,0)</f>
        <v>5256906</v>
      </c>
      <c r="G22" s="514">
        <f t="shared" si="2"/>
        <v>-1</v>
      </c>
      <c r="H22" s="87">
        <f t="shared" si="7"/>
        <v>0</v>
      </c>
      <c r="I22" s="88">
        <f t="shared" si="8"/>
        <v>2521.2978417266186</v>
      </c>
      <c r="J22" s="516">
        <f t="shared" si="0"/>
        <v>-1</v>
      </c>
    </row>
    <row r="23" spans="1:10">
      <c r="A23" s="456" t="s">
        <v>13</v>
      </c>
      <c r="B23" s="294">
        <f>電輔車!E23</f>
        <v>0</v>
      </c>
      <c r="C23" s="89">
        <v>0</v>
      </c>
      <c r="D23" s="515">
        <f t="shared" si="1"/>
        <v>0</v>
      </c>
      <c r="E23" s="294">
        <f>電輔車!G23</f>
        <v>0</v>
      </c>
      <c r="F23" s="90">
        <f>_xlfn.IFNA(VLOOKUP(A23,[3]電同!$C$3:$G$576,3,0),-[4]整車!$B$22)</f>
        <v>0</v>
      </c>
      <c r="G23" s="514">
        <f t="shared" si="2"/>
        <v>0</v>
      </c>
      <c r="H23" s="87">
        <f t="shared" si="7"/>
        <v>0</v>
      </c>
      <c r="I23" s="88">
        <f t="shared" si="8"/>
        <v>0</v>
      </c>
      <c r="J23" s="516">
        <f t="shared" si="0"/>
        <v>0</v>
      </c>
    </row>
    <row r="24" spans="1:10">
      <c r="A24" s="456" t="s">
        <v>14</v>
      </c>
      <c r="B24" s="294">
        <f>電輔車!E24</f>
        <v>0</v>
      </c>
      <c r="C24" s="89">
        <v>0</v>
      </c>
      <c r="D24" s="515">
        <f t="shared" si="1"/>
        <v>0</v>
      </c>
      <c r="E24" s="294">
        <f>電輔車!G24</f>
        <v>0</v>
      </c>
      <c r="F24" s="90">
        <f>_xlfn.IFNA(VLOOKUP(A24,[3]電同!$C$3:$G$576,3,0),-[4]整車!$B$22)</f>
        <v>0</v>
      </c>
      <c r="G24" s="514">
        <f t="shared" si="2"/>
        <v>0</v>
      </c>
      <c r="H24" s="87">
        <f t="shared" si="7"/>
        <v>0</v>
      </c>
      <c r="I24" s="88">
        <f t="shared" si="8"/>
        <v>0</v>
      </c>
      <c r="J24" s="516">
        <f t="shared" si="0"/>
        <v>0</v>
      </c>
    </row>
    <row r="25" spans="1:10">
      <c r="A25" s="456" t="s">
        <v>15</v>
      </c>
      <c r="B25" s="294">
        <f>電輔車!E25</f>
        <v>1</v>
      </c>
      <c r="C25" s="89">
        <f>VLOOKUP(A25,[12]進出口值表查詢結果!$A$10:$C$47,3,0)</f>
        <v>1250</v>
      </c>
      <c r="D25" s="515">
        <f t="shared" si="1"/>
        <v>-0.99919999999999998</v>
      </c>
      <c r="E25" s="294">
        <f>電輔車!G25</f>
        <v>2741</v>
      </c>
      <c r="F25" s="90">
        <f>VLOOKUP(A25,[12]進出口值表查詢結果!$A$10:$C$47,2,0)</f>
        <v>2445250</v>
      </c>
      <c r="G25" s="514">
        <f t="shared" si="2"/>
        <v>-0.99887905122175646</v>
      </c>
      <c r="H25" s="87">
        <f t="shared" si="7"/>
        <v>2741</v>
      </c>
      <c r="I25" s="88">
        <f t="shared" si="8"/>
        <v>1956.2</v>
      </c>
      <c r="J25" s="516">
        <f t="shared" si="0"/>
        <v>0.4011859728044167</v>
      </c>
    </row>
    <row r="26" spans="1:10">
      <c r="A26" s="455" t="s">
        <v>257</v>
      </c>
      <c r="B26" s="294">
        <f>電輔車!E26</f>
        <v>1100</v>
      </c>
      <c r="C26" s="89">
        <f>VLOOKUP(A26,[12]進出口值表查詢結果!$A$10:$C$47,3,0)</f>
        <v>1499</v>
      </c>
      <c r="D26" s="515">
        <f t="shared" si="1"/>
        <v>-0.26617745163442297</v>
      </c>
      <c r="E26" s="294">
        <f>電輔車!G26</f>
        <v>441533</v>
      </c>
      <c r="F26" s="90">
        <f>VLOOKUP(A26,[12]進出口值表查詢結果!$A$10:$C$47,2,0)</f>
        <v>605733</v>
      </c>
      <c r="G26" s="514">
        <f t="shared" si="2"/>
        <v>-0.2710765304185177</v>
      </c>
      <c r="H26" s="87">
        <f t="shared" si="7"/>
        <v>401.39363636363635</v>
      </c>
      <c r="I26" s="88">
        <f t="shared" si="8"/>
        <v>404.0913942628419</v>
      </c>
      <c r="J26" s="516">
        <f t="shared" si="0"/>
        <v>-6.6761082703255849E-3</v>
      </c>
    </row>
    <row r="27" spans="1:10">
      <c r="A27" s="455" t="s">
        <v>259</v>
      </c>
      <c r="B27" s="294">
        <f>電輔車!E27</f>
        <v>135</v>
      </c>
      <c r="C27" s="89">
        <f>VLOOKUP(A27,[12]進出口值表查詢結果!$A$10:$C$47,3,0)</f>
        <v>60</v>
      </c>
      <c r="D27" s="515">
        <f t="shared" si="1"/>
        <v>1.25</v>
      </c>
      <c r="E27" s="294">
        <f>電輔車!G27</f>
        <v>229551</v>
      </c>
      <c r="F27" s="90">
        <f>VLOOKUP(A27,[12]進出口值表查詢結果!$A$10:$C$47,2,0)</f>
        <v>131961</v>
      </c>
      <c r="G27" s="514">
        <f t="shared" si="2"/>
        <v>0.73953668129219996</v>
      </c>
      <c r="H27" s="87">
        <f t="shared" si="7"/>
        <v>1700.3777777777777</v>
      </c>
      <c r="I27" s="88">
        <f t="shared" si="8"/>
        <v>2199.35</v>
      </c>
      <c r="J27" s="516">
        <f t="shared" si="0"/>
        <v>-0.22687258609235555</v>
      </c>
    </row>
    <row r="28" spans="1:10">
      <c r="A28" s="456" t="s">
        <v>260</v>
      </c>
      <c r="B28" s="294">
        <f>電輔車!E28</f>
        <v>158</v>
      </c>
      <c r="C28" s="89">
        <f>VLOOKUP(A28,[12]進出口值表查詢結果!$A$10:$C$47,3,0)</f>
        <v>618</v>
      </c>
      <c r="D28" s="515">
        <f t="shared" si="1"/>
        <v>-0.74433656957928807</v>
      </c>
      <c r="E28" s="294">
        <f>電輔車!G28</f>
        <v>293856</v>
      </c>
      <c r="F28" s="90">
        <f>VLOOKUP(A28,[12]進出口值表查詢結果!$A$10:$C$47,2,0)</f>
        <v>1167627</v>
      </c>
      <c r="G28" s="514">
        <f t="shared" si="2"/>
        <v>-0.74833058844990741</v>
      </c>
      <c r="H28" s="87">
        <f t="shared" si="7"/>
        <v>1859.8481012658228</v>
      </c>
      <c r="I28" s="88">
        <f t="shared" si="8"/>
        <v>1889.3640776699028</v>
      </c>
      <c r="J28" s="516">
        <f t="shared" si="0"/>
        <v>-1.562217507621992E-2</v>
      </c>
    </row>
    <row r="29" spans="1:10">
      <c r="A29" s="466" t="s">
        <v>261</v>
      </c>
      <c r="B29" s="294">
        <f>電輔車!E29</f>
        <v>93</v>
      </c>
      <c r="C29" s="89">
        <f>VLOOKUP(A29,[12]進出口值表查詢結果!$A$10:$C$47,3,0)</f>
        <v>2273</v>
      </c>
      <c r="D29" s="515">
        <f t="shared" si="1"/>
        <v>-0.95908490981082273</v>
      </c>
      <c r="E29" s="294">
        <f>電輔車!G29</f>
        <v>215167</v>
      </c>
      <c r="F29" s="90">
        <f>VLOOKUP(A29,[12]進出口值表查詢結果!$A$10:$C$47,2,0)</f>
        <v>1544200</v>
      </c>
      <c r="G29" s="514">
        <f t="shared" si="2"/>
        <v>-0.86066118378448386</v>
      </c>
      <c r="H29" s="87">
        <f t="shared" si="7"/>
        <v>2313.6236559139784</v>
      </c>
      <c r="I29" s="88">
        <f t="shared" si="8"/>
        <v>679.36647602287724</v>
      </c>
      <c r="J29" s="516">
        <f t="shared" si="0"/>
        <v>2.4055605296544962</v>
      </c>
    </row>
    <row r="30" spans="1:10">
      <c r="A30" s="466" t="s">
        <v>262</v>
      </c>
      <c r="B30" s="294">
        <f>電輔車!E30</f>
        <v>107</v>
      </c>
      <c r="C30" s="89">
        <v>0</v>
      </c>
      <c r="D30" s="515">
        <f t="shared" si="1"/>
        <v>0</v>
      </c>
      <c r="E30" s="294">
        <f>電輔車!G30</f>
        <v>186548</v>
      </c>
      <c r="F30" s="90">
        <f>_xlfn.IFNA(VLOOKUP(A30,[3]電同!$C$3:$G$576,3,0),-[4]整車!$B$22)</f>
        <v>0</v>
      </c>
      <c r="G30" s="514">
        <f t="shared" si="2"/>
        <v>0</v>
      </c>
      <c r="H30" s="87">
        <f t="shared" si="7"/>
        <v>1743.4392523364486</v>
      </c>
      <c r="I30" s="88">
        <f t="shared" si="8"/>
        <v>0</v>
      </c>
      <c r="J30" s="516">
        <f t="shared" si="0"/>
        <v>0</v>
      </c>
    </row>
    <row r="31" spans="1:10">
      <c r="A31" s="466" t="s">
        <v>263</v>
      </c>
      <c r="B31" s="294">
        <f>電輔車!E31</f>
        <v>0</v>
      </c>
      <c r="C31" s="89">
        <v>0</v>
      </c>
      <c r="D31" s="515">
        <f t="shared" si="1"/>
        <v>0</v>
      </c>
      <c r="E31" s="294">
        <f>電輔車!G31</f>
        <v>0</v>
      </c>
      <c r="F31" s="90">
        <f>_xlfn.IFNA(VLOOKUP(A31,[3]電同!$C$3:$G$576,3,0),-[4]整車!$B$22)</f>
        <v>0</v>
      </c>
      <c r="G31" s="514">
        <f t="shared" si="2"/>
        <v>0</v>
      </c>
      <c r="H31" s="87">
        <f t="shared" si="7"/>
        <v>0</v>
      </c>
      <c r="I31" s="88">
        <f t="shared" si="8"/>
        <v>0</v>
      </c>
      <c r="J31" s="516">
        <f t="shared" si="0"/>
        <v>0</v>
      </c>
    </row>
    <row r="32" spans="1:10">
      <c r="A32" s="466" t="s">
        <v>265</v>
      </c>
      <c r="B32" s="294">
        <f>電輔車!E32</f>
        <v>0</v>
      </c>
      <c r="C32" s="89">
        <v>0</v>
      </c>
      <c r="D32" s="515">
        <f t="shared" si="1"/>
        <v>0</v>
      </c>
      <c r="E32" s="294">
        <f>電輔車!G32</f>
        <v>0</v>
      </c>
      <c r="F32" s="90">
        <f>_xlfn.IFNA(VLOOKUP(A32,[3]電同!$C$3:$G$576,3,0),-[4]整車!$B$22)</f>
        <v>0</v>
      </c>
      <c r="G32" s="514">
        <f t="shared" si="2"/>
        <v>0</v>
      </c>
      <c r="H32" s="87">
        <f t="shared" si="7"/>
        <v>0</v>
      </c>
      <c r="I32" s="88">
        <f t="shared" si="8"/>
        <v>0</v>
      </c>
      <c r="J32" s="516">
        <f t="shared" si="0"/>
        <v>0</v>
      </c>
    </row>
    <row r="33" spans="1:10">
      <c r="A33" s="466" t="s">
        <v>267</v>
      </c>
      <c r="B33" s="294">
        <f>電輔車!E33</f>
        <v>0</v>
      </c>
      <c r="C33" s="89">
        <v>0</v>
      </c>
      <c r="D33" s="515">
        <f t="shared" si="1"/>
        <v>0</v>
      </c>
      <c r="E33" s="294">
        <f>電輔車!G33</f>
        <v>0</v>
      </c>
      <c r="F33" s="90">
        <f>_xlfn.IFNA(VLOOKUP(A33,[3]電同!$C$3:$G$576,3,0),-[4]整車!$B$22)</f>
        <v>0</v>
      </c>
      <c r="G33" s="514">
        <f t="shared" si="2"/>
        <v>0</v>
      </c>
      <c r="H33" s="87">
        <f t="shared" si="7"/>
        <v>0</v>
      </c>
      <c r="I33" s="88">
        <f t="shared" si="8"/>
        <v>0</v>
      </c>
      <c r="J33" s="516">
        <f t="shared" si="0"/>
        <v>0</v>
      </c>
    </row>
    <row r="34" spans="1:10">
      <c r="A34" s="466" t="s">
        <v>268</v>
      </c>
      <c r="B34" s="294">
        <f>電輔車!E34</f>
        <v>0</v>
      </c>
      <c r="C34" s="89">
        <v>0</v>
      </c>
      <c r="D34" s="515">
        <f t="shared" si="1"/>
        <v>0</v>
      </c>
      <c r="E34" s="294">
        <f>電輔車!G34</f>
        <v>0</v>
      </c>
      <c r="F34" s="90">
        <f>_xlfn.IFNA(VLOOKUP(A34,[3]電同!$C$3:$G$576,3,0),-[4]整車!$B$22)</f>
        <v>0</v>
      </c>
      <c r="G34" s="514">
        <f t="shared" si="2"/>
        <v>0</v>
      </c>
      <c r="H34" s="87">
        <f t="shared" ref="H34:H63" si="9">IF(B34,E34/B34,0)</f>
        <v>0</v>
      </c>
      <c r="I34" s="88">
        <f t="shared" ref="I34:I63" si="10">IF(C34,F34/C34,0)</f>
        <v>0</v>
      </c>
      <c r="J34" s="516">
        <f t="shared" si="0"/>
        <v>0</v>
      </c>
    </row>
    <row r="35" spans="1:10">
      <c r="A35" s="467" t="s">
        <v>386</v>
      </c>
      <c r="B35" s="294">
        <f>電輔車!E35</f>
        <v>0</v>
      </c>
      <c r="C35" s="89">
        <v>0</v>
      </c>
      <c r="D35" s="515">
        <f t="shared" si="1"/>
        <v>0</v>
      </c>
      <c r="E35" s="294">
        <f>電輔車!G35</f>
        <v>0</v>
      </c>
      <c r="F35" s="90">
        <f>_xlfn.IFNA(VLOOKUP(A35,[3]電同!$C$3:$G$576,3,0),-[4]整車!$B$22)</f>
        <v>0</v>
      </c>
      <c r="G35" s="514">
        <f t="shared" si="2"/>
        <v>0</v>
      </c>
      <c r="H35" s="87">
        <f t="shared" si="9"/>
        <v>0</v>
      </c>
      <c r="I35" s="88">
        <f t="shared" si="10"/>
        <v>0</v>
      </c>
      <c r="J35" s="516">
        <f t="shared" si="0"/>
        <v>0</v>
      </c>
    </row>
    <row r="36" spans="1:10">
      <c r="A36" s="466" t="s">
        <v>271</v>
      </c>
      <c r="B36" s="294">
        <f>電輔車!E36</f>
        <v>0</v>
      </c>
      <c r="C36" s="89">
        <v>0</v>
      </c>
      <c r="D36" s="515">
        <f t="shared" si="1"/>
        <v>0</v>
      </c>
      <c r="E36" s="294">
        <f>電輔車!G36</f>
        <v>0</v>
      </c>
      <c r="F36" s="90">
        <f>_xlfn.IFNA(VLOOKUP(A36,[3]電同!$C$3:$G$576,3,0),-[4]整車!$B$22)</f>
        <v>0</v>
      </c>
      <c r="G36" s="514">
        <f t="shared" si="2"/>
        <v>0</v>
      </c>
      <c r="H36" s="87">
        <f t="shared" si="9"/>
        <v>0</v>
      </c>
      <c r="I36" s="88">
        <f t="shared" si="10"/>
        <v>0</v>
      </c>
      <c r="J36" s="516">
        <f t="shared" si="0"/>
        <v>0</v>
      </c>
    </row>
    <row r="37" spans="1:10">
      <c r="A37" s="466" t="s">
        <v>387</v>
      </c>
      <c r="B37" s="294">
        <f>電輔車!E37</f>
        <v>0</v>
      </c>
      <c r="C37" s="89">
        <v>0</v>
      </c>
      <c r="D37" s="515">
        <f t="shared" si="1"/>
        <v>0</v>
      </c>
      <c r="E37" s="294">
        <f>電輔車!G37</f>
        <v>0</v>
      </c>
      <c r="F37" s="90">
        <f>_xlfn.IFNA(VLOOKUP(A37,[3]電同!$C$3:$G$576,3,0),-[4]整車!$B$22)</f>
        <v>0</v>
      </c>
      <c r="G37" s="514">
        <f t="shared" si="2"/>
        <v>0</v>
      </c>
      <c r="H37" s="87">
        <f t="shared" si="9"/>
        <v>0</v>
      </c>
      <c r="I37" s="88">
        <f t="shared" si="10"/>
        <v>0</v>
      </c>
      <c r="J37" s="516">
        <f t="shared" si="0"/>
        <v>0</v>
      </c>
    </row>
    <row r="38" spans="1:10">
      <c r="A38" s="466" t="s">
        <v>273</v>
      </c>
      <c r="B38" s="294">
        <f>電輔車!E38</f>
        <v>0</v>
      </c>
      <c r="C38" s="89">
        <v>0</v>
      </c>
      <c r="D38" s="515">
        <f t="shared" si="1"/>
        <v>0</v>
      </c>
      <c r="E38" s="294">
        <f>電輔車!G38</f>
        <v>0</v>
      </c>
      <c r="F38" s="90">
        <f>_xlfn.IFNA(VLOOKUP(A38,[3]電同!$C$3:$G$576,3,0),-[4]整車!$B$22)</f>
        <v>0</v>
      </c>
      <c r="G38" s="514">
        <f t="shared" si="2"/>
        <v>0</v>
      </c>
      <c r="H38" s="87">
        <f t="shared" si="9"/>
        <v>0</v>
      </c>
      <c r="I38" s="88">
        <f t="shared" si="10"/>
        <v>0</v>
      </c>
      <c r="J38" s="516">
        <f t="shared" si="0"/>
        <v>0</v>
      </c>
    </row>
    <row r="39" spans="1:10">
      <c r="A39" s="466" t="s">
        <v>274</v>
      </c>
      <c r="B39" s="294">
        <f>電輔車!E39</f>
        <v>0</v>
      </c>
      <c r="C39" s="89">
        <v>0</v>
      </c>
      <c r="D39" s="515">
        <f t="shared" si="1"/>
        <v>0</v>
      </c>
      <c r="E39" s="294">
        <f>電輔車!G39</f>
        <v>0</v>
      </c>
      <c r="F39" s="90">
        <f>_xlfn.IFNA(VLOOKUP(A39,[3]電同!$C$3:$G$576,3,0),-[4]整車!$B$22)</f>
        <v>0</v>
      </c>
      <c r="G39" s="514">
        <f t="shared" si="2"/>
        <v>0</v>
      </c>
      <c r="H39" s="87">
        <f t="shared" si="9"/>
        <v>0</v>
      </c>
      <c r="I39" s="88">
        <f t="shared" si="10"/>
        <v>0</v>
      </c>
      <c r="J39" s="516">
        <f t="shared" si="0"/>
        <v>0</v>
      </c>
    </row>
    <row r="40" spans="1:10">
      <c r="A40" s="456" t="s">
        <v>275</v>
      </c>
      <c r="B40" s="294">
        <f>電輔車!E40</f>
        <v>0</v>
      </c>
      <c r="C40" s="89">
        <v>0</v>
      </c>
      <c r="D40" s="515">
        <f t="shared" si="1"/>
        <v>0</v>
      </c>
      <c r="E40" s="294">
        <f>電輔車!G40</f>
        <v>0</v>
      </c>
      <c r="F40" s="90">
        <f>_xlfn.IFNA(VLOOKUP(A40,[3]電同!$C$3:$G$576,3,0),-[4]整車!$B$22)</f>
        <v>0</v>
      </c>
      <c r="G40" s="514">
        <f t="shared" si="2"/>
        <v>0</v>
      </c>
      <c r="H40" s="87">
        <f t="shared" si="9"/>
        <v>0</v>
      </c>
      <c r="I40" s="88">
        <f t="shared" si="10"/>
        <v>0</v>
      </c>
      <c r="J40" s="516">
        <f t="shared" si="0"/>
        <v>0</v>
      </c>
    </row>
    <row r="41" spans="1:10">
      <c r="A41" s="292"/>
      <c r="B41" s="294"/>
      <c r="C41" s="503"/>
      <c r="D41" s="515"/>
      <c r="E41" s="294"/>
      <c r="F41" s="90"/>
      <c r="G41" s="514"/>
      <c r="H41" s="87"/>
      <c r="I41" s="88"/>
      <c r="J41" s="516"/>
    </row>
    <row r="42" spans="1:10">
      <c r="A42" s="298" t="s">
        <v>19</v>
      </c>
      <c r="B42" s="297">
        <f>SUM(B43:B46)</f>
        <v>2791</v>
      </c>
      <c r="C42" s="504">
        <f>SUM(C43:C46)</f>
        <v>5120</v>
      </c>
      <c r="D42" s="515">
        <f t="shared" si="1"/>
        <v>-0.45488281250000001</v>
      </c>
      <c r="E42" s="297">
        <f>SUM(E43:E46)</f>
        <v>5083560</v>
      </c>
      <c r="F42" s="85">
        <f>SUM(F43:F46)</f>
        <v>9073828</v>
      </c>
      <c r="G42" s="514">
        <f t="shared" si="2"/>
        <v>-0.43975574586602256</v>
      </c>
      <c r="H42" s="87">
        <f t="shared" si="9"/>
        <v>1821.4116804012899</v>
      </c>
      <c r="I42" s="88">
        <f t="shared" si="10"/>
        <v>1772.2320312500001</v>
      </c>
      <c r="J42" s="516">
        <f t="shared" si="0"/>
        <v>2.7750118654949585E-2</v>
      </c>
    </row>
    <row r="43" spans="1:10">
      <c r="A43" s="292" t="s">
        <v>184</v>
      </c>
      <c r="B43" s="294">
        <f>電輔車!E43</f>
        <v>1297</v>
      </c>
      <c r="C43" s="89">
        <f>VLOOKUP(A43,[12]進出口值表查詢結果!$A$10:$C$47,3,0)</f>
        <v>3022</v>
      </c>
      <c r="D43" s="515">
        <f t="shared" si="1"/>
        <v>-0.57081403044341494</v>
      </c>
      <c r="E43" s="294">
        <f>電輔車!G43</f>
        <v>2440483</v>
      </c>
      <c r="F43" s="90">
        <f>VLOOKUP(A43,[12]進出口值表查詢結果!$A$10:$C$47,2,0)</f>
        <v>5504587</v>
      </c>
      <c r="G43" s="514">
        <f t="shared" si="2"/>
        <v>-0.55664557577162466</v>
      </c>
      <c r="H43" s="87">
        <f t="shared" si="9"/>
        <v>1881.6368542791056</v>
      </c>
      <c r="I43" s="88">
        <f t="shared" si="10"/>
        <v>1821.5046326935803</v>
      </c>
      <c r="J43" s="516">
        <f t="shared" si="0"/>
        <v>3.3012390145065802E-2</v>
      </c>
    </row>
    <row r="44" spans="1:10">
      <c r="A44" s="292" t="s">
        <v>277</v>
      </c>
      <c r="B44" s="294">
        <f>電輔車!E44</f>
        <v>1449</v>
      </c>
      <c r="C44" s="89">
        <f>VLOOKUP(A44,[12]進出口值表查詢結果!$A$10:$C$47,3,0)</f>
        <v>2098</v>
      </c>
      <c r="D44" s="515">
        <f t="shared" si="1"/>
        <v>-0.30934223069590083</v>
      </c>
      <c r="E44" s="294">
        <f>電輔車!G44</f>
        <v>2533227</v>
      </c>
      <c r="F44" s="90">
        <f>VLOOKUP(A44,[12]進出口值表查詢結果!$A$10:$C$47,2,0)</f>
        <v>3569241</v>
      </c>
      <c r="G44" s="514">
        <f t="shared" si="2"/>
        <v>-0.29026171110328497</v>
      </c>
      <c r="H44" s="87">
        <f t="shared" si="9"/>
        <v>1748.2587991718426</v>
      </c>
      <c r="I44" s="88">
        <f t="shared" si="10"/>
        <v>1701.2588179218303</v>
      </c>
      <c r="J44" s="516">
        <f t="shared" si="0"/>
        <v>2.7626590824919302E-2</v>
      </c>
    </row>
    <row r="45" spans="1:10">
      <c r="A45" s="292" t="s">
        <v>278</v>
      </c>
      <c r="B45" s="294">
        <f>電輔車!E45</f>
        <v>45</v>
      </c>
      <c r="C45" s="89">
        <v>0</v>
      </c>
      <c r="D45" s="515">
        <f t="shared" si="1"/>
        <v>0</v>
      </c>
      <c r="E45" s="294">
        <f>電輔車!G45</f>
        <v>109850</v>
      </c>
      <c r="F45" s="90">
        <f>_xlfn.IFNA(VLOOKUP(A45,[3]電同!$C$3:$G$576,3,0),-[4]整車!$B$22)</f>
        <v>0</v>
      </c>
      <c r="G45" s="514">
        <f t="shared" si="2"/>
        <v>0</v>
      </c>
      <c r="H45" s="87">
        <f t="shared" si="9"/>
        <v>2441.1111111111113</v>
      </c>
      <c r="I45" s="88">
        <f t="shared" si="10"/>
        <v>0</v>
      </c>
      <c r="J45" s="516">
        <f t="shared" si="0"/>
        <v>0</v>
      </c>
    </row>
    <row r="46" spans="1:10">
      <c r="A46" s="295" t="s">
        <v>20</v>
      </c>
      <c r="B46" s="294">
        <f>電輔車!E46</f>
        <v>0</v>
      </c>
      <c r="C46" s="89">
        <v>0</v>
      </c>
      <c r="D46" s="515">
        <f t="shared" si="1"/>
        <v>0</v>
      </c>
      <c r="E46" s="294">
        <f>電輔車!G46</f>
        <v>0</v>
      </c>
      <c r="F46" s="90">
        <f>_xlfn.IFNA(VLOOKUP(A46,[3]電同!$C$3:$G$576,3,0),-[4]整車!$B$22)</f>
        <v>0</v>
      </c>
      <c r="G46" s="514">
        <f t="shared" si="2"/>
        <v>0</v>
      </c>
      <c r="H46" s="87">
        <f t="shared" si="9"/>
        <v>0</v>
      </c>
      <c r="I46" s="88">
        <f t="shared" si="10"/>
        <v>0</v>
      </c>
      <c r="J46" s="516">
        <f t="shared" si="0"/>
        <v>0</v>
      </c>
    </row>
    <row r="47" spans="1:10">
      <c r="A47" s="295"/>
      <c r="B47" s="294"/>
      <c r="C47" s="503"/>
      <c r="D47" s="515"/>
      <c r="E47" s="294"/>
      <c r="F47" s="90"/>
      <c r="G47" s="514"/>
      <c r="H47" s="87"/>
      <c r="I47" s="88"/>
      <c r="J47" s="516"/>
    </row>
    <row r="48" spans="1:10">
      <c r="A48" s="298" t="s">
        <v>21</v>
      </c>
      <c r="B48" s="297">
        <f>SUM(B49:B62)</f>
        <v>5805</v>
      </c>
      <c r="C48" s="504">
        <f>SUM(C49:C62)</f>
        <v>21302</v>
      </c>
      <c r="D48" s="515">
        <f t="shared" si="1"/>
        <v>-0.72749037649047033</v>
      </c>
      <c r="E48" s="297">
        <f>SUM(E49:E62)</f>
        <v>11355626</v>
      </c>
      <c r="F48" s="91">
        <f>SUM(F49:F62)</f>
        <v>34781272</v>
      </c>
      <c r="G48" s="514">
        <f t="shared" si="2"/>
        <v>-0.67351320561249173</v>
      </c>
      <c r="H48" s="87">
        <f t="shared" si="9"/>
        <v>1956.1801894918174</v>
      </c>
      <c r="I48" s="88">
        <f t="shared" si="10"/>
        <v>1632.7702563139612</v>
      </c>
      <c r="J48" s="516">
        <f t="shared" si="0"/>
        <v>0.19807436589882887</v>
      </c>
    </row>
    <row r="49" spans="1:10">
      <c r="A49" s="298" t="s">
        <v>163</v>
      </c>
      <c r="B49" s="294">
        <f>電輔車!E49</f>
        <v>2888</v>
      </c>
      <c r="C49" s="89">
        <f>VLOOKUP(A49,[12]進出口值表查詢結果!$A$10:$C$47,3,0)</f>
        <v>11410</v>
      </c>
      <c r="D49" s="515">
        <f t="shared" si="1"/>
        <v>-0.74688869412795789</v>
      </c>
      <c r="E49" s="294">
        <f>電輔車!G49</f>
        <v>5283005</v>
      </c>
      <c r="F49" s="90">
        <f>VLOOKUP(A49,[12]進出口值表查詢結果!$A$10:$C$47,2,0)</f>
        <v>15817751</v>
      </c>
      <c r="G49" s="514">
        <f t="shared" si="2"/>
        <v>-0.66600782879942921</v>
      </c>
      <c r="H49" s="87">
        <f t="shared" si="9"/>
        <v>1829.2953601108034</v>
      </c>
      <c r="I49" s="88">
        <f>IF(C49,F49/C49,0)</f>
        <v>1386.3059596844873</v>
      </c>
      <c r="J49" s="516">
        <f t="shared" si="0"/>
        <v>0.31954663206319694</v>
      </c>
    </row>
    <row r="50" spans="1:10">
      <c r="A50" s="455" t="s">
        <v>388</v>
      </c>
      <c r="B50" s="294">
        <f>電輔車!E50</f>
        <v>812</v>
      </c>
      <c r="C50" s="89">
        <f>VLOOKUP(A50,[12]進出口值表查詢結果!$A$10:$C$47,3,0)</f>
        <v>2017</v>
      </c>
      <c r="D50" s="515">
        <f t="shared" si="1"/>
        <v>-0.59742191373326725</v>
      </c>
      <c r="E50" s="294">
        <f>電輔車!G50</f>
        <v>834377</v>
      </c>
      <c r="F50" s="90">
        <f>VLOOKUP(A50,[12]進出口值表查詢結果!$A$10:$C$47,2,0)</f>
        <v>2406041</v>
      </c>
      <c r="G50" s="514">
        <f t="shared" si="2"/>
        <v>-0.65321580139324309</v>
      </c>
      <c r="H50" s="87">
        <f t="shared" si="9"/>
        <v>1027.557881773399</v>
      </c>
      <c r="I50" s="88">
        <f t="shared" si="10"/>
        <v>1192.8810114030739</v>
      </c>
      <c r="J50" s="516">
        <f t="shared" si="0"/>
        <v>-0.13859146725390559</v>
      </c>
    </row>
    <row r="51" spans="1:10">
      <c r="A51" s="455" t="s">
        <v>389</v>
      </c>
      <c r="B51" s="294">
        <f>電輔車!E51</f>
        <v>0</v>
      </c>
      <c r="C51" s="89">
        <v>0</v>
      </c>
      <c r="D51" s="515">
        <f t="shared" si="1"/>
        <v>0</v>
      </c>
      <c r="E51" s="294">
        <f>電輔車!G51</f>
        <v>0</v>
      </c>
      <c r="F51" s="90">
        <f>_xlfn.IFNA(VLOOKUP(A51,[3]電同!$C$3:$G$756,3,0),-[4]整車!$B$22)</f>
        <v>0</v>
      </c>
      <c r="G51" s="514">
        <f t="shared" si="2"/>
        <v>0</v>
      </c>
      <c r="H51" s="87">
        <f t="shared" si="9"/>
        <v>0</v>
      </c>
      <c r="I51" s="88">
        <f t="shared" si="10"/>
        <v>0</v>
      </c>
      <c r="J51" s="516">
        <f t="shared" si="0"/>
        <v>0</v>
      </c>
    </row>
    <row r="52" spans="1:10">
      <c r="A52" s="455" t="s">
        <v>301</v>
      </c>
      <c r="B52" s="294">
        <f>電輔車!E52</f>
        <v>1</v>
      </c>
      <c r="C52" s="89">
        <f>VLOOKUP(A52,[12]進出口值表查詢結果!$A$10:$C$47,3,0)</f>
        <v>145</v>
      </c>
      <c r="D52" s="515">
        <f t="shared" si="1"/>
        <v>-0.99310344827586206</v>
      </c>
      <c r="E52" s="294">
        <f>電輔車!G52</f>
        <v>1849</v>
      </c>
      <c r="F52" s="90">
        <f>VLOOKUP(A52,[12]進出口值表查詢結果!$A$10:$C$47,2,0)</f>
        <v>341334</v>
      </c>
      <c r="G52" s="514">
        <f t="shared" si="2"/>
        <v>-0.99458301839254215</v>
      </c>
      <c r="H52" s="87">
        <f t="shared" si="9"/>
        <v>1849</v>
      </c>
      <c r="I52" s="88">
        <f t="shared" si="10"/>
        <v>2354.0275862068966</v>
      </c>
      <c r="J52" s="516">
        <f t="shared" si="0"/>
        <v>-0.21453766691861931</v>
      </c>
    </row>
    <row r="53" spans="1:10">
      <c r="A53" s="456" t="s">
        <v>22</v>
      </c>
      <c r="B53" s="294">
        <f>電輔車!E53</f>
        <v>0</v>
      </c>
      <c r="C53" s="89">
        <v>0</v>
      </c>
      <c r="D53" s="515">
        <f t="shared" si="1"/>
        <v>0</v>
      </c>
      <c r="E53" s="294">
        <f>電輔車!G53</f>
        <v>0</v>
      </c>
      <c r="F53" s="90">
        <f>_xlfn.IFNA(VLOOKUP(A53,[3]電同!$C$3:$G$756,3,0),-[4]整車!$B$22)</f>
        <v>0</v>
      </c>
      <c r="G53" s="514">
        <f t="shared" si="2"/>
        <v>0</v>
      </c>
      <c r="H53" s="87">
        <f t="shared" si="9"/>
        <v>0</v>
      </c>
      <c r="I53" s="88">
        <f t="shared" si="10"/>
        <v>0</v>
      </c>
      <c r="J53" s="516">
        <f t="shared" si="0"/>
        <v>0</v>
      </c>
    </row>
    <row r="54" spans="1:10">
      <c r="A54" s="455" t="s">
        <v>307</v>
      </c>
      <c r="B54" s="294">
        <f>電輔車!E54</f>
        <v>0</v>
      </c>
      <c r="C54" s="89">
        <f>VLOOKUP(A54,[12]進出口值表查詢結果!$A$10:$C$47,3,0)</f>
        <v>369</v>
      </c>
      <c r="D54" s="515">
        <f t="shared" si="1"/>
        <v>-1</v>
      </c>
      <c r="E54" s="294">
        <f>電輔車!G54</f>
        <v>0</v>
      </c>
      <c r="F54" s="90">
        <f>VLOOKUP(A54,[12]進出口值表查詢結果!$A$10:$C$47,2,0)</f>
        <v>948158</v>
      </c>
      <c r="G54" s="514">
        <f t="shared" si="2"/>
        <v>-1</v>
      </c>
      <c r="H54" s="87">
        <f t="shared" si="9"/>
        <v>0</v>
      </c>
      <c r="I54" s="88">
        <f t="shared" si="10"/>
        <v>2569.5338753387532</v>
      </c>
      <c r="J54" s="516">
        <f t="shared" si="0"/>
        <v>-1</v>
      </c>
    </row>
    <row r="55" spans="1:10">
      <c r="A55" s="456" t="s">
        <v>390</v>
      </c>
      <c r="B55" s="294">
        <f>電輔車!E55</f>
        <v>731</v>
      </c>
      <c r="C55" s="89">
        <f>VLOOKUP(A55,[12]進出口值表查詢結果!$A$10:$C$47,3,0)</f>
        <v>3277</v>
      </c>
      <c r="D55" s="515">
        <f t="shared" si="1"/>
        <v>-0.77693011901129083</v>
      </c>
      <c r="E55" s="294">
        <f>電輔車!G55</f>
        <v>1648288</v>
      </c>
      <c r="F55" s="90">
        <f>VLOOKUP(A55,[12]進出口值表查詢結果!$A$10:$C$47,2,0)</f>
        <v>6652329</v>
      </c>
      <c r="G55" s="514">
        <f t="shared" si="2"/>
        <v>-0.75222392037435315</v>
      </c>
      <c r="H55" s="87">
        <f t="shared" si="9"/>
        <v>2254.8399452804379</v>
      </c>
      <c r="I55" s="88">
        <f t="shared" si="10"/>
        <v>2030.0057979859628</v>
      </c>
      <c r="J55" s="516">
        <f t="shared" si="0"/>
        <v>0.11075542124930905</v>
      </c>
    </row>
    <row r="56" spans="1:10">
      <c r="A56" s="456" t="s">
        <v>23</v>
      </c>
      <c r="B56" s="294">
        <f>電輔車!E56</f>
        <v>0</v>
      </c>
      <c r="C56" s="89">
        <f>VLOOKUP(A56,[12]進出口值表查詢結果!$A$10:$C$47,3,0)</f>
        <v>59</v>
      </c>
      <c r="D56" s="515">
        <f t="shared" si="1"/>
        <v>-1</v>
      </c>
      <c r="E56" s="294">
        <f>電輔車!G56</f>
        <v>0</v>
      </c>
      <c r="F56" s="90">
        <f>VLOOKUP(A56,[12]進出口值表查詢結果!$A$10:$C$47,2,0)</f>
        <v>136209</v>
      </c>
      <c r="G56" s="514">
        <f t="shared" si="2"/>
        <v>-1</v>
      </c>
      <c r="H56" s="87">
        <f t="shared" si="9"/>
        <v>0</v>
      </c>
      <c r="I56" s="88">
        <f t="shared" si="10"/>
        <v>2308.6271186440677</v>
      </c>
      <c r="J56" s="516">
        <f t="shared" si="0"/>
        <v>-1</v>
      </c>
    </row>
    <row r="57" spans="1:10">
      <c r="A57" s="456" t="s">
        <v>243</v>
      </c>
      <c r="B57" s="294">
        <f>電輔車!E57</f>
        <v>0</v>
      </c>
      <c r="C57" s="89">
        <f>VLOOKUP(A57,[12]進出口值表查詢結果!$A$10:$C$47,3,0)</f>
        <v>97</v>
      </c>
      <c r="D57" s="515">
        <f t="shared" si="1"/>
        <v>-1</v>
      </c>
      <c r="E57" s="294">
        <f>電輔車!G57</f>
        <v>0</v>
      </c>
      <c r="F57" s="90">
        <f>VLOOKUP(A57,[12]進出口值表查詢結果!$A$10:$C$47,2,0)</f>
        <v>158972</v>
      </c>
      <c r="G57" s="514">
        <f t="shared" si="2"/>
        <v>-1</v>
      </c>
      <c r="H57" s="87">
        <f t="shared" si="9"/>
        <v>0</v>
      </c>
      <c r="I57" s="88">
        <f t="shared" si="10"/>
        <v>1638.8865979381444</v>
      </c>
      <c r="J57" s="516">
        <f t="shared" si="0"/>
        <v>-1</v>
      </c>
    </row>
    <row r="58" spans="1:10">
      <c r="A58" s="456" t="s">
        <v>236</v>
      </c>
      <c r="B58" s="294">
        <f>電輔車!E58</f>
        <v>397</v>
      </c>
      <c r="C58" s="89">
        <f>VLOOKUP(A58,[12]進出口值表查詢結果!$A$10:$C$47,3,0)</f>
        <v>704</v>
      </c>
      <c r="D58" s="515">
        <f t="shared" si="1"/>
        <v>-0.43607954545454547</v>
      </c>
      <c r="E58" s="294">
        <f>電輔車!G58</f>
        <v>998927</v>
      </c>
      <c r="F58" s="90">
        <f>VLOOKUP(A58,[12]進出口值表查詢結果!$A$10:$C$47,2,0)</f>
        <v>1545376</v>
      </c>
      <c r="G58" s="514">
        <f t="shared" si="2"/>
        <v>-0.35360261839189944</v>
      </c>
      <c r="H58" s="87">
        <f t="shared" si="9"/>
        <v>2516.1889168765742</v>
      </c>
      <c r="I58" s="88">
        <f t="shared" si="10"/>
        <v>2195.1363636363635</v>
      </c>
      <c r="J58" s="516">
        <f t="shared" si="0"/>
        <v>0.1462563139851456</v>
      </c>
    </row>
    <row r="59" spans="1:10">
      <c r="A59" s="456" t="s">
        <v>281</v>
      </c>
      <c r="B59" s="294">
        <f>電輔車!E59</f>
        <v>0</v>
      </c>
      <c r="C59" s="89">
        <v>0</v>
      </c>
      <c r="D59" s="515">
        <f t="shared" si="1"/>
        <v>0</v>
      </c>
      <c r="E59" s="294">
        <f>電輔車!G59</f>
        <v>0</v>
      </c>
      <c r="F59" s="90">
        <v>0</v>
      </c>
      <c r="G59" s="514">
        <f t="shared" si="2"/>
        <v>0</v>
      </c>
      <c r="H59" s="87">
        <f t="shared" si="9"/>
        <v>0</v>
      </c>
      <c r="I59" s="88">
        <f t="shared" si="10"/>
        <v>0</v>
      </c>
      <c r="J59" s="516">
        <f t="shared" si="0"/>
        <v>0</v>
      </c>
    </row>
    <row r="60" spans="1:10">
      <c r="A60" s="456" t="s">
        <v>286</v>
      </c>
      <c r="B60" s="294">
        <f>電輔車!E60</f>
        <v>0</v>
      </c>
      <c r="C60" s="89">
        <v>0</v>
      </c>
      <c r="D60" s="515">
        <f t="shared" si="1"/>
        <v>0</v>
      </c>
      <c r="E60" s="294">
        <f>電輔車!G60</f>
        <v>0</v>
      </c>
      <c r="F60" s="90">
        <f>_xlfn.IFNA(VLOOKUP(A60,[3]電同!$C$3:$G$756,3,0),-[4]整車!$B$22)</f>
        <v>0</v>
      </c>
      <c r="G60" s="514">
        <f t="shared" si="2"/>
        <v>0</v>
      </c>
      <c r="H60" s="87">
        <f t="shared" si="9"/>
        <v>0</v>
      </c>
      <c r="I60" s="88">
        <f t="shared" si="10"/>
        <v>0</v>
      </c>
      <c r="J60" s="516">
        <f t="shared" si="0"/>
        <v>0</v>
      </c>
    </row>
    <row r="61" spans="1:10">
      <c r="A61" s="456" t="s">
        <v>292</v>
      </c>
      <c r="B61" s="294">
        <f>電輔車!E61</f>
        <v>555</v>
      </c>
      <c r="C61" s="89">
        <f>VLOOKUP(A61,[12]進出口值表查詢結果!$A$10:$C$47,3,0)</f>
        <v>2880</v>
      </c>
      <c r="D61" s="515">
        <f t="shared" si="1"/>
        <v>-0.80729166666666663</v>
      </c>
      <c r="E61" s="294">
        <f>電輔車!G61</f>
        <v>1501043</v>
      </c>
      <c r="F61" s="90">
        <f>VLOOKUP(A61,[12]進出口值表查詢結果!$A$10:$C$47,2,0)</f>
        <v>5970183</v>
      </c>
      <c r="G61" s="514">
        <f t="shared" si="2"/>
        <v>-0.74857671867009767</v>
      </c>
      <c r="H61" s="87">
        <f t="shared" si="9"/>
        <v>2704.5819819819822</v>
      </c>
      <c r="I61" s="88">
        <f t="shared" si="10"/>
        <v>2072.9802083333334</v>
      </c>
      <c r="J61" s="516">
        <f t="shared" si="0"/>
        <v>0.30468297338760109</v>
      </c>
    </row>
    <row r="62" spans="1:10">
      <c r="A62" s="456" t="s">
        <v>340</v>
      </c>
      <c r="B62" s="294">
        <f>電輔車!E62</f>
        <v>421</v>
      </c>
      <c r="C62" s="89">
        <f>VLOOKUP(A62,[12]進出口值表查詢結果!$A$10:$C$47,3,0)</f>
        <v>344</v>
      </c>
      <c r="D62" s="515">
        <f t="shared" si="1"/>
        <v>0.22383720930232559</v>
      </c>
      <c r="E62" s="294">
        <f>電輔車!G62</f>
        <v>1088137</v>
      </c>
      <c r="F62" s="90">
        <f>VLOOKUP(A62,[12]進出口值表查詢結果!$A$10:$C$47,2,0)</f>
        <v>804919</v>
      </c>
      <c r="G62" s="514">
        <f t="shared" si="2"/>
        <v>0.3518590069311322</v>
      </c>
      <c r="H62" s="87">
        <f t="shared" si="9"/>
        <v>2584.648456057007</v>
      </c>
      <c r="I62" s="88">
        <f t="shared" si="10"/>
        <v>2339.8808139534885</v>
      </c>
      <c r="J62" s="516">
        <f t="shared" si="0"/>
        <v>0.1046068845233003</v>
      </c>
    </row>
    <row r="63" spans="1:10">
      <c r="A63" s="295" t="s">
        <v>29</v>
      </c>
      <c r="B63" s="294">
        <f>B64-B48-B42-B13-B8</f>
        <v>917</v>
      </c>
      <c r="C63" s="90">
        <f>C64-C48-C42-C13-C8</f>
        <v>543</v>
      </c>
      <c r="D63" s="515">
        <f t="shared" si="1"/>
        <v>0.68876611418047884</v>
      </c>
      <c r="E63" s="294">
        <f>E64-E48-E42-E13-E8</f>
        <v>2316774</v>
      </c>
      <c r="F63" s="90">
        <f>F64-F48-F42-F13-F8</f>
        <v>1343304</v>
      </c>
      <c r="G63" s="514">
        <f t="shared" si="2"/>
        <v>0.72468331814689746</v>
      </c>
      <c r="H63" s="87">
        <f t="shared" si="9"/>
        <v>2526.4711014176664</v>
      </c>
      <c r="I63" s="88">
        <f t="shared" si="10"/>
        <v>2473.8563535911603</v>
      </c>
      <c r="J63" s="516">
        <f t="shared" si="0"/>
        <v>2.1268311618064729E-2</v>
      </c>
    </row>
    <row r="64" spans="1:10">
      <c r="A64" s="296" t="s">
        <v>405</v>
      </c>
      <c r="B64" s="297">
        <f>電輔車!E64</f>
        <v>66914</v>
      </c>
      <c r="C64" s="89">
        <f>VLOOKUP(A64,[12]進出口值表查詢結果!$A$10:$C$47,3,0)</f>
        <v>170910</v>
      </c>
      <c r="D64" s="515">
        <f t="shared" si="1"/>
        <v>-0.6084839974255456</v>
      </c>
      <c r="E64" s="294">
        <f>電輔車!G64</f>
        <v>123201621</v>
      </c>
      <c r="F64" s="90">
        <f>VLOOKUP(A64,[12]進出口值表查詢結果!$A$10:$C$47,2,0)</f>
        <v>272103046</v>
      </c>
      <c r="G64" s="514">
        <f t="shared" si="2"/>
        <v>-0.54722439601062023</v>
      </c>
      <c r="H64" s="87">
        <f t="shared" ref="H64" si="11">E64/B64</f>
        <v>1841.1934871626268</v>
      </c>
      <c r="I64" s="88">
        <f t="shared" ref="I64" si="12">F64/C64</f>
        <v>1592.0838218945644</v>
      </c>
      <c r="J64" s="516">
        <f t="shared" si="0"/>
        <v>0.15646768206690542</v>
      </c>
    </row>
    <row r="65" spans="1:7">
      <c r="A65" s="299"/>
      <c r="B65" s="300"/>
      <c r="C65" s="301"/>
      <c r="D65" s="302"/>
      <c r="E65" s="300"/>
      <c r="F65" s="301"/>
      <c r="G65" s="302"/>
    </row>
    <row r="66" spans="1:7" ht="13.5" customHeight="1">
      <c r="A66" s="303" t="s">
        <v>60</v>
      </c>
    </row>
  </sheetData>
  <phoneticPr fontId="3" type="noConversion"/>
  <conditionalFormatting sqref="D1:D5">
    <cfRule type="cellIs" dxfId="64" priority="3" operator="greaterThanOrEqual">
      <formula>0</formula>
    </cfRule>
    <cfRule type="cellIs" dxfId="63" priority="4" operator="lessThan">
      <formula>0</formula>
    </cfRule>
  </conditionalFormatting>
  <conditionalFormatting sqref="D7:D1048576">
    <cfRule type="cellIs" dxfId="62" priority="43" operator="greaterThanOrEqual">
      <formula>0</formula>
    </cfRule>
    <cfRule type="cellIs" dxfId="61" priority="44" operator="lessThan">
      <formula>0</formula>
    </cfRule>
  </conditionalFormatting>
  <conditionalFormatting sqref="G1:G5">
    <cfRule type="cellIs" dxfId="60" priority="1" operator="greaterThanOrEqual">
      <formula>0</formula>
    </cfRule>
    <cfRule type="cellIs" dxfId="59" priority="2" operator="lessThan">
      <formula>0</formula>
    </cfRule>
  </conditionalFormatting>
  <conditionalFormatting sqref="G7:G1048576 J7:J1048576">
    <cfRule type="cellIs" dxfId="58" priority="5" operator="greaterThanOrEqual">
      <formula>0</formula>
    </cfRule>
    <cfRule type="cellIs" dxfId="57" priority="6" operator="lessThan">
      <formula>0</formula>
    </cfRule>
  </conditionalFormatting>
  <conditionalFormatting sqref="J1:J4">
    <cfRule type="cellIs" dxfId="56" priority="39" operator="greaterThanOrEqual">
      <formula>0</formula>
    </cfRule>
    <cfRule type="cellIs" dxfId="55" priority="40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2"/>
  <sheetViews>
    <sheetView topLeftCell="A55" workbookViewId="0">
      <selection activeCell="G68" sqref="G68"/>
    </sheetView>
  </sheetViews>
  <sheetFormatPr defaultRowHeight="16.5"/>
  <cols>
    <col min="1" max="1" width="18.25" style="5" customWidth="1"/>
    <col min="2" max="2" width="10.5" style="96" bestFit="1" customWidth="1"/>
    <col min="3" max="3" width="14.375" style="5" customWidth="1"/>
    <col min="4" max="4" width="10.5" style="96" bestFit="1" customWidth="1"/>
    <col min="5" max="5" width="11.875" style="5" customWidth="1"/>
    <col min="6" max="6" width="8.875" style="96" customWidth="1"/>
    <col min="7" max="7" width="12.625" style="96" customWidth="1"/>
    <col min="8" max="8" width="9.125" style="5" customWidth="1"/>
    <col min="9" max="9" width="9.5" style="96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185" customFormat="1" ht="19.5">
      <c r="A1" s="184"/>
      <c r="C1" s="186" t="s">
        <v>501</v>
      </c>
    </row>
    <row r="2" spans="1:9" ht="12.75" customHeight="1"/>
    <row r="3" spans="1:9" s="7" customFormat="1" ht="15.75">
      <c r="A3" s="112" t="s">
        <v>156</v>
      </c>
      <c r="B3" s="187"/>
      <c r="C3" s="63"/>
      <c r="D3" s="188"/>
      <c r="E3" s="63"/>
      <c r="F3" s="187"/>
      <c r="G3" s="187"/>
      <c r="H3" s="63"/>
      <c r="I3" s="188"/>
    </row>
    <row r="4" spans="1:9" s="13" customFormat="1">
      <c r="A4" s="8" t="s">
        <v>490</v>
      </c>
      <c r="B4" s="8" t="s">
        <v>491</v>
      </c>
      <c r="C4" s="8" t="s">
        <v>492</v>
      </c>
      <c r="D4" s="9" t="s">
        <v>0</v>
      </c>
      <c r="E4" s="10" t="s">
        <v>493</v>
      </c>
      <c r="F4" s="11" t="s">
        <v>1</v>
      </c>
      <c r="G4" s="8" t="s">
        <v>494</v>
      </c>
      <c r="H4" s="11" t="s">
        <v>1</v>
      </c>
      <c r="I4" s="189" t="s">
        <v>0</v>
      </c>
    </row>
    <row r="5" spans="1:9" s="13" customFormat="1">
      <c r="A5" s="14"/>
      <c r="B5" s="14" t="s">
        <v>2</v>
      </c>
      <c r="C5" s="8" t="s">
        <v>3</v>
      </c>
      <c r="D5" s="11" t="s">
        <v>3</v>
      </c>
      <c r="E5" s="11" t="s">
        <v>2</v>
      </c>
      <c r="F5" s="11"/>
      <c r="G5" s="8" t="s">
        <v>116</v>
      </c>
      <c r="H5" s="8"/>
      <c r="I5" s="190" t="s">
        <v>3</v>
      </c>
    </row>
    <row r="6" spans="1:9" ht="18.600000000000001" customHeight="1">
      <c r="A6" s="173" t="s">
        <v>4</v>
      </c>
      <c r="B6" s="191"/>
      <c r="C6" s="17"/>
      <c r="D6" s="192"/>
      <c r="E6" s="17"/>
      <c r="F6" s="192"/>
      <c r="G6" s="192"/>
      <c r="H6" s="17"/>
      <c r="I6" s="193"/>
    </row>
    <row r="7" spans="1:9">
      <c r="A7" s="20" t="s">
        <v>5</v>
      </c>
      <c r="B7" s="194">
        <f>SUM(B8:B10)</f>
        <v>0</v>
      </c>
      <c r="C7" s="22">
        <f>SUM(C8:C10)</f>
        <v>0</v>
      </c>
      <c r="D7" s="195">
        <f>IF(B7,C7/B7,0)</f>
        <v>0</v>
      </c>
      <c r="E7" s="22">
        <f>SUM(E8:E10)</f>
        <v>0</v>
      </c>
      <c r="F7" s="196">
        <f>E7/$E$68</f>
        <v>0</v>
      </c>
      <c r="G7" s="197">
        <f>SUM(G8:G10)</f>
        <v>0</v>
      </c>
      <c r="H7" s="24">
        <f>G7/$G$68</f>
        <v>0</v>
      </c>
      <c r="I7" s="198">
        <f>IF(E7,G7/E7,0)</f>
        <v>0</v>
      </c>
    </row>
    <row r="8" spans="1:9">
      <c r="A8" s="26" t="s">
        <v>383</v>
      </c>
      <c r="B8" s="199"/>
      <c r="C8" s="28">
        <f>_xlfn.IFNA(VLOOKUP(A8,[3]折!$C$3:$F$99,3,0),-[4]整車!$B$22)</f>
        <v>0</v>
      </c>
      <c r="D8" s="195">
        <f t="shared" ref="D8:D67" si="0">IF(B8,C8/B8,0)</f>
        <v>0</v>
      </c>
      <c r="E8" s="28">
        <f>_xlfn.IFNA(VLOOKUP(A8,[3]折同!$C$3:$H$352,6,0),-[4]整車!$B$22)</f>
        <v>0</v>
      </c>
      <c r="F8" s="196">
        <f>E8/$E$68</f>
        <v>0</v>
      </c>
      <c r="G8" s="199">
        <f>_xlfn.IFNA(VLOOKUP(A8,[3]折同!$C$3:$H$532,4,0),-[4]整車!$B$22)</f>
        <v>0</v>
      </c>
      <c r="H8" s="24">
        <f>G8/$G$68</f>
        <v>0</v>
      </c>
      <c r="I8" s="198">
        <f t="shared" ref="I8:I67" si="1">IF(E8,G8/E8,0)</f>
        <v>0</v>
      </c>
    </row>
    <row r="9" spans="1:9">
      <c r="A9" s="30" t="s">
        <v>6</v>
      </c>
      <c r="B9" s="199">
        <f>_xlfn.IFNA(VLOOKUP(A9,[3]折!$C$3:$F$95,4,0),-[4]整車!$B$22)</f>
        <v>0</v>
      </c>
      <c r="C9" s="28">
        <f>_xlfn.IFNA(VLOOKUP(A9,[3]折!$C$3:$F$99,3,0),-[4]整車!$B$22)</f>
        <v>0</v>
      </c>
      <c r="D9" s="195">
        <f t="shared" si="0"/>
        <v>0</v>
      </c>
      <c r="E9" s="28">
        <f>_xlfn.IFNA(VLOOKUP(A9,[3]折同!$C$3:$H$352,6,0),-[4]整車!$B$22)</f>
        <v>0</v>
      </c>
      <c r="F9" s="196">
        <f>E9/$E$68</f>
        <v>0</v>
      </c>
      <c r="G9" s="199">
        <f>_xlfn.IFNA(VLOOKUP(A9,[3]折同!$C$3:$H$532,4,0),-[4]整車!$B$22)</f>
        <v>0</v>
      </c>
      <c r="H9" s="24">
        <f>G9/$G$68</f>
        <v>0</v>
      </c>
      <c r="I9" s="198">
        <f t="shared" si="1"/>
        <v>0</v>
      </c>
    </row>
    <row r="10" spans="1:9">
      <c r="A10" s="30" t="s">
        <v>7</v>
      </c>
      <c r="B10" s="199">
        <f>_xlfn.IFNA(VLOOKUP(A10,[3]折!$C$3:$F$95,4,0),-[4]整車!$B$22)</f>
        <v>0</v>
      </c>
      <c r="C10" s="28">
        <f>_xlfn.IFNA(VLOOKUP(A10,[3]折!$C$3:$F$99,3,0),-[4]整車!$B$22)</f>
        <v>0</v>
      </c>
      <c r="D10" s="195">
        <f t="shared" si="0"/>
        <v>0</v>
      </c>
      <c r="E10" s="28">
        <f>_xlfn.IFNA(VLOOKUP(A10,[3]折同!$C$3:$H$352,6,0),-[4]整車!$B$22)</f>
        <v>0</v>
      </c>
      <c r="F10" s="196">
        <f>E10/$E$68</f>
        <v>0</v>
      </c>
      <c r="G10" s="199">
        <f>_xlfn.IFNA(VLOOKUP(A10,[3]折同!$C$3:$H$532,4,0),-[4]整車!$B$22)</f>
        <v>0</v>
      </c>
      <c r="H10" s="24">
        <f>G10/$G$68</f>
        <v>0</v>
      </c>
      <c r="I10" s="198">
        <f t="shared" si="1"/>
        <v>0</v>
      </c>
    </row>
    <row r="11" spans="1:9">
      <c r="A11" s="31"/>
      <c r="B11" s="199"/>
      <c r="C11" s="28"/>
      <c r="D11" s="195"/>
      <c r="E11" s="27"/>
      <c r="F11" s="200"/>
      <c r="G11" s="199"/>
      <c r="H11" s="29"/>
      <c r="I11" s="198"/>
    </row>
    <row r="12" spans="1:9">
      <c r="A12" s="32" t="s">
        <v>8</v>
      </c>
      <c r="B12" s="201">
        <f>SUM(B13:B39)</f>
        <v>100</v>
      </c>
      <c r="C12" s="33">
        <f>SUM(C13:C39)</f>
        <v>40230</v>
      </c>
      <c r="D12" s="195">
        <f t="shared" si="0"/>
        <v>402.3</v>
      </c>
      <c r="E12" s="33">
        <f>SUM(E13:E39)</f>
        <v>100</v>
      </c>
      <c r="F12" s="196">
        <f t="shared" ref="F12:F13" si="2">E12/$E$68</f>
        <v>0.85470085470085466</v>
      </c>
      <c r="G12" s="201">
        <f>SUM(G13:G39)</f>
        <v>40230</v>
      </c>
      <c r="H12" s="24">
        <f>G12/$G$68</f>
        <v>0.69116585918977425</v>
      </c>
      <c r="I12" s="198">
        <f t="shared" si="1"/>
        <v>402.3</v>
      </c>
    </row>
    <row r="13" spans="1:9">
      <c r="A13" s="455" t="s">
        <v>202</v>
      </c>
      <c r="B13" s="199">
        <v>100</v>
      </c>
      <c r="C13" s="27">
        <v>40230</v>
      </c>
      <c r="D13" s="195">
        <f t="shared" si="0"/>
        <v>402.3</v>
      </c>
      <c r="E13" s="27">
        <v>100</v>
      </c>
      <c r="F13" s="196">
        <f t="shared" si="2"/>
        <v>0.85470085470085466</v>
      </c>
      <c r="G13" s="199">
        <v>40230</v>
      </c>
      <c r="H13" s="24">
        <f>G13/$G$68</f>
        <v>0.69116585918977425</v>
      </c>
      <c r="I13" s="198">
        <f t="shared" si="1"/>
        <v>402.3</v>
      </c>
    </row>
    <row r="14" spans="1:9">
      <c r="A14" s="455" t="s">
        <v>203</v>
      </c>
      <c r="B14" s="199">
        <f>_xlfn.IFNA(VLOOKUP(A14,[3]折!$C$3:$F$99,4,0),-[4]整車!$B$22)</f>
        <v>0</v>
      </c>
      <c r="C14" s="27">
        <f>_xlfn.IFNA(VLOOKUP(A14,[3]折!$C$3:$F$99,3,0),-[4]整車!$B$22)</f>
        <v>0</v>
      </c>
      <c r="D14" s="195">
        <f t="shared" ref="D14:D39" si="3">IF(B14,C14/B14,0)</f>
        <v>0</v>
      </c>
      <c r="E14" s="27">
        <f>_xlfn.IFNA(VLOOKUP(A14,[3]折同!$C$3:$H$362,6,0),-[4]整車!$B$22)</f>
        <v>0</v>
      </c>
      <c r="F14" s="196">
        <f t="shared" ref="F14:F39" si="4">E14/$E$68</f>
        <v>0</v>
      </c>
      <c r="G14" s="199">
        <f>_xlfn.IFNA(VLOOKUP(A14,[3]折同!$C$3:$H$312,4,0),-[4]整車!$B$22)</f>
        <v>0</v>
      </c>
      <c r="H14" s="24">
        <f t="shared" ref="H14:H39" si="5">G14/$G$68</f>
        <v>0</v>
      </c>
      <c r="I14" s="198">
        <f t="shared" ref="I14:I39" si="6">IF(E14,G14/E14,0)</f>
        <v>0</v>
      </c>
    </row>
    <row r="15" spans="1:9">
      <c r="A15" s="456" t="s">
        <v>9</v>
      </c>
      <c r="B15" s="199"/>
      <c r="C15" s="27"/>
      <c r="D15" s="195">
        <f t="shared" si="3"/>
        <v>0</v>
      </c>
      <c r="E15" s="27"/>
      <c r="F15" s="196">
        <f t="shared" si="4"/>
        <v>0</v>
      </c>
      <c r="G15" s="199"/>
      <c r="H15" s="24">
        <f t="shared" si="5"/>
        <v>0</v>
      </c>
      <c r="I15" s="198">
        <f t="shared" si="6"/>
        <v>0</v>
      </c>
    </row>
    <row r="16" spans="1:9">
      <c r="A16" s="455" t="s">
        <v>204</v>
      </c>
      <c r="B16" s="199">
        <f>_xlfn.IFNA(VLOOKUP(A16,[3]折!$C$3:$F$99,4,0),-[4]整車!$B$22)</f>
        <v>0</v>
      </c>
      <c r="C16" s="27">
        <f>_xlfn.IFNA(VLOOKUP(A16,[3]折!$C$3:$F$99,3,0),-[4]整車!$B$22)</f>
        <v>0</v>
      </c>
      <c r="D16" s="195">
        <f t="shared" si="3"/>
        <v>0</v>
      </c>
      <c r="E16" s="27">
        <f>_xlfn.IFNA(VLOOKUP(A16,[3]折同!$C$3:$H$362,6,0),-[4]整車!$B$22)</f>
        <v>0</v>
      </c>
      <c r="F16" s="196">
        <f t="shared" si="4"/>
        <v>0</v>
      </c>
      <c r="G16" s="199">
        <f>_xlfn.IFNA(VLOOKUP(A16,[3]折同!$C$3:$H$312,4,0),-[4]整車!$B$22)</f>
        <v>0</v>
      </c>
      <c r="H16" s="24">
        <f t="shared" si="5"/>
        <v>0</v>
      </c>
      <c r="I16" s="198">
        <f t="shared" si="6"/>
        <v>0</v>
      </c>
    </row>
    <row r="17" spans="1:9">
      <c r="A17" s="456" t="s">
        <v>10</v>
      </c>
      <c r="B17" s="199">
        <f>_xlfn.IFNA(VLOOKUP(A17,[3]折!$C$3:$F$99,4,0),-[4]整車!$B$22)</f>
        <v>0</v>
      </c>
      <c r="C17" s="27">
        <f>_xlfn.IFNA(VLOOKUP(A17,[3]折!$C$3:$F$99,3,0),-[4]整車!$B$22)</f>
        <v>0</v>
      </c>
      <c r="D17" s="195">
        <f t="shared" si="3"/>
        <v>0</v>
      </c>
      <c r="E17" s="27">
        <f>_xlfn.IFNA(VLOOKUP(A17,[3]折同!$C$3:$H$362,6,0),-[4]整車!$B$22)</f>
        <v>0</v>
      </c>
      <c r="F17" s="196">
        <f t="shared" si="4"/>
        <v>0</v>
      </c>
      <c r="G17" s="199">
        <f>_xlfn.IFNA(VLOOKUP(A17,[3]折同!$C$3:$H$312,4,0),-[4]整車!$B$22)</f>
        <v>0</v>
      </c>
      <c r="H17" s="24">
        <f t="shared" si="5"/>
        <v>0</v>
      </c>
      <c r="I17" s="198">
        <f t="shared" si="6"/>
        <v>0</v>
      </c>
    </row>
    <row r="18" spans="1:9">
      <c r="A18" s="456" t="s">
        <v>11</v>
      </c>
      <c r="B18" s="199">
        <f>_xlfn.IFNA(VLOOKUP(A18,[3]折!$C$3:$F$99,4,0),-[4]整車!$B$22)</f>
        <v>0</v>
      </c>
      <c r="C18" s="27">
        <f>_xlfn.IFNA(VLOOKUP(A18,[3]折!$C$3:$F$99,3,0),-[4]整車!$B$22)</f>
        <v>0</v>
      </c>
      <c r="D18" s="195">
        <f t="shared" si="3"/>
        <v>0</v>
      </c>
      <c r="E18" s="27">
        <f>_xlfn.IFNA(VLOOKUP(A18,[3]折同!$C$3:$H$362,6,0),-[4]整車!$B$22)</f>
        <v>0</v>
      </c>
      <c r="F18" s="196">
        <f t="shared" si="4"/>
        <v>0</v>
      </c>
      <c r="G18" s="199">
        <f>_xlfn.IFNA(VLOOKUP(A18,[3]折同!$C$3:$H$312,4,0),-[4]整車!$B$22)</f>
        <v>0</v>
      </c>
      <c r="H18" s="24">
        <f t="shared" si="5"/>
        <v>0</v>
      </c>
      <c r="I18" s="198">
        <f t="shared" si="6"/>
        <v>0</v>
      </c>
    </row>
    <row r="19" spans="1:9">
      <c r="A19" s="455" t="s">
        <v>205</v>
      </c>
      <c r="B19" s="199">
        <f>_xlfn.IFNA(VLOOKUP(A19,[3]折!$C$3:$F$99,4,0),-[4]整車!$B$22)</f>
        <v>0</v>
      </c>
      <c r="C19" s="27">
        <f>_xlfn.IFNA(VLOOKUP(A19,[3]折!$C$3:$F$99,3,0),-[4]整車!$B$22)</f>
        <v>0</v>
      </c>
      <c r="D19" s="195">
        <f t="shared" si="3"/>
        <v>0</v>
      </c>
      <c r="E19" s="27">
        <f>_xlfn.IFNA(VLOOKUP(A19,[3]折同!$C$3:$H$362,6,0),-[4]整車!$B$22)</f>
        <v>0</v>
      </c>
      <c r="F19" s="196">
        <f t="shared" si="4"/>
        <v>0</v>
      </c>
      <c r="G19" s="199">
        <f>_xlfn.IFNA(VLOOKUP(A19,[3]折同!$C$3:$H$312,4,0),-[4]整車!$B$22)</f>
        <v>0</v>
      </c>
      <c r="H19" s="24">
        <f t="shared" si="5"/>
        <v>0</v>
      </c>
      <c r="I19" s="198">
        <f t="shared" si="6"/>
        <v>0</v>
      </c>
    </row>
    <row r="20" spans="1:9">
      <c r="A20" s="456" t="s">
        <v>12</v>
      </c>
      <c r="B20" s="199">
        <f>_xlfn.IFNA(VLOOKUP(A20,[3]折!$C$3:$F$99,4,0),-[4]整車!$B$22)</f>
        <v>0</v>
      </c>
      <c r="C20" s="27">
        <f>_xlfn.IFNA(VLOOKUP(A20,[3]折!$C$3:$F$99,3,0),-[4]整車!$B$22)</f>
        <v>0</v>
      </c>
      <c r="D20" s="195">
        <f t="shared" si="3"/>
        <v>0</v>
      </c>
      <c r="E20" s="27">
        <f>_xlfn.IFNA(VLOOKUP(A20,[3]折同!$C$3:$H$362,6,0),-[4]整車!$B$22)</f>
        <v>0</v>
      </c>
      <c r="F20" s="196">
        <f t="shared" si="4"/>
        <v>0</v>
      </c>
      <c r="G20" s="199">
        <f>_xlfn.IFNA(VLOOKUP(A20,[3]折同!$C$3:$H$312,4,0),-[4]整車!$B$22)</f>
        <v>0</v>
      </c>
      <c r="H20" s="24">
        <f t="shared" si="5"/>
        <v>0</v>
      </c>
      <c r="I20" s="198">
        <f t="shared" si="6"/>
        <v>0</v>
      </c>
    </row>
    <row r="21" spans="1:9">
      <c r="A21" s="455" t="s">
        <v>207</v>
      </c>
      <c r="B21" s="199">
        <f>_xlfn.IFNA(VLOOKUP(A21,[3]折!$C$3:$F$99,4,0),-[4]整車!$B$22)</f>
        <v>0</v>
      </c>
      <c r="C21" s="27">
        <f>_xlfn.IFNA(VLOOKUP(A21,[3]折!$C$3:$F$99,3,0),-[4]整車!$B$22)</f>
        <v>0</v>
      </c>
      <c r="D21" s="195">
        <f t="shared" si="3"/>
        <v>0</v>
      </c>
      <c r="E21" s="27">
        <f>_xlfn.IFNA(VLOOKUP(A21,[3]折同!$C$3:$H$362,6,0),-[4]整車!$B$22)</f>
        <v>0</v>
      </c>
      <c r="F21" s="196">
        <f t="shared" si="4"/>
        <v>0</v>
      </c>
      <c r="G21" s="199">
        <f>_xlfn.IFNA(VLOOKUP(A21,[3]折同!$C$3:$H$312,4,0),-[4]整車!$B$22)</f>
        <v>0</v>
      </c>
      <c r="H21" s="24">
        <f t="shared" si="5"/>
        <v>0</v>
      </c>
      <c r="I21" s="198">
        <f t="shared" si="6"/>
        <v>0</v>
      </c>
    </row>
    <row r="22" spans="1:9">
      <c r="A22" s="456" t="s">
        <v>13</v>
      </c>
      <c r="B22" s="199">
        <f>_xlfn.IFNA(VLOOKUP(A22,[3]折!$C$3:$F$99,4,0),-[4]整車!$B$22)</f>
        <v>0</v>
      </c>
      <c r="C22" s="27">
        <f>_xlfn.IFNA(VLOOKUP(A22,[3]折!$C$3:$F$99,3,0),-[4]整車!$B$22)</f>
        <v>0</v>
      </c>
      <c r="D22" s="195">
        <f t="shared" si="3"/>
        <v>0</v>
      </c>
      <c r="E22" s="27">
        <f>_xlfn.IFNA(VLOOKUP(A22,[3]折同!$C$3:$H$362,6,0),-[4]整車!$B$22)</f>
        <v>0</v>
      </c>
      <c r="F22" s="196">
        <f t="shared" si="4"/>
        <v>0</v>
      </c>
      <c r="G22" s="199">
        <f>_xlfn.IFNA(VLOOKUP(A22,[3]折同!$C$3:$H$312,4,0),-[4]整車!$B$22)</f>
        <v>0</v>
      </c>
      <c r="H22" s="24">
        <f t="shared" si="5"/>
        <v>0</v>
      </c>
      <c r="I22" s="198">
        <f t="shared" si="6"/>
        <v>0</v>
      </c>
    </row>
    <row r="23" spans="1:9">
      <c r="A23" s="456" t="s">
        <v>14</v>
      </c>
      <c r="B23" s="199">
        <f>_xlfn.IFNA(VLOOKUP(A23,[3]折!$C$3:$F$99,4,0),-[4]整車!$B$22)</f>
        <v>0</v>
      </c>
      <c r="C23" s="27">
        <f>_xlfn.IFNA(VLOOKUP(A23,[3]折!$C$3:$F$99,3,0),-[4]整車!$B$22)</f>
        <v>0</v>
      </c>
      <c r="D23" s="195">
        <f t="shared" si="3"/>
        <v>0</v>
      </c>
      <c r="E23" s="27">
        <f>_xlfn.IFNA(VLOOKUP(A23,[3]折同!$C$3:$H$362,6,0),-[4]整車!$B$22)</f>
        <v>0</v>
      </c>
      <c r="F23" s="196">
        <f t="shared" si="4"/>
        <v>0</v>
      </c>
      <c r="G23" s="199">
        <f>_xlfn.IFNA(VLOOKUP(A23,[3]折同!$C$3:$H$312,4,0),-[4]整車!$B$22)</f>
        <v>0</v>
      </c>
      <c r="H23" s="24">
        <f t="shared" si="5"/>
        <v>0</v>
      </c>
      <c r="I23" s="198">
        <f t="shared" si="6"/>
        <v>0</v>
      </c>
    </row>
    <row r="24" spans="1:9">
      <c r="A24" s="456" t="s">
        <v>15</v>
      </c>
      <c r="B24" s="199">
        <f>_xlfn.IFNA(VLOOKUP(A24,[3]折!$C$3:$F$99,4,0),-[4]整車!$B$22)</f>
        <v>0</v>
      </c>
      <c r="C24" s="27">
        <f>_xlfn.IFNA(VLOOKUP(A24,[3]折!$C$3:$F$99,3,0),-[4]整車!$B$22)</f>
        <v>0</v>
      </c>
      <c r="D24" s="195">
        <f t="shared" si="3"/>
        <v>0</v>
      </c>
      <c r="E24" s="27">
        <f>_xlfn.IFNA(VLOOKUP(A24,[3]折同!$C$3:$H$362,6,0),-[4]整車!$B$22)</f>
        <v>0</v>
      </c>
      <c r="F24" s="196">
        <f t="shared" si="4"/>
        <v>0</v>
      </c>
      <c r="G24" s="199">
        <f>_xlfn.IFNA(VLOOKUP(A24,[3]折同!$C$3:$H$312,4,0),-[4]整車!$B$22)</f>
        <v>0</v>
      </c>
      <c r="H24" s="24">
        <f t="shared" si="5"/>
        <v>0</v>
      </c>
      <c r="I24" s="198">
        <f t="shared" si="6"/>
        <v>0</v>
      </c>
    </row>
    <row r="25" spans="1:9">
      <c r="A25" s="455" t="s">
        <v>208</v>
      </c>
      <c r="B25" s="199">
        <f>_xlfn.IFNA(VLOOKUP(A25,[3]折!$C$3:$F$99,4,0),-[4]整車!$B$22)</f>
        <v>0</v>
      </c>
      <c r="C25" s="27">
        <f>_xlfn.IFNA(VLOOKUP(A25,[3]折!$C$3:$F$99,3,0),-[4]整車!$B$22)</f>
        <v>0</v>
      </c>
      <c r="D25" s="195">
        <f t="shared" si="3"/>
        <v>0</v>
      </c>
      <c r="E25" s="27">
        <f>_xlfn.IFNA(VLOOKUP(A25,[3]折同!$C$3:$H$362,6,0),-[4]整車!$B$22)</f>
        <v>0</v>
      </c>
      <c r="F25" s="196">
        <f t="shared" si="4"/>
        <v>0</v>
      </c>
      <c r="G25" s="199">
        <f>_xlfn.IFNA(VLOOKUP(A25,[3]折同!$C$3:$H$312,4,0),-[4]整車!$B$22)</f>
        <v>0</v>
      </c>
      <c r="H25" s="24">
        <f t="shared" si="5"/>
        <v>0</v>
      </c>
      <c r="I25" s="198">
        <f t="shared" si="6"/>
        <v>0</v>
      </c>
    </row>
    <row r="26" spans="1:9">
      <c r="A26" s="455" t="s">
        <v>209</v>
      </c>
      <c r="B26" s="199">
        <f>_xlfn.IFNA(VLOOKUP(A26,[3]折!$C$3:$F$99,4,0),-[4]整車!$B$22)</f>
        <v>0</v>
      </c>
      <c r="C26" s="27">
        <f>_xlfn.IFNA(VLOOKUP(A26,[3]折!$C$3:$F$99,3,0),-[4]整車!$B$22)</f>
        <v>0</v>
      </c>
      <c r="D26" s="195">
        <f t="shared" si="3"/>
        <v>0</v>
      </c>
      <c r="E26" s="27">
        <f>_xlfn.IFNA(VLOOKUP(A26,[3]折同!$C$3:$H$362,6,0),-[4]整車!$B$22)</f>
        <v>0</v>
      </c>
      <c r="F26" s="196">
        <f t="shared" si="4"/>
        <v>0</v>
      </c>
      <c r="G26" s="199">
        <f>_xlfn.IFNA(VLOOKUP(A26,[3]折同!$C$3:$H$312,4,0),-[4]整車!$B$22)</f>
        <v>0</v>
      </c>
      <c r="H26" s="24">
        <f t="shared" si="5"/>
        <v>0</v>
      </c>
      <c r="I26" s="198">
        <f t="shared" si="6"/>
        <v>0</v>
      </c>
    </row>
    <row r="27" spans="1:9">
      <c r="A27" s="295" t="s">
        <v>210</v>
      </c>
      <c r="B27" s="199">
        <f>_xlfn.IFNA(VLOOKUP(A27,[3]折!$C$3:$F$99,4,0),-[4]整車!$B$22)</f>
        <v>0</v>
      </c>
      <c r="C27" s="27">
        <f>_xlfn.IFNA(VLOOKUP(A27,[3]折!$C$3:$F$99,3,0),-[4]整車!$B$22)</f>
        <v>0</v>
      </c>
      <c r="D27" s="195">
        <f t="shared" si="3"/>
        <v>0</v>
      </c>
      <c r="E27" s="27">
        <f>_xlfn.IFNA(VLOOKUP(A27,[3]折同!$C$3:$H$362,6,0),-[4]整車!$B$22)</f>
        <v>0</v>
      </c>
      <c r="F27" s="196">
        <f t="shared" si="4"/>
        <v>0</v>
      </c>
      <c r="G27" s="199">
        <f>_xlfn.IFNA(VLOOKUP(A27,[3]折同!$C$3:$H$312,4,0),-[4]整車!$B$22)</f>
        <v>0</v>
      </c>
      <c r="H27" s="24">
        <f t="shared" si="5"/>
        <v>0</v>
      </c>
      <c r="I27" s="198">
        <f t="shared" si="6"/>
        <v>0</v>
      </c>
    </row>
    <row r="28" spans="1:9">
      <c r="A28" s="295" t="s">
        <v>211</v>
      </c>
      <c r="B28" s="199">
        <f>_xlfn.IFNA(VLOOKUP(A28,[3]折!$C$3:$F$99,4,0),-[4]整車!$B$22)</f>
        <v>0</v>
      </c>
      <c r="C28" s="27">
        <f>_xlfn.IFNA(VLOOKUP(A28,[3]折!$C$3:$F$99,3,0),-[4]整車!$B$22)</f>
        <v>0</v>
      </c>
      <c r="D28" s="195">
        <f t="shared" si="3"/>
        <v>0</v>
      </c>
      <c r="E28" s="27">
        <f>_xlfn.IFNA(VLOOKUP(A28,[3]折同!$C$3:$H$362,6,0),-[4]整車!$B$22)</f>
        <v>0</v>
      </c>
      <c r="F28" s="196">
        <f t="shared" si="4"/>
        <v>0</v>
      </c>
      <c r="G28" s="199">
        <f>_xlfn.IFNA(VLOOKUP(A28,[3]折同!$C$3:$H$312,4,0),-[4]整車!$B$22)</f>
        <v>0</v>
      </c>
      <c r="H28" s="24">
        <f t="shared" si="5"/>
        <v>0</v>
      </c>
      <c r="I28" s="198">
        <f t="shared" si="6"/>
        <v>0</v>
      </c>
    </row>
    <row r="29" spans="1:9">
      <c r="A29" s="456" t="s">
        <v>212</v>
      </c>
      <c r="B29" s="199">
        <f>_xlfn.IFNA(VLOOKUP(A29,[3]折!$C$3:$F$99,4,0),-[4]整車!$B$22)</f>
        <v>0</v>
      </c>
      <c r="C29" s="27">
        <f>_xlfn.IFNA(VLOOKUP(A29,[3]折!$C$3:$F$99,3,0),-[4]整車!$B$22)</f>
        <v>0</v>
      </c>
      <c r="D29" s="195">
        <f t="shared" si="3"/>
        <v>0</v>
      </c>
      <c r="E29" s="27">
        <f>_xlfn.IFNA(VLOOKUP(A29,[3]折同!$C$3:$H$362,6,0),-[4]整車!$B$22)</f>
        <v>0</v>
      </c>
      <c r="F29" s="196">
        <f t="shared" si="4"/>
        <v>0</v>
      </c>
      <c r="G29" s="199">
        <f>_xlfn.IFNA(VLOOKUP(A29,[3]折同!$C$3:$H$312,4,0),-[4]整車!$B$22)</f>
        <v>0</v>
      </c>
      <c r="H29" s="24">
        <f t="shared" si="5"/>
        <v>0</v>
      </c>
      <c r="I29" s="198">
        <f t="shared" si="6"/>
        <v>0</v>
      </c>
    </row>
    <row r="30" spans="1:9">
      <c r="A30" s="456" t="s">
        <v>213</v>
      </c>
      <c r="B30" s="199">
        <f>_xlfn.IFNA(VLOOKUP(A30,[3]折!$C$3:$F$99,4,0),-[4]整車!$B$22)</f>
        <v>0</v>
      </c>
      <c r="C30" s="27">
        <f>_xlfn.IFNA(VLOOKUP(A30,[3]折!$C$3:$F$99,3,0),-[4]整車!$B$22)</f>
        <v>0</v>
      </c>
      <c r="D30" s="195">
        <f t="shared" si="3"/>
        <v>0</v>
      </c>
      <c r="E30" s="27">
        <f>_xlfn.IFNA(VLOOKUP(A30,[3]折同!$C$3:$H$362,6,0),-[4]整車!$B$22)</f>
        <v>0</v>
      </c>
      <c r="F30" s="196">
        <f t="shared" si="4"/>
        <v>0</v>
      </c>
      <c r="G30" s="199">
        <f>_xlfn.IFNA(VLOOKUP(A30,[3]折同!$C$3:$H$312,4,0),-[4]整車!$B$22)</f>
        <v>0</v>
      </c>
      <c r="H30" s="24">
        <f t="shared" si="5"/>
        <v>0</v>
      </c>
      <c r="I30" s="198">
        <f t="shared" si="6"/>
        <v>0</v>
      </c>
    </row>
    <row r="31" spans="1:9">
      <c r="A31" s="456" t="s">
        <v>16</v>
      </c>
      <c r="B31" s="199">
        <f>_xlfn.IFNA(VLOOKUP(A31,[3]折!$C$3:$F$99,4,0),-[4]整車!$B$22)</f>
        <v>0</v>
      </c>
      <c r="C31" s="27">
        <f>_xlfn.IFNA(VLOOKUP(A31,[3]折!$C$3:$F$99,3,0),-[4]整車!$B$22)</f>
        <v>0</v>
      </c>
      <c r="D31" s="195">
        <f t="shared" si="3"/>
        <v>0</v>
      </c>
      <c r="E31" s="27">
        <f>_xlfn.IFNA(VLOOKUP(A31,[3]折同!$C$3:$H$362,6,0),-[4]整車!$B$22)</f>
        <v>0</v>
      </c>
      <c r="F31" s="196">
        <f t="shared" si="4"/>
        <v>0</v>
      </c>
      <c r="G31" s="199">
        <f>_xlfn.IFNA(VLOOKUP(A31,[3]折同!$C$3:$H$312,4,0),-[4]整車!$B$22)</f>
        <v>0</v>
      </c>
      <c r="H31" s="24">
        <f t="shared" si="5"/>
        <v>0</v>
      </c>
      <c r="I31" s="198">
        <f t="shared" si="6"/>
        <v>0</v>
      </c>
    </row>
    <row r="32" spans="1:9">
      <c r="A32" s="456" t="s">
        <v>17</v>
      </c>
      <c r="B32" s="199">
        <f>_xlfn.IFNA(VLOOKUP(A32,[3]折!$C$3:$F$99,4,0),-[4]整車!$B$22)</f>
        <v>0</v>
      </c>
      <c r="C32" s="27">
        <f>_xlfn.IFNA(VLOOKUP(A32,[3]折!$C$3:$F$99,3,0),-[4]整車!$B$22)</f>
        <v>0</v>
      </c>
      <c r="D32" s="195">
        <f t="shared" si="3"/>
        <v>0</v>
      </c>
      <c r="E32" s="27">
        <f>_xlfn.IFNA(VLOOKUP(A32,[3]折同!$C$3:$H$362,6,0),-[4]整車!$B$22)</f>
        <v>0</v>
      </c>
      <c r="F32" s="196">
        <f t="shared" si="4"/>
        <v>0</v>
      </c>
      <c r="G32" s="199">
        <f>_xlfn.IFNA(VLOOKUP(A32,[3]折同!$C$3:$H$312,4,0),-[4]整車!$B$22)</f>
        <v>0</v>
      </c>
      <c r="H32" s="24">
        <f t="shared" si="5"/>
        <v>0</v>
      </c>
      <c r="I32" s="198">
        <f t="shared" si="6"/>
        <v>0</v>
      </c>
    </row>
    <row r="33" spans="1:9">
      <c r="A33" s="456" t="s">
        <v>214</v>
      </c>
      <c r="B33" s="199">
        <f>_xlfn.IFNA(VLOOKUP(A33,[3]折!$C$3:$F$99,4,0),-[4]整車!$B$22)</f>
        <v>0</v>
      </c>
      <c r="C33" s="27">
        <f>_xlfn.IFNA(VLOOKUP(A33,[3]折!$C$3:$F$99,3,0),-[4]整車!$B$22)</f>
        <v>0</v>
      </c>
      <c r="D33" s="195">
        <f t="shared" si="3"/>
        <v>0</v>
      </c>
      <c r="E33" s="27">
        <f>_xlfn.IFNA(VLOOKUP(A33,[3]折同!$C$3:$H$362,6,0),-[4]整車!$B$22)</f>
        <v>0</v>
      </c>
      <c r="F33" s="196">
        <f t="shared" si="4"/>
        <v>0</v>
      </c>
      <c r="G33" s="199">
        <f>_xlfn.IFNA(VLOOKUP(A33,[3]折同!$C$3:$H$312,4,0),-[4]整車!$B$22)</f>
        <v>0</v>
      </c>
      <c r="H33" s="24">
        <f t="shared" si="5"/>
        <v>0</v>
      </c>
      <c r="I33" s="198">
        <f t="shared" si="6"/>
        <v>0</v>
      </c>
    </row>
    <row r="34" spans="1:9">
      <c r="A34" s="456" t="s">
        <v>215</v>
      </c>
      <c r="B34" s="199">
        <f>_xlfn.IFNA(VLOOKUP(A34,[3]折!$C$3:$F$99,4,0),-[4]整車!$B$22)</f>
        <v>0</v>
      </c>
      <c r="C34" s="27">
        <f>_xlfn.IFNA(VLOOKUP(A34,[3]折!$C$3:$F$99,3,0),-[4]整車!$B$22)</f>
        <v>0</v>
      </c>
      <c r="D34" s="195">
        <f t="shared" si="3"/>
        <v>0</v>
      </c>
      <c r="E34" s="27">
        <f>_xlfn.IFNA(VLOOKUP(A34,[3]折同!$C$3:$H$362,6,0),-[4]整車!$B$22)</f>
        <v>0</v>
      </c>
      <c r="F34" s="196">
        <f t="shared" si="4"/>
        <v>0</v>
      </c>
      <c r="G34" s="199">
        <f>_xlfn.IFNA(VLOOKUP(A34,[3]折同!$C$3:$H$312,4,0),-[4]整車!$B$22)</f>
        <v>0</v>
      </c>
      <c r="H34" s="24">
        <f t="shared" si="5"/>
        <v>0</v>
      </c>
      <c r="I34" s="198">
        <f t="shared" si="6"/>
        <v>0</v>
      </c>
    </row>
    <row r="35" spans="1:9">
      <c r="A35" s="456" t="s">
        <v>216</v>
      </c>
      <c r="B35" s="199">
        <f>_xlfn.IFNA(VLOOKUP(A35,[3]折!$C$3:$F$99,4,0),-[4]整車!$B$22)</f>
        <v>0</v>
      </c>
      <c r="C35" s="27">
        <f>_xlfn.IFNA(VLOOKUP(A35,[3]折!$C$3:$F$99,3,0),-[4]整車!$B$22)</f>
        <v>0</v>
      </c>
      <c r="D35" s="195">
        <f t="shared" si="3"/>
        <v>0</v>
      </c>
      <c r="E35" s="27">
        <f>_xlfn.IFNA(VLOOKUP(A35,[3]折同!$C$3:$H$362,6,0),-[4]整車!$B$22)</f>
        <v>0</v>
      </c>
      <c r="F35" s="196">
        <f t="shared" si="4"/>
        <v>0</v>
      </c>
      <c r="G35" s="199">
        <f>_xlfn.IFNA(VLOOKUP(A35,[3]折同!$C$3:$H$312,4,0),-[4]整車!$B$22)</f>
        <v>0</v>
      </c>
      <c r="H35" s="24">
        <f t="shared" si="5"/>
        <v>0</v>
      </c>
      <c r="I35" s="198">
        <f t="shared" si="6"/>
        <v>0</v>
      </c>
    </row>
    <row r="36" spans="1:9">
      <c r="A36" s="456" t="s">
        <v>384</v>
      </c>
      <c r="B36" s="199">
        <f>_xlfn.IFNA(VLOOKUP(A36,[3]折!$C$3:$F$99,4,0),-[4]整車!$B$22)</f>
        <v>0</v>
      </c>
      <c r="C36" s="27">
        <f>_xlfn.IFNA(VLOOKUP(A36,[3]折!$C$3:$F$99,3,0),-[4]整車!$B$22)</f>
        <v>0</v>
      </c>
      <c r="D36" s="195">
        <f t="shared" si="3"/>
        <v>0</v>
      </c>
      <c r="E36" s="27">
        <f>_xlfn.IFNA(VLOOKUP(A36,[3]折同!$C$3:$H$362,6,0),-[4]整車!$B$22)</f>
        <v>0</v>
      </c>
      <c r="F36" s="196">
        <f t="shared" si="4"/>
        <v>0</v>
      </c>
      <c r="G36" s="199">
        <f>_xlfn.IFNA(VLOOKUP(A36,[3]折同!$C$3:$H$312,4,0),-[4]整車!$B$22)</f>
        <v>0</v>
      </c>
      <c r="H36" s="24">
        <f t="shared" si="5"/>
        <v>0</v>
      </c>
      <c r="I36" s="198">
        <f t="shared" si="6"/>
        <v>0</v>
      </c>
    </row>
    <row r="37" spans="1:9">
      <c r="A37" s="456" t="s">
        <v>218</v>
      </c>
      <c r="B37" s="199">
        <f>_xlfn.IFNA(VLOOKUP(A37,[3]折!$C$3:$F$99,4,0),-[4]整車!$B$22)</f>
        <v>0</v>
      </c>
      <c r="C37" s="27">
        <f>_xlfn.IFNA(VLOOKUP(A37,[3]折!$C$3:$F$99,3,0),-[4]整車!$B$22)</f>
        <v>0</v>
      </c>
      <c r="D37" s="195">
        <f t="shared" si="3"/>
        <v>0</v>
      </c>
      <c r="E37" s="27">
        <f>_xlfn.IFNA(VLOOKUP(A37,[3]折同!$C$3:$H$362,6,0),-[4]整車!$B$22)</f>
        <v>0</v>
      </c>
      <c r="F37" s="196">
        <f t="shared" si="4"/>
        <v>0</v>
      </c>
      <c r="G37" s="199">
        <f>_xlfn.IFNA(VLOOKUP(A37,[3]折同!$C$3:$H$312,4,0),-[4]整車!$B$22)</f>
        <v>0</v>
      </c>
      <c r="H37" s="24">
        <f t="shared" si="5"/>
        <v>0</v>
      </c>
      <c r="I37" s="198">
        <f t="shared" si="6"/>
        <v>0</v>
      </c>
    </row>
    <row r="38" spans="1:9">
      <c r="A38" s="456" t="s">
        <v>219</v>
      </c>
      <c r="B38" s="199">
        <f>_xlfn.IFNA(VLOOKUP(A38,[3]折!$C$3:$F$99,4,0),-[4]整車!$B$22)</f>
        <v>0</v>
      </c>
      <c r="C38" s="27">
        <f>_xlfn.IFNA(VLOOKUP(A38,[3]折!$C$3:$F$99,3,0),-[4]整車!$B$22)</f>
        <v>0</v>
      </c>
      <c r="D38" s="195">
        <f t="shared" si="3"/>
        <v>0</v>
      </c>
      <c r="E38" s="27">
        <f>_xlfn.IFNA(VLOOKUP(A38,[3]折同!$C$3:$H$362,6,0),-[4]整車!$B$22)</f>
        <v>0</v>
      </c>
      <c r="F38" s="196">
        <f t="shared" si="4"/>
        <v>0</v>
      </c>
      <c r="G38" s="199">
        <f>_xlfn.IFNA(VLOOKUP(A38,[3]折同!$C$3:$H$312,4,0),-[4]整車!$B$22)</f>
        <v>0</v>
      </c>
      <c r="H38" s="24">
        <f t="shared" si="5"/>
        <v>0</v>
      </c>
      <c r="I38" s="198">
        <f t="shared" si="6"/>
        <v>0</v>
      </c>
    </row>
    <row r="39" spans="1:9">
      <c r="A39" s="456" t="s">
        <v>18</v>
      </c>
      <c r="B39" s="199">
        <f>_xlfn.IFNA(VLOOKUP(A39,[3]折!$C$3:$F$99,4,0),-[4]整車!$B$22)</f>
        <v>0</v>
      </c>
      <c r="C39" s="27">
        <f>_xlfn.IFNA(VLOOKUP(A39,[3]折!$C$3:$F$99,3,0),-[4]整車!$B$22)</f>
        <v>0</v>
      </c>
      <c r="D39" s="195">
        <f t="shared" si="3"/>
        <v>0</v>
      </c>
      <c r="E39" s="27">
        <f>_xlfn.IFNA(VLOOKUP(A39,[3]折同!$C$3:$H$362,6,0),-[4]整車!$B$22)</f>
        <v>0</v>
      </c>
      <c r="F39" s="196">
        <f t="shared" si="4"/>
        <v>0</v>
      </c>
      <c r="G39" s="199">
        <f>_xlfn.IFNA(VLOOKUP(A39,[3]折同!$C$3:$H$312,4,0),-[4]整車!$B$22)</f>
        <v>0</v>
      </c>
      <c r="H39" s="24">
        <f t="shared" si="5"/>
        <v>0</v>
      </c>
      <c r="I39" s="198">
        <f t="shared" si="6"/>
        <v>0</v>
      </c>
    </row>
    <row r="40" spans="1:9">
      <c r="A40" s="30"/>
      <c r="B40" s="199"/>
      <c r="C40" s="27"/>
      <c r="D40" s="195"/>
      <c r="E40" s="27"/>
      <c r="F40" s="200"/>
      <c r="G40" s="199"/>
      <c r="H40" s="24"/>
      <c r="I40" s="198"/>
    </row>
    <row r="41" spans="1:9" ht="15.6" customHeight="1">
      <c r="A41" s="36" t="s">
        <v>19</v>
      </c>
      <c r="B41" s="201">
        <f>SUM(B42:B45)</f>
        <v>0</v>
      </c>
      <c r="C41" s="33">
        <f>SUM(C42:C45)</f>
        <v>0</v>
      </c>
      <c r="D41" s="195">
        <f t="shared" si="0"/>
        <v>0</v>
      </c>
      <c r="E41" s="33">
        <f>SUM(E42:E45)</f>
        <v>0</v>
      </c>
      <c r="F41" s="196">
        <f>E41/$E$68</f>
        <v>0</v>
      </c>
      <c r="G41" s="201">
        <f>SUM(G42:G45)</f>
        <v>0</v>
      </c>
      <c r="H41" s="24">
        <f t="shared" ref="H41:H42" si="7">G41/$G$68</f>
        <v>0</v>
      </c>
      <c r="I41" s="198">
        <f t="shared" si="1"/>
        <v>0</v>
      </c>
    </row>
    <row r="42" spans="1:9">
      <c r="A42" s="455" t="s">
        <v>220</v>
      </c>
      <c r="B42" s="199">
        <f>_xlfn.IFNA(VLOOKUP(A42,[3]折!$C$3:$F$99,4,0),-[4]整車!$B$22)</f>
        <v>0</v>
      </c>
      <c r="C42" s="27">
        <f>_xlfn.IFNA(VLOOKUP(A42,[3]折!$C$3:$F$99,3,0),-[4]整車!$B$22)</f>
        <v>0</v>
      </c>
      <c r="D42" s="195">
        <f t="shared" si="0"/>
        <v>0</v>
      </c>
      <c r="E42" s="27">
        <f>_xlfn.IFNA(VLOOKUP(A42,[3]折同!$C$3:$H$362,6,0),-[4]整車!$B$22)</f>
        <v>0</v>
      </c>
      <c r="F42" s="196">
        <f>E42/$E$68</f>
        <v>0</v>
      </c>
      <c r="G42" s="199">
        <f>_xlfn.IFNA(VLOOKUP(A42,[3]折同!$C$3:$H$32,4,0),-[4]整車!$B$22)</f>
        <v>0</v>
      </c>
      <c r="H42" s="24">
        <f t="shared" si="7"/>
        <v>0</v>
      </c>
      <c r="I42" s="198">
        <f t="shared" si="1"/>
        <v>0</v>
      </c>
    </row>
    <row r="43" spans="1:9">
      <c r="A43" s="455" t="s">
        <v>221</v>
      </c>
      <c r="B43" s="199">
        <f>_xlfn.IFNA(VLOOKUP(A43,[3]折!$C$3:$F$99,4,0),-[4]整車!$B$22)</f>
        <v>0</v>
      </c>
      <c r="C43" s="27">
        <f>_xlfn.IFNA(VLOOKUP(A43,[3]折!$C$3:$F$99,3,0),-[4]整車!$B$22)</f>
        <v>0</v>
      </c>
      <c r="D43" s="195">
        <f t="shared" ref="D43:D45" si="8">IF(B43,C43/B43,0)</f>
        <v>0</v>
      </c>
      <c r="E43" s="27">
        <f>_xlfn.IFNA(VLOOKUP(A43,[3]折同!$C$3:$H$362,6,0),-[4]整車!$B$22)</f>
        <v>0</v>
      </c>
      <c r="F43" s="196">
        <f t="shared" ref="F43:F45" si="9">E43/$E$68</f>
        <v>0</v>
      </c>
      <c r="G43" s="199">
        <f>_xlfn.IFNA(VLOOKUP(A43,[3]折同!$C$3:$H$32,4,0),-[4]整車!$B$22)</f>
        <v>0</v>
      </c>
      <c r="H43" s="24">
        <f t="shared" ref="H43:H45" si="10">G43/$G$68</f>
        <v>0</v>
      </c>
      <c r="I43" s="198">
        <f t="shared" ref="I43:I45" si="11">IF(E43,G43/E43,0)</f>
        <v>0</v>
      </c>
    </row>
    <row r="44" spans="1:9">
      <c r="A44" s="455" t="s">
        <v>222</v>
      </c>
      <c r="B44" s="199">
        <f>_xlfn.IFNA(VLOOKUP(A44,[3]折!$C$3:$F$99,4,0),-[4]整車!$B$22)</f>
        <v>0</v>
      </c>
      <c r="C44" s="27">
        <f>_xlfn.IFNA(VLOOKUP(A44,[3]折!$C$3:$F$99,3,0),-[4]整車!$B$22)</f>
        <v>0</v>
      </c>
      <c r="D44" s="195">
        <f t="shared" si="8"/>
        <v>0</v>
      </c>
      <c r="E44" s="27">
        <f>_xlfn.IFNA(VLOOKUP(A44,[3]折同!$C$3:$H$362,6,0),-[4]整車!$B$22)</f>
        <v>0</v>
      </c>
      <c r="F44" s="196">
        <f t="shared" si="9"/>
        <v>0</v>
      </c>
      <c r="G44" s="199">
        <f>_xlfn.IFNA(VLOOKUP(A44,[3]折同!$C$3:$H$32,4,0),-[4]整車!$B$22)</f>
        <v>0</v>
      </c>
      <c r="H44" s="24">
        <f t="shared" si="10"/>
        <v>0</v>
      </c>
      <c r="I44" s="198">
        <f t="shared" si="11"/>
        <v>0</v>
      </c>
    </row>
    <row r="45" spans="1:9">
      <c r="A45" s="30" t="s">
        <v>20</v>
      </c>
      <c r="B45" s="199">
        <f>_xlfn.IFNA(VLOOKUP(A45,[3]折!$C$3:$F$99,4,0),-[4]整車!$B$22)</f>
        <v>0</v>
      </c>
      <c r="C45" s="27">
        <f>_xlfn.IFNA(VLOOKUP(A45,[3]折!$C$3:$F$99,3,0),-[4]整車!$B$22)</f>
        <v>0</v>
      </c>
      <c r="D45" s="195">
        <f t="shared" si="8"/>
        <v>0</v>
      </c>
      <c r="E45" s="27">
        <f>_xlfn.IFNA(VLOOKUP(A45,[3]折同!$C$3:$H$362,6,0),-[4]整車!$B$22)</f>
        <v>0</v>
      </c>
      <c r="F45" s="196">
        <f t="shared" si="9"/>
        <v>0</v>
      </c>
      <c r="G45" s="199">
        <f>_xlfn.IFNA(VLOOKUP(A45,[3]折同!$C$3:$H$32,4,0),-[4]整車!$B$22)</f>
        <v>0</v>
      </c>
      <c r="H45" s="24">
        <f t="shared" si="10"/>
        <v>0</v>
      </c>
      <c r="I45" s="198">
        <f t="shared" si="11"/>
        <v>0</v>
      </c>
    </row>
    <row r="46" spans="1:9" ht="16.899999999999999" customHeight="1">
      <c r="A46" s="30"/>
      <c r="B46" s="199"/>
      <c r="C46" s="27"/>
      <c r="D46" s="195"/>
      <c r="E46" s="27"/>
      <c r="F46" s="200"/>
      <c r="G46" s="199"/>
      <c r="H46" s="24"/>
      <c r="I46" s="198"/>
    </row>
    <row r="47" spans="1:9">
      <c r="A47" s="36" t="s">
        <v>21</v>
      </c>
      <c r="B47" s="201">
        <f>SUM(B48:B66)</f>
        <v>3</v>
      </c>
      <c r="C47" s="33">
        <f>SUM(C48:C66)</f>
        <v>1976</v>
      </c>
      <c r="D47" s="195">
        <f t="shared" si="0"/>
        <v>658.66666666666663</v>
      </c>
      <c r="E47" s="33">
        <f>SUM(E48:E66)</f>
        <v>13</v>
      </c>
      <c r="F47" s="196">
        <f>E47/$E$68</f>
        <v>0.1111111111111111</v>
      </c>
      <c r="G47" s="201">
        <f>SUM(G48:G66)</f>
        <v>17464</v>
      </c>
      <c r="H47" s="24">
        <f>G47/$G$68</f>
        <v>0.30003779679070885</v>
      </c>
      <c r="I47" s="198">
        <f t="shared" si="1"/>
        <v>1343.3846153846155</v>
      </c>
    </row>
    <row r="48" spans="1:9">
      <c r="A48" s="487" t="s">
        <v>163</v>
      </c>
      <c r="B48" s="199">
        <f>_xlfn.IFNA(VLOOKUP(A48,[3]折!$C$3:$F$99,4,0),-[4]整車!$B$22)</f>
        <v>0</v>
      </c>
      <c r="C48" s="27">
        <f>_xlfn.IFNA(VLOOKUP(A48,[3]折!$C$3:$F$99,3,0),-[4]整車!$B$22)</f>
        <v>0</v>
      </c>
      <c r="D48" s="195">
        <f t="shared" si="0"/>
        <v>0</v>
      </c>
      <c r="E48" s="27">
        <f>_xlfn.IFNA(VLOOKUP(A48,[3]折同!$C$3:$H$362,6,0),-[4]整車!$B$22)</f>
        <v>0</v>
      </c>
      <c r="F48" s="196">
        <f t="shared" ref="F48" si="12">E48/$E$68</f>
        <v>0</v>
      </c>
      <c r="G48" s="199">
        <f>_xlfn.IFNA(VLOOKUP(A48,[3]折同!$C$3:$H$362,4,0),-[4]整車!$B$22)</f>
        <v>0</v>
      </c>
      <c r="H48" s="24">
        <f>G48/$G$68</f>
        <v>0</v>
      </c>
      <c r="I48" s="198">
        <f t="shared" si="1"/>
        <v>0</v>
      </c>
    </row>
    <row r="49" spans="1:10">
      <c r="A49" s="455" t="s">
        <v>223</v>
      </c>
      <c r="B49" s="199"/>
      <c r="C49" s="27"/>
      <c r="D49" s="195">
        <f t="shared" ref="D49:D66" si="13">IF(B49,C49/B49,0)</f>
        <v>0</v>
      </c>
      <c r="E49" s="27"/>
      <c r="F49" s="196">
        <f t="shared" ref="F49:F66" si="14">E49/$E$68</f>
        <v>0</v>
      </c>
      <c r="G49" s="199"/>
      <c r="H49" s="24">
        <f t="shared" ref="H49:H66" si="15">G49/$G$68</f>
        <v>0</v>
      </c>
      <c r="I49" s="198">
        <f t="shared" ref="I49:I66" si="16">IF(E49,G49/E49,0)</f>
        <v>0</v>
      </c>
    </row>
    <row r="50" spans="1:10">
      <c r="A50" s="292" t="s">
        <v>224</v>
      </c>
      <c r="B50" s="199">
        <f>_xlfn.IFNA(VLOOKUP(A50,[3]折!$C$3:$F$99,4,0),-[4]整車!$B$22)</f>
        <v>0</v>
      </c>
      <c r="C50" s="27">
        <f>_xlfn.IFNA(VLOOKUP(A50,[3]折!$C$3:$F$99,3,0),-[4]整車!$B$22)</f>
        <v>0</v>
      </c>
      <c r="D50" s="195">
        <f t="shared" si="13"/>
        <v>0</v>
      </c>
      <c r="E50" s="27">
        <f>_xlfn.IFNA(VLOOKUP(A50,[3]折同!$C$3:$H$362,6,0),-[4]整車!$B$22)</f>
        <v>0</v>
      </c>
      <c r="F50" s="196">
        <f t="shared" si="14"/>
        <v>0</v>
      </c>
      <c r="G50" s="199">
        <f>_xlfn.IFNA(VLOOKUP(A50,[3]折同!$C$3:$H$362,4,0),-[4]整車!$B$22)</f>
        <v>0</v>
      </c>
      <c r="H50" s="24">
        <f t="shared" si="15"/>
        <v>0</v>
      </c>
      <c r="I50" s="198">
        <f t="shared" si="16"/>
        <v>0</v>
      </c>
      <c r="J50" s="488"/>
    </row>
    <row r="51" spans="1:10">
      <c r="A51" s="455" t="s">
        <v>225</v>
      </c>
      <c r="B51" s="199">
        <f>_xlfn.IFNA(VLOOKUP(A51,[3]折!$C$3:$F$99,4,0),-[4]整車!$B$22)</f>
        <v>0</v>
      </c>
      <c r="C51" s="27">
        <f>_xlfn.IFNA(VLOOKUP(A51,[3]折!$C$3:$F$99,3,0),-[4]整車!$B$22)</f>
        <v>0</v>
      </c>
      <c r="D51" s="195">
        <f t="shared" si="13"/>
        <v>0</v>
      </c>
      <c r="E51" s="27">
        <f>_xlfn.IFNA(VLOOKUP(A51,[3]折同!$C$3:$H$362,6,0),-[4]整車!$B$22)</f>
        <v>0</v>
      </c>
      <c r="F51" s="196">
        <f t="shared" si="14"/>
        <v>0</v>
      </c>
      <c r="G51" s="199">
        <f>_xlfn.IFNA(VLOOKUP(A51,[3]折同!$C$3:$H$362,4,0),-[4]整車!$B$22)</f>
        <v>0</v>
      </c>
      <c r="H51" s="24">
        <f t="shared" si="15"/>
        <v>0</v>
      </c>
      <c r="I51" s="198">
        <f t="shared" si="16"/>
        <v>0</v>
      </c>
    </row>
    <row r="52" spans="1:10">
      <c r="A52" s="456" t="s">
        <v>22</v>
      </c>
      <c r="B52" s="199">
        <f>_xlfn.IFNA(VLOOKUP(A52,[3]折!$C$3:$F$99,4,0),-[4]整車!$B$22)</f>
        <v>0</v>
      </c>
      <c r="C52" s="27">
        <f>_xlfn.IFNA(VLOOKUP(A52,[3]折!$C$3:$F$99,3,0),-[4]整車!$B$22)</f>
        <v>0</v>
      </c>
      <c r="D52" s="195">
        <f t="shared" si="13"/>
        <v>0</v>
      </c>
      <c r="E52" s="27">
        <f>_xlfn.IFNA(VLOOKUP(A52,[3]折同!$C$3:$H$362,6,0),-[4]整車!$B$22)</f>
        <v>0</v>
      </c>
      <c r="F52" s="196">
        <f t="shared" si="14"/>
        <v>0</v>
      </c>
      <c r="G52" s="199">
        <f>_xlfn.IFNA(VLOOKUP(A52,[3]折同!$C$3:$H$362,4,0),-[4]整車!$B$22)</f>
        <v>0</v>
      </c>
      <c r="H52" s="24">
        <f t="shared" si="15"/>
        <v>0</v>
      </c>
      <c r="I52" s="198">
        <f t="shared" si="16"/>
        <v>0</v>
      </c>
    </row>
    <row r="53" spans="1:10">
      <c r="A53" s="455" t="s">
        <v>226</v>
      </c>
      <c r="B53" s="199">
        <f>_xlfn.IFNA(VLOOKUP(A53,[3]折!$C$3:$F$99,4,0),-[4]整車!$B$22)</f>
        <v>0</v>
      </c>
      <c r="C53" s="27">
        <f>_xlfn.IFNA(VLOOKUP(A53,[3]折!$C$3:$F$99,3,0),-[4]整車!$B$22)</f>
        <v>0</v>
      </c>
      <c r="D53" s="195">
        <f t="shared" si="13"/>
        <v>0</v>
      </c>
      <c r="E53" s="27">
        <f>_xlfn.IFNA(VLOOKUP(A53,[3]折同!$C$3:$H$362,6,0),-[4]整車!$B$22)</f>
        <v>0</v>
      </c>
      <c r="F53" s="196">
        <f t="shared" si="14"/>
        <v>0</v>
      </c>
      <c r="G53" s="199">
        <f>_xlfn.IFNA(VLOOKUP(A53,[3]折同!$C$3:$H$362,4,0),-[4]整車!$B$22)</f>
        <v>0</v>
      </c>
      <c r="H53" s="24">
        <f t="shared" si="15"/>
        <v>0</v>
      </c>
      <c r="I53" s="198">
        <f t="shared" si="16"/>
        <v>0</v>
      </c>
    </row>
    <row r="54" spans="1:10">
      <c r="A54" s="456" t="s">
        <v>227</v>
      </c>
      <c r="B54" s="199">
        <f>_xlfn.IFNA(VLOOKUP(A54,[3]折!$C$3:$F$99,4,0),-[4]整車!$B$22)</f>
        <v>0</v>
      </c>
      <c r="C54" s="27">
        <f>_xlfn.IFNA(VLOOKUP(A54,[3]折!$C$3:$F$99,3,0),-[4]整車!$B$22)</f>
        <v>0</v>
      </c>
      <c r="D54" s="195">
        <f t="shared" si="13"/>
        <v>0</v>
      </c>
      <c r="E54" s="27">
        <f>_xlfn.IFNA(VLOOKUP(A54,[3]折同!$C$3:$H$362,6,0),-[4]整車!$B$22)</f>
        <v>0</v>
      </c>
      <c r="F54" s="196">
        <f t="shared" si="14"/>
        <v>0</v>
      </c>
      <c r="G54" s="199">
        <f>_xlfn.IFNA(VLOOKUP(A54,[3]折同!$C$3:$H$362,4,0),-[4]整車!$B$22)</f>
        <v>0</v>
      </c>
      <c r="H54" s="24">
        <f t="shared" si="15"/>
        <v>0</v>
      </c>
      <c r="I54" s="198">
        <f t="shared" si="16"/>
        <v>0</v>
      </c>
    </row>
    <row r="55" spans="1:10">
      <c r="A55" s="456" t="s">
        <v>23</v>
      </c>
      <c r="B55" s="199">
        <f>_xlfn.IFNA(VLOOKUP(A55,[3]折!$C$3:$F$99,4,0),-[4]整車!$B$22)</f>
        <v>0</v>
      </c>
      <c r="C55" s="27">
        <f>_xlfn.IFNA(VLOOKUP(A55,[3]折!$C$3:$F$99,3,0),-[4]整車!$B$22)</f>
        <v>0</v>
      </c>
      <c r="D55" s="195">
        <f t="shared" si="13"/>
        <v>0</v>
      </c>
      <c r="E55" s="27">
        <f>_xlfn.IFNA(VLOOKUP(A55,[3]折同!$C$3:$H$362,6,0),-[4]整車!$B$22)</f>
        <v>0</v>
      </c>
      <c r="F55" s="196">
        <f t="shared" si="14"/>
        <v>0</v>
      </c>
      <c r="G55" s="199">
        <f>_xlfn.IFNA(VLOOKUP(A55,[3]折同!$C$3:$H$362,4,0),-[4]整車!$B$22)</f>
        <v>0</v>
      </c>
      <c r="H55" s="24">
        <f t="shared" si="15"/>
        <v>0</v>
      </c>
      <c r="I55" s="198">
        <f t="shared" si="16"/>
        <v>0</v>
      </c>
    </row>
    <row r="56" spans="1:10">
      <c r="A56" s="456" t="s">
        <v>228</v>
      </c>
      <c r="B56" s="199"/>
      <c r="C56" s="27"/>
      <c r="D56" s="195">
        <f t="shared" si="13"/>
        <v>0</v>
      </c>
      <c r="E56" s="27"/>
      <c r="F56" s="196">
        <f t="shared" si="14"/>
        <v>0</v>
      </c>
      <c r="G56" s="199"/>
      <c r="H56" s="24">
        <f t="shared" si="15"/>
        <v>0</v>
      </c>
      <c r="I56" s="198">
        <f t="shared" si="16"/>
        <v>0</v>
      </c>
    </row>
    <row r="57" spans="1:10">
      <c r="A57" s="458" t="s">
        <v>229</v>
      </c>
      <c r="B57" s="199"/>
      <c r="C57" s="27"/>
      <c r="D57" s="195">
        <f t="shared" si="13"/>
        <v>0</v>
      </c>
      <c r="E57" s="27"/>
      <c r="F57" s="196">
        <f t="shared" si="14"/>
        <v>0</v>
      </c>
      <c r="G57" s="199"/>
      <c r="H57" s="24">
        <f t="shared" si="15"/>
        <v>0</v>
      </c>
      <c r="I57" s="198">
        <f t="shared" si="16"/>
        <v>0</v>
      </c>
    </row>
    <row r="58" spans="1:10">
      <c r="A58" s="295" t="s">
        <v>385</v>
      </c>
      <c r="B58" s="199">
        <v>3</v>
      </c>
      <c r="C58" s="27">
        <v>1976</v>
      </c>
      <c r="D58" s="195">
        <f t="shared" si="13"/>
        <v>658.66666666666663</v>
      </c>
      <c r="E58" s="199">
        <v>13</v>
      </c>
      <c r="F58" s="196">
        <f t="shared" si="14"/>
        <v>0.1111111111111111</v>
      </c>
      <c r="G58" s="27">
        <v>17464</v>
      </c>
      <c r="H58" s="24">
        <f t="shared" si="15"/>
        <v>0.30003779679070885</v>
      </c>
      <c r="I58" s="198">
        <f t="shared" si="16"/>
        <v>1343.3846153846155</v>
      </c>
    </row>
    <row r="59" spans="1:10">
      <c r="A59" s="456" t="s">
        <v>24</v>
      </c>
      <c r="B59" s="199"/>
      <c r="C59" s="27"/>
      <c r="D59" s="195">
        <f t="shared" si="13"/>
        <v>0</v>
      </c>
      <c r="E59" s="27"/>
      <c r="F59" s="196">
        <f t="shared" si="14"/>
        <v>0</v>
      </c>
      <c r="G59" s="199"/>
      <c r="H59" s="24">
        <f t="shared" si="15"/>
        <v>0</v>
      </c>
      <c r="I59" s="198">
        <f t="shared" si="16"/>
        <v>0</v>
      </c>
    </row>
    <row r="60" spans="1:10">
      <c r="A60" s="456" t="s">
        <v>25</v>
      </c>
      <c r="B60" s="199">
        <f>_xlfn.IFNA(VLOOKUP(A60,[3]折!$C$3:$F$99,4,0),-[4]整車!$B$22)</f>
        <v>0</v>
      </c>
      <c r="C60" s="27">
        <f>_xlfn.IFNA(VLOOKUP(A60,[3]折!$C$3:$F$99,3,0),-[4]整車!$B$22)</f>
        <v>0</v>
      </c>
      <c r="D60" s="195">
        <f t="shared" si="13"/>
        <v>0</v>
      </c>
      <c r="E60" s="27">
        <f>_xlfn.IFNA(VLOOKUP(A60,[3]折同!$C$3:$H$362,6,0),-[4]整車!$B$22)</f>
        <v>0</v>
      </c>
      <c r="F60" s="196">
        <f t="shared" si="14"/>
        <v>0</v>
      </c>
      <c r="G60" s="199">
        <f>_xlfn.IFNA(VLOOKUP(A60,[3]折同!$C$3:$H$362,4,0),-[4]整車!$B$22)</f>
        <v>0</v>
      </c>
      <c r="H60" s="24">
        <f t="shared" si="15"/>
        <v>0</v>
      </c>
      <c r="I60" s="198">
        <f t="shared" si="16"/>
        <v>0</v>
      </c>
    </row>
    <row r="61" spans="1:10">
      <c r="A61" s="456" t="s">
        <v>26</v>
      </c>
      <c r="B61" s="199">
        <f>_xlfn.IFNA(VLOOKUP(A61,[3]折!$C$3:$F$99,4,0),-[4]整車!$B$22)</f>
        <v>0</v>
      </c>
      <c r="C61" s="27">
        <f>_xlfn.IFNA(VLOOKUP(A61,[3]折!$C$3:$F$99,3,0),-[4]整車!$B$22)</f>
        <v>0</v>
      </c>
      <c r="D61" s="195">
        <f t="shared" si="13"/>
        <v>0</v>
      </c>
      <c r="E61" s="27">
        <f>_xlfn.IFNA(VLOOKUP(A61,[3]折同!$C$3:$H$362,6,0),-[4]整車!$B$22)</f>
        <v>0</v>
      </c>
      <c r="F61" s="196">
        <f t="shared" si="14"/>
        <v>0</v>
      </c>
      <c r="G61" s="199">
        <f>_xlfn.IFNA(VLOOKUP(A61,[3]折同!$C$3:$H$362,4,0),-[4]整車!$B$22)</f>
        <v>0</v>
      </c>
      <c r="H61" s="24">
        <f t="shared" si="15"/>
        <v>0</v>
      </c>
      <c r="I61" s="198">
        <f t="shared" si="16"/>
        <v>0</v>
      </c>
    </row>
    <row r="62" spans="1:10">
      <c r="A62" s="295" t="s">
        <v>230</v>
      </c>
      <c r="B62" s="199">
        <f>_xlfn.IFNA(VLOOKUP(A62,[3]折!$C$3:$F$99,4,0),-[4]整車!$B$22)</f>
        <v>0</v>
      </c>
      <c r="C62" s="27">
        <f>_xlfn.IFNA(VLOOKUP(A62,[3]折!$C$3:$F$99,3,0),-[4]整車!$B$22)</f>
        <v>0</v>
      </c>
      <c r="D62" s="195">
        <f t="shared" si="13"/>
        <v>0</v>
      </c>
      <c r="E62" s="27">
        <f>_xlfn.IFNA(VLOOKUP(A62,[3]折同!$C$3:$H$362,6,0),-[4]整車!$B$22)</f>
        <v>0</v>
      </c>
      <c r="F62" s="196">
        <f t="shared" si="14"/>
        <v>0</v>
      </c>
      <c r="G62" s="199">
        <f>_xlfn.IFNA(VLOOKUP(A62,[3]折同!$C$3:$H$362,4,0),-[4]整車!$B$22)</f>
        <v>0</v>
      </c>
      <c r="H62" s="24">
        <f t="shared" si="15"/>
        <v>0</v>
      </c>
      <c r="I62" s="198">
        <f t="shared" si="16"/>
        <v>0</v>
      </c>
    </row>
    <row r="63" spans="1:10">
      <c r="A63" s="456" t="s">
        <v>27</v>
      </c>
      <c r="B63" s="199">
        <f>_xlfn.IFNA(VLOOKUP(A63,[3]折!$C$3:$F$99,4,0),-[4]整車!$B$22)</f>
        <v>0</v>
      </c>
      <c r="C63" s="27">
        <f>_xlfn.IFNA(VLOOKUP(A63,[3]折!$C$3:$F$99,3,0),-[4]整車!$B$22)</f>
        <v>0</v>
      </c>
      <c r="D63" s="195">
        <f t="shared" si="13"/>
        <v>0</v>
      </c>
      <c r="E63" s="27">
        <f>_xlfn.IFNA(VLOOKUP(A63,[3]折同!$C$3:$H$362,6,0),-[4]整車!$B$22)</f>
        <v>0</v>
      </c>
      <c r="F63" s="196">
        <f t="shared" si="14"/>
        <v>0</v>
      </c>
      <c r="G63" s="199">
        <f>_xlfn.IFNA(VLOOKUP(A63,[3]折同!$C$3:$H$362,4,0),-[4]整車!$B$22)</f>
        <v>0</v>
      </c>
      <c r="H63" s="24">
        <f t="shared" si="15"/>
        <v>0</v>
      </c>
      <c r="I63" s="198">
        <f t="shared" si="16"/>
        <v>0</v>
      </c>
    </row>
    <row r="64" spans="1:10" ht="15.75" customHeight="1">
      <c r="A64" s="295" t="s">
        <v>231</v>
      </c>
      <c r="B64" s="199">
        <f>_xlfn.IFNA(VLOOKUP(A64,[3]折!$C$3:$F$99,4,0),-[4]整車!$B$22)</f>
        <v>0</v>
      </c>
      <c r="C64" s="27">
        <f>_xlfn.IFNA(VLOOKUP(A64,[3]折!$C$3:$F$99,3,0),-[4]整車!$B$22)</f>
        <v>0</v>
      </c>
      <c r="D64" s="195">
        <f t="shared" si="13"/>
        <v>0</v>
      </c>
      <c r="E64" s="27">
        <f>_xlfn.IFNA(VLOOKUP(A64,[3]折同!$C$3:$H$362,6,0),-[4]整車!$B$22)</f>
        <v>0</v>
      </c>
      <c r="F64" s="196">
        <f t="shared" si="14"/>
        <v>0</v>
      </c>
      <c r="G64" s="199">
        <f>_xlfn.IFNA(VLOOKUP(A64,[3]折同!$C$3:$H$362,4,0),-[4]整車!$B$22)</f>
        <v>0</v>
      </c>
      <c r="H64" s="24">
        <f t="shared" si="15"/>
        <v>0</v>
      </c>
      <c r="I64" s="198">
        <f t="shared" si="16"/>
        <v>0</v>
      </c>
    </row>
    <row r="65" spans="1:9">
      <c r="A65" s="456" t="s">
        <v>28</v>
      </c>
      <c r="B65" s="199">
        <f>_xlfn.IFNA(VLOOKUP(A65,[3]折!$C$3:$F$99,4,0),-[4]整車!$B$22)</f>
        <v>0</v>
      </c>
      <c r="C65" s="27">
        <f>_xlfn.IFNA(VLOOKUP(A65,[3]折!$C$3:$F$99,3,0),-[4]整車!$B$22)</f>
        <v>0</v>
      </c>
      <c r="D65" s="195">
        <f t="shared" si="13"/>
        <v>0</v>
      </c>
      <c r="E65" s="27">
        <f>_xlfn.IFNA(VLOOKUP(A65,[3]折同!$C$3:$H$362,6,0),-[4]整車!$B$22)</f>
        <v>0</v>
      </c>
      <c r="F65" s="196">
        <f t="shared" si="14"/>
        <v>0</v>
      </c>
      <c r="G65" s="199">
        <f>_xlfn.IFNA(VLOOKUP(A65,[3]折同!$C$3:$H$362,4,0),-[4]整車!$B$22)</f>
        <v>0</v>
      </c>
      <c r="H65" s="24">
        <f t="shared" si="15"/>
        <v>0</v>
      </c>
      <c r="I65" s="198">
        <f t="shared" si="16"/>
        <v>0</v>
      </c>
    </row>
    <row r="66" spans="1:9">
      <c r="A66" s="295" t="s">
        <v>232</v>
      </c>
      <c r="B66" s="199"/>
      <c r="C66" s="27"/>
      <c r="D66" s="195">
        <f t="shared" si="13"/>
        <v>0</v>
      </c>
      <c r="E66" s="27"/>
      <c r="F66" s="196">
        <f t="shared" si="14"/>
        <v>0</v>
      </c>
      <c r="G66" s="199"/>
      <c r="H66" s="24">
        <f t="shared" si="15"/>
        <v>0</v>
      </c>
      <c r="I66" s="198">
        <f t="shared" si="16"/>
        <v>0</v>
      </c>
    </row>
    <row r="67" spans="1:9">
      <c r="A67" s="30" t="s">
        <v>29</v>
      </c>
      <c r="B67" s="199">
        <f>B68-B7-B12-B41-B47</f>
        <v>3</v>
      </c>
      <c r="C67" s="27">
        <f>C68-C47-C41-C12-C7</f>
        <v>383</v>
      </c>
      <c r="D67" s="195">
        <f t="shared" si="0"/>
        <v>127.66666666666667</v>
      </c>
      <c r="E67" s="27">
        <f>E68-E47-E41-E12-E7</f>
        <v>4</v>
      </c>
      <c r="F67" s="196">
        <f t="shared" ref="F67:F68" si="17">E67/$E$68</f>
        <v>3.4188034188034191E-2</v>
      </c>
      <c r="G67" s="199">
        <f>G68-G47-G41-G12-G7</f>
        <v>512</v>
      </c>
      <c r="H67" s="24">
        <f t="shared" ref="H67:H68" si="18">G67/$G$68</f>
        <v>8.7963440195168874E-3</v>
      </c>
      <c r="I67" s="198">
        <f t="shared" si="1"/>
        <v>128</v>
      </c>
    </row>
    <row r="68" spans="1:9">
      <c r="A68" s="32" t="s">
        <v>404</v>
      </c>
      <c r="B68" s="201">
        <v>106</v>
      </c>
      <c r="C68" s="33">
        <v>42589</v>
      </c>
      <c r="D68" s="195">
        <f t="shared" ref="D68" si="19">C68/B68</f>
        <v>401.78301886792451</v>
      </c>
      <c r="E68" s="201">
        <v>117</v>
      </c>
      <c r="F68" s="196">
        <f t="shared" si="17"/>
        <v>1</v>
      </c>
      <c r="G68" s="33">
        <v>58206</v>
      </c>
      <c r="H68" s="24">
        <f t="shared" si="18"/>
        <v>1</v>
      </c>
      <c r="I68" s="198">
        <f t="shared" ref="I68" si="20">G68/E68</f>
        <v>497.4871794871795</v>
      </c>
    </row>
    <row r="69" spans="1:9">
      <c r="A69" s="38"/>
      <c r="B69" s="202"/>
      <c r="C69" s="39"/>
      <c r="D69" s="203"/>
      <c r="E69" s="39"/>
      <c r="F69" s="204"/>
      <c r="G69" s="202"/>
      <c r="H69" s="41"/>
      <c r="I69" s="203"/>
    </row>
    <row r="70" spans="1:9">
      <c r="A70" s="55" t="s">
        <v>56</v>
      </c>
      <c r="B70" s="205"/>
      <c r="C70" s="39"/>
      <c r="D70" s="205"/>
      <c r="E70" s="13"/>
      <c r="F70" s="205"/>
      <c r="G70" s="205"/>
      <c r="H70" s="13"/>
      <c r="I70" s="205"/>
    </row>
    <row r="71" spans="1:9" s="13" customFormat="1">
      <c r="A71" s="5"/>
      <c r="B71" s="96"/>
      <c r="C71" s="39"/>
      <c r="D71" s="96"/>
      <c r="E71" s="5"/>
      <c r="F71" s="96"/>
      <c r="G71" s="96"/>
      <c r="H71" s="5"/>
      <c r="I71" s="96"/>
    </row>
    <row r="72" spans="1:9">
      <c r="C72" s="39"/>
    </row>
  </sheetData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</vt:i4>
      </vt:variant>
    </vt:vector>
  </HeadingPairs>
  <TitlesOfParts>
    <vt:vector size="18" baseType="lpstr">
      <vt:lpstr>整車</vt:lpstr>
      <vt:lpstr>整車同期比較</vt:lpstr>
      <vt:lpstr>整車比較</vt:lpstr>
      <vt:lpstr>整車出口全球總表更新至8月(記得隱藏)</vt:lpstr>
      <vt:lpstr>出口地區</vt:lpstr>
      <vt:lpstr>整車進口</vt:lpstr>
      <vt:lpstr>電輔車</vt:lpstr>
      <vt:lpstr>電輔車比較</vt:lpstr>
      <vt:lpstr>折疊車</vt:lpstr>
      <vt:lpstr>折疊車比較</vt:lpstr>
      <vt:lpstr>電動折疊同期比較 </vt:lpstr>
      <vt:lpstr>零件</vt:lpstr>
      <vt:lpstr>零件出口比較</vt:lpstr>
      <vt:lpstr>零件進口比較</vt:lpstr>
      <vt:lpstr>零件出進口國別</vt:lpstr>
      <vt:lpstr>出口地區!Print_Area</vt:lpstr>
      <vt:lpstr>'電動折疊同期比較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user</cp:lastModifiedBy>
  <cp:lastPrinted>2021-03-02T01:57:04Z</cp:lastPrinted>
  <dcterms:created xsi:type="dcterms:W3CDTF">2018-05-28T02:49:39Z</dcterms:created>
  <dcterms:modified xsi:type="dcterms:W3CDTF">2024-04-22T09:56:08Z</dcterms:modified>
  <cp:contentStatus/>
</cp:coreProperties>
</file>