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25AE416D-38EF-4CCF-8A15-F4AB59565931}" xr6:coauthVersionLast="47" xr6:coauthVersionMax="47" xr10:uidLastSave="{00000000-0000-0000-0000-000000000000}"/>
  <bookViews>
    <workbookView xWindow="-120" yWindow="-120" windowWidth="21840" windowHeight="13140" tabRatio="818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(整車)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4">'出口地區(整車)'!$A$1:$J$34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22" l="1"/>
  <c r="L59" i="22"/>
  <c r="M56" i="22"/>
  <c r="L56" i="22"/>
  <c r="M53" i="22"/>
  <c r="L53" i="22"/>
  <c r="M51" i="22"/>
  <c r="L51" i="22"/>
  <c r="M49" i="22"/>
  <c r="L49" i="22"/>
  <c r="M46" i="22"/>
  <c r="L46" i="22"/>
  <c r="L20" i="22"/>
  <c r="L17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J16" i="22"/>
  <c r="I16" i="22"/>
  <c r="I17" i="22"/>
  <c r="I13" i="22"/>
  <c r="J13" i="22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F65" i="25" s="1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C65" i="25" s="1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F65" i="23" s="1"/>
  <c r="F20" i="22"/>
  <c r="F17" i="22"/>
  <c r="G59" i="22"/>
  <c r="G56" i="22"/>
  <c r="G53" i="22"/>
  <c r="G51" i="22"/>
  <c r="G49" i="22"/>
  <c r="G46" i="22"/>
  <c r="G40" i="22"/>
  <c r="G38" i="22"/>
  <c r="G36" i="22"/>
  <c r="G33" i="22"/>
  <c r="G30" i="22"/>
  <c r="G28" i="22"/>
  <c r="G24" i="22"/>
  <c r="G22" i="22"/>
  <c r="G19" i="22"/>
  <c r="G16" i="22"/>
  <c r="G13" i="22"/>
  <c r="F59" i="22"/>
  <c r="F56" i="22"/>
  <c r="F53" i="22"/>
  <c r="F51" i="22"/>
  <c r="F49" i="22"/>
  <c r="F46" i="22"/>
  <c r="F40" i="22"/>
  <c r="F38" i="22"/>
  <c r="F36" i="22"/>
  <c r="F33" i="22"/>
  <c r="F30" i="22"/>
  <c r="F28" i="22"/>
  <c r="F24" i="22"/>
  <c r="F22" i="22"/>
  <c r="F19" i="22"/>
  <c r="F16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C13" i="22"/>
  <c r="G37" i="26"/>
  <c r="D37" i="26"/>
  <c r="G16" i="26"/>
  <c r="D16" i="26"/>
  <c r="G68" i="9"/>
  <c r="G66" i="9"/>
  <c r="G58" i="9"/>
  <c r="G57" i="9"/>
  <c r="G56" i="9"/>
  <c r="G50" i="9"/>
  <c r="G49" i="9"/>
  <c r="G38" i="9"/>
  <c r="G13" i="9"/>
  <c r="G8" i="9"/>
  <c r="E68" i="9"/>
  <c r="E49" i="9"/>
  <c r="E50" i="9"/>
  <c r="E56" i="9"/>
  <c r="E57" i="9"/>
  <c r="E58" i="9"/>
  <c r="E66" i="9"/>
  <c r="E38" i="9"/>
  <c r="E13" i="9"/>
  <c r="E8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3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3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8" i="11"/>
  <c r="C55" i="11"/>
  <c r="C54" i="11"/>
  <c r="C50" i="11"/>
  <c r="C49" i="11"/>
  <c r="C44" i="11"/>
  <c r="C43" i="11"/>
  <c r="C29" i="11"/>
  <c r="C28" i="11"/>
  <c r="C27" i="11"/>
  <c r="C20" i="11"/>
  <c r="C15" i="11"/>
  <c r="C16" i="11"/>
  <c r="C17" i="11"/>
  <c r="C18" i="11"/>
  <c r="C14" i="11"/>
  <c r="C10" i="11"/>
  <c r="C11" i="11"/>
  <c r="C9" i="11"/>
  <c r="B64" i="11"/>
  <c r="B50" i="11"/>
  <c r="B54" i="11"/>
  <c r="B55" i="11"/>
  <c r="B58" i="11"/>
  <c r="B61" i="11"/>
  <c r="B62" i="11"/>
  <c r="B49" i="11"/>
  <c r="B44" i="11"/>
  <c r="B43" i="11"/>
  <c r="B15" i="11"/>
  <c r="B16" i="11"/>
  <c r="B17" i="11"/>
  <c r="B18" i="11"/>
  <c r="B20" i="11"/>
  <c r="B27" i="11"/>
  <c r="B28" i="11"/>
  <c r="B29" i="11"/>
  <c r="B14" i="11"/>
  <c r="B10" i="11"/>
  <c r="B11" i="11"/>
  <c r="B9" i="11"/>
  <c r="G66" i="5"/>
  <c r="G61" i="5"/>
  <c r="G60" i="5"/>
  <c r="G59" i="5"/>
  <c r="G58" i="5"/>
  <c r="G49" i="5"/>
  <c r="G48" i="5"/>
  <c r="G42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0" i="5"/>
  <c r="E61" i="5"/>
  <c r="E48" i="5"/>
  <c r="E42" i="5"/>
  <c r="E14" i="5"/>
  <c r="E15" i="5"/>
  <c r="E16" i="5"/>
  <c r="E17" i="5"/>
  <c r="E18" i="5"/>
  <c r="E24" i="5"/>
  <c r="E38" i="5"/>
  <c r="E13" i="5"/>
  <c r="E8" i="5"/>
  <c r="C66" i="5"/>
  <c r="C61" i="5"/>
  <c r="C59" i="5"/>
  <c r="C58" i="5"/>
  <c r="C49" i="5"/>
  <c r="C48" i="5"/>
  <c r="C14" i="5"/>
  <c r="C15" i="5"/>
  <c r="C16" i="5"/>
  <c r="C17" i="5"/>
  <c r="C13" i="5"/>
  <c r="C8" i="5"/>
  <c r="B66" i="5"/>
  <c r="B49" i="5"/>
  <c r="B58" i="5"/>
  <c r="B59" i="5"/>
  <c r="B61" i="5"/>
  <c r="B48" i="5"/>
  <c r="B14" i="5"/>
  <c r="B15" i="5"/>
  <c r="B16" i="5"/>
  <c r="B17" i="5"/>
  <c r="B13" i="5"/>
  <c r="B8" i="5"/>
  <c r="B26" i="28"/>
  <c r="B25" i="28"/>
  <c r="D16" i="27"/>
  <c r="G16" i="27"/>
  <c r="G67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3" i="1"/>
  <c r="G34" i="1"/>
  <c r="G35" i="1"/>
  <c r="G36" i="1"/>
  <c r="G38" i="1"/>
  <c r="G3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4" i="1"/>
  <c r="E43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28" i="1"/>
  <c r="C27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7" i="1"/>
  <c r="B28" i="1"/>
  <c r="B13" i="1"/>
  <c r="B9" i="1"/>
  <c r="B10" i="1"/>
  <c r="B8" i="1"/>
  <c r="C13" i="11" l="1"/>
  <c r="B13" i="11"/>
  <c r="B47" i="1"/>
  <c r="G36" i="26"/>
  <c r="D36" i="26"/>
  <c r="G15" i="26"/>
  <c r="D15" i="26"/>
  <c r="B24" i="28"/>
  <c r="B23" i="28"/>
  <c r="F54" i="5" l="1"/>
  <c r="F23" i="5"/>
  <c r="F66" i="5"/>
  <c r="F44" i="5"/>
  <c r="F15" i="5"/>
  <c r="F17" i="5"/>
  <c r="F24" i="5"/>
  <c r="F27" i="5"/>
  <c r="F35" i="5"/>
  <c r="B22" i="28"/>
  <c r="B21" i="28"/>
  <c r="H10" i="1"/>
  <c r="H9" i="1"/>
  <c r="H8" i="1"/>
  <c r="D35" i="26"/>
  <c r="G35" i="26"/>
  <c r="G14" i="26"/>
  <c r="D14" i="26"/>
  <c r="F34" i="5" l="1"/>
  <c r="F52" i="5"/>
  <c r="F9" i="5"/>
  <c r="F25" i="5"/>
  <c r="F53" i="5"/>
  <c r="F32" i="5"/>
  <c r="F50" i="5"/>
  <c r="F10" i="5"/>
  <c r="F26" i="5"/>
  <c r="F39" i="5"/>
  <c r="F29" i="5"/>
  <c r="F19" i="5"/>
  <c r="F64" i="5"/>
  <c r="F20" i="5"/>
  <c r="F57" i="5"/>
  <c r="F28" i="5"/>
  <c r="F42" i="5"/>
  <c r="F62" i="5"/>
  <c r="F21" i="5"/>
  <c r="F56" i="5"/>
  <c r="F22" i="5"/>
  <c r="F55" i="5"/>
  <c r="F36" i="5"/>
  <c r="F31" i="5"/>
  <c r="F43" i="5"/>
  <c r="F59" i="5"/>
  <c r="F13" i="5"/>
  <c r="F38" i="5"/>
  <c r="F33" i="5"/>
  <c r="F45" i="5"/>
  <c r="F61" i="5"/>
  <c r="F49" i="5"/>
  <c r="F18" i="5"/>
  <c r="F16" i="5"/>
  <c r="F14" i="5"/>
  <c r="F48" i="5"/>
  <c r="F63" i="5"/>
  <c r="F58" i="5"/>
  <c r="F51" i="5"/>
  <c r="F37" i="5"/>
  <c r="F30" i="5"/>
  <c r="F60" i="5"/>
  <c r="C47" i="1"/>
  <c r="B20" i="28" l="1"/>
  <c r="B19" i="28"/>
  <c r="B17" i="28"/>
  <c r="B18" i="28"/>
  <c r="G34" i="26" l="1"/>
  <c r="D34" i="26"/>
  <c r="G13" i="26"/>
  <c r="D13" i="26"/>
  <c r="C105" i="30"/>
  <c r="B23" i="2" l="1"/>
  <c r="B30" i="2"/>
  <c r="B32" i="2"/>
  <c r="B37" i="2"/>
  <c r="B45" i="2"/>
  <c r="E23" i="2"/>
  <c r="E30" i="2"/>
  <c r="E32" i="2"/>
  <c r="E37" i="2"/>
  <c r="E45" i="2"/>
  <c r="B72" i="2" l="1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2" i="5"/>
  <c r="G47" i="1"/>
  <c r="G41" i="1"/>
  <c r="C41" i="1"/>
  <c r="B41" i="1"/>
  <c r="C12" i="1"/>
  <c r="C7" i="1"/>
  <c r="B12" i="1"/>
  <c r="B7" i="1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G47" i="5"/>
  <c r="E47" i="5"/>
  <c r="G41" i="5"/>
  <c r="G12" i="5"/>
  <c r="E12" i="5"/>
  <c r="G7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7" i="1"/>
  <c r="H7" i="1" s="1"/>
  <c r="F67" i="1"/>
  <c r="E7" i="1"/>
  <c r="D8" i="28"/>
  <c r="D7" i="28"/>
  <c r="B63" i="23"/>
  <c r="E68" i="10"/>
  <c r="G63" i="11" l="1"/>
  <c r="E63" i="1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H50" i="10" l="1"/>
  <c r="D55" i="10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I38" i="18"/>
  <c r="H38" i="18"/>
  <c r="G38" i="18"/>
  <c r="F38" i="18"/>
  <c r="F36" i="18" s="1"/>
  <c r="E38" i="18"/>
  <c r="D38" i="18"/>
  <c r="C38" i="18"/>
  <c r="B38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B36" i="18"/>
  <c r="H36" i="18"/>
  <c r="H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C65" i="5" l="1"/>
  <c r="D41" i="5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F28" i="1"/>
  <c r="F30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E7" i="10"/>
  <c r="H7" i="5"/>
  <c r="H43" i="11"/>
  <c r="G12" i="9"/>
  <c r="H12" i="9" s="1"/>
  <c r="H72" i="2"/>
  <c r="H12" i="1"/>
  <c r="D41" i="1"/>
  <c r="F58" i="1"/>
  <c r="G72" i="2"/>
  <c r="F8" i="5"/>
  <c r="F41" i="5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12" i="9"/>
  <c r="B7" i="10"/>
  <c r="D7" i="10" s="1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<sst xmlns="http://schemas.openxmlformats.org/spreadsheetml/2006/main" count="1823" uniqueCount="528">
  <si>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</si>
  <si>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</si>
  <si>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</si>
  <si>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</si>
  <si>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</si>
  <si>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</si>
  <si>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</si>
  <si>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</si>
  <si>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</si>
  <si>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</si>
  <si>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</si>
  <si>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</si>
  <si>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</si>
  <si>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</si>
  <si>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</si>
  <si>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</si>
  <si>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</si>
  <si>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</si>
  <si>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</si>
  <si>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</si>
  <si>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</si>
  <si>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</si>
  <si>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</si>
  <si>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</si>
  <si>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</si>
  <si>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</si>
  <si>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</si>
  <si>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</si>
  <si>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</si>
  <si>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</si>
  <si>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</si>
  <si>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</si>
  <si>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</si>
  <si>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</si>
  <si>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</si>
  <si>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</si>
  <si>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</si>
  <si>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</si>
  <si>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</si>
  <si>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</si>
  <si>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</si>
  <si>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</si>
  <si>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</si>
  <si>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</si>
  <si>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</si>
  <si>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</si>
  <si>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</si>
  <si>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</si>
  <si>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</si>
  <si>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</si>
  <si>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</si>
  <si>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</si>
  <si>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</si>
  <si>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</si>
  <si>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</si>
  <si>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</si>
  <si>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</si>
  <si>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</si>
  <si>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</si>
  <si>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</si>
  <si>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</si>
  <si>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</si>
  <si>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</si>
  <si>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</si>
  <si>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</si>
  <si>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</si>
  <si>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</si>
  <si>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</si>
  <si>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</si>
  <si>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</si>
  <si>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</si>
  <si>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</si>
  <si>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</si>
  <si>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</si>
  <si>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</si>
  <si>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</si>
  <si>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</si>
  <si>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</si>
  <si>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</si>
  <si>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</si>
  <si>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</si>
  <si>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</si>
  <si>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</si>
  <si>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</si>
  <si>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</si>
  <si>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</si>
  <si>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</si>
  <si>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</si>
  <si>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</si>
  <si>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</si>
  <si>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</si>
  <si>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</si>
  <si>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</si>
  <si>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</si>
  <si>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</si>
  <si>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</si>
  <si>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</si>
  <si>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</si>
  <si>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</si>
  <si>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</si>
  <si>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</si>
  <si>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</si>
  <si>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</si>
  <si>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</si>
  <si>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</si>
  <si>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</si>
  <si>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</si>
  <si>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</si>
  <si>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</si>
  <si>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</si>
  <si>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</si>
  <si>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</si>
  <si>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</si>
  <si>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</si>
  <si>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</si>
  <si>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</si>
  <si>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</si>
  <si>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</si>
  <si>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</si>
  <si>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</si>
  <si>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</si>
  <si>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</si>
  <si>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</si>
  <si>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</si>
  <si>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</si>
  <si>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</si>
  <si>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</si>
  <si>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</si>
  <si>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</si>
  <si>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</si>
  <si>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</si>
  <si>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</si>
  <si>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</si>
  <si>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</si>
  <si>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</si>
  <si>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</si>
  <si>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</si>
  <si>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</si>
  <si>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</si>
  <si>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</si>
  <si>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</si>
  <si>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</si>
  <si>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</si>
  <si>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</si>
  <si>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</si>
  <si>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</si>
  <si>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</si>
  <si>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</si>
  <si>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</si>
  <si>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</si>
  <si>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</si>
  <si>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</si>
  <si>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</si>
  <si>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</si>
  <si>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</si>
  <si>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</si>
  <si>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</si>
  <si>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</si>
  <si>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</si>
  <si>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</si>
  <si>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</si>
  <si>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</si>
  <si>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</si>
  <si>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</si>
  <si>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</si>
  <si>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</si>
  <si>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</si>
  <si>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</si>
  <si>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</si>
  <si>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</si>
  <si>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</si>
  <si>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</si>
  <si>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</si>
  <si>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</si>
  <si>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</si>
  <si>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</si>
  <si>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</si>
  <si>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</si>
  <si>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</si>
  <si>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</si>
  <si>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</si>
  <si>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</si>
  <si>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</si>
  <si>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</si>
  <si>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</si>
  <si>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</si>
  <si>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</si>
  <si>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</si>
  <si>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</si>
  <si>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</si>
  <si>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</si>
  <si>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</si>
  <si>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</si>
  <si>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</si>
  <si>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</si>
  <si>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</si>
  <si>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</si>
  <si>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</si>
  <si>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</si>
  <si>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</si>
  <si>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</si>
  <si>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</si>
  <si>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</si>
  <si>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</si>
  <si>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</si>
  <si>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</si>
  <si>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</si>
  <si>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</si>
  <si>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</si>
  <si>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</si>
  <si>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</si>
  <si>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</si>
  <si>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</si>
  <si>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</si>
  <si>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</si>
  <si>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</si>
  <si>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</si>
  <si>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</si>
  <si>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</si>
  <si>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</si>
  <si>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</si>
  <si>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</si>
  <si>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</si>
  <si>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</si>
  <si>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</si>
  <si>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</si>
  <si>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</si>
  <si>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</si>
  <si>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</si>
  <si>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</si>
  <si>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</si>
  <si>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</si>
  <si>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</si>
  <si>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</si>
  <si>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</si>
  <si>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</si>
  <si>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</si>
  <si>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</si>
  <si>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</si>
  <si>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</si>
  <si>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</si>
  <si>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</si>
  <si>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</si>
  <si>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</si>
  <si>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</si>
  <si>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</si>
  <si>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</si>
  <si>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</si>
  <si>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</si>
  <si>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</si>
  <si>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</si>
  <si>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</si>
  <si>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</si>
  <si>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</si>
  <si>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</si>
  <si>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</si>
  <si>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</si>
  <si>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</si>
  <si>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</si>
  <si>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</si>
  <si>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</si>
  <si>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</si>
  <si>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</si>
  <si>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</si>
  <si>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</si>
  <si>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</si>
  <si>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</si>
  <si>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</si>
  <si>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</si>
  <si>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</si>
  <si>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</si>
  <si>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</si>
  <si>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</si>
  <si>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</si>
  <si>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</si>
  <si>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</si>
  <si>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</si>
  <si>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</si>
  <si>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</si>
  <si>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</si>
  <si>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</si>
  <si>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</si>
  <si>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</si>
  <si>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</si>
  <si>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</si>
  <si>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</si>
  <si>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</si>
  <si>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</si>
  <si>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</si>
  <si>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</si>
  <si>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</si>
  <si>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</si>
  <si>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</si>
  <si>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</si>
  <si>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</si>
  <si>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</si>
  <si>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</si>
  <si>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</si>
  <si>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</si>
  <si>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</si>
  <si>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</si>
  <si>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</si>
  <si>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</si>
  <si>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</si>
  <si>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</si>
  <si>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</si>
  <si>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</si>
  <si>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</si>
  <si>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</si>
  <si>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</si>
  <si>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</si>
  <si>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</si>
  <si>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</si>
  <si>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</si>
  <si>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</si>
  <si>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</si>
  <si>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</si>
  <si>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</si>
  <si>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</si>
  <si>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</si>
  <si>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</si>
  <si>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</si>
  <si>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</si>
  <si>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</si>
  <si>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</si>
  <si>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</si>
  <si>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</si>
  <si>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</si>
  <si>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</si>
  <si>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</si>
  <si>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</si>
  <si>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</si>
  <si>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</si>
  <si>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</si>
  <si>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</si>
  <si>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</si>
  <si>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</si>
  <si>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</si>
  <si>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</si>
  <si>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</si>
  <si>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</si>
  <si>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</si>
  <si>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</si>
  <si>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</si>
  <si>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</si>
  <si>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</si>
  <si>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</si>
  <si>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</si>
  <si>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</si>
  <si>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</si>
  <si>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</si>
  <si>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</si>
  <si>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</si>
  <si>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</si>
  <si>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</si>
  <si>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</si>
  <si>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</si>
  <si>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</si>
  <si>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</si>
  <si>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</si>
  <si>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</si>
  <si>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</si>
  <si>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</si>
  <si>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</si>
  <si>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</si>
  <si>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</si>
  <si>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</si>
  <si>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</si>
  <si>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</si>
  <si>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</si>
  <si>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</si>
  <si>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</si>
  <si>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</si>
  <si>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</si>
  <si>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</si>
  <si>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</si>
  <si>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</si>
  <si>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</si>
  <si>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</si>
  <si>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</si>
  <si>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</si>
  <si>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</si>
  <si>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</si>
  <si>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</si>
  <si>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</si>
  <si>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</si>
  <si>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</si>
  <si>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</si>
  <si>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</si>
  <si>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</si>
  <si>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</si>
  <si>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</si>
  <si>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</si>
  <si>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</si>
  <si>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</si>
  <si>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</si>
  <si>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</si>
  <si>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</si>
  <si>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</si>
  <si>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</si>
  <si>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</si>
  <si>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</si>
  <si>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</si>
  <si>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</si>
  <si>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</si>
  <si>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</si>
  <si>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</si>
  <si>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</si>
  <si>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</si>
  <si>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</si>
  <si>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</si>
  <si>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</si>
  <si>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</si>
  <si>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</si>
  <si>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</si>
  <si>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</si>
  <si>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</si>
  <si>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</si>
  <si>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</si>
  <si>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</si>
  <si>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</si>
  <si>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</si>
  <si>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</si>
  <si>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</si>
  <si>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</si>
  <si>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</si>
  <si>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</si>
  <si>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</si>
  <si>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</si>
  <si>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</si>
  <si>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</si>
  <si>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</si>
  <si>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</si>
  <si>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</si>
  <si>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</si>
  <si>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</si>
  <si>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</si>
  <si>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</si>
  <si>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</si>
  <si>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</si>
  <si>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</si>
  <si>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</si>
  <si>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</si>
  <si>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</si>
  <si>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</si>
  <si>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</si>
  <si>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</si>
  <si>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</si>
  <si>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</si>
  <si>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</si>
  <si>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</si>
  <si>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</si>
  <si>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</si>
  <si>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</si>
  <si>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</si>
  <si>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</si>
  <si>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</si>
  <si>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</si>
  <si>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</si>
  <si>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</si>
  <si>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</si>
  <si>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</si>
  <si>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</si>
  <si>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</si>
  <si>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</si>
  <si>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</si>
  <si>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</si>
  <si>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</si>
  <si>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</si>
  <si>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</si>
  <si>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香港</t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</si>
  <si>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</si>
  <si>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</si>
  <si>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菲律賓</t>
  </si>
  <si>
    <t>土耳其</t>
  </si>
  <si>
    <r>
      <t>2024</t>
    </r>
    <r>
      <rPr>
        <sz val="12"/>
        <rFont val="新細明體"/>
        <family val="1"/>
        <charset val="136"/>
      </rPr>
      <t>年9月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</si>
  <si>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</si>
  <si>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</si>
  <si>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日本</t>
    <phoneticPr fontId="4" type="noConversion"/>
  </si>
  <si>
    <t>法國</t>
    <phoneticPr fontId="4" type="noConversion"/>
  </si>
  <si>
    <t>＊中華民國</t>
    <phoneticPr fontId="4" type="noConversion"/>
  </si>
  <si>
    <t>波蘭</t>
    <phoneticPr fontId="4" type="noConversion"/>
  </si>
  <si>
    <t>中國大陸</t>
    <phoneticPr fontId="4" type="noConversion"/>
  </si>
  <si>
    <t>越南</t>
    <phoneticPr fontId="4" type="noConversion"/>
  </si>
  <si>
    <t>越南</t>
    <phoneticPr fontId="4" type="noConversion"/>
  </si>
  <si>
    <t>*中華民國</t>
    <phoneticPr fontId="4" type="noConversion"/>
  </si>
  <si>
    <t>德國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</si>
  <si>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</si>
  <si>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年10月</t>
    </r>
    <phoneticPr fontId="4" type="noConversion"/>
  </si>
  <si>
    <r>
      <t>10</t>
    </r>
    <r>
      <rPr>
        <sz val="12"/>
        <rFont val="新細明體"/>
        <family val="1"/>
        <charset val="136"/>
      </rPr>
      <t>月數量</t>
    </r>
    <phoneticPr fontId="4" type="noConversion"/>
  </si>
  <si>
    <r>
      <t>10</t>
    </r>
    <r>
      <rPr>
        <sz val="12"/>
        <rFont val="新細明體"/>
        <family val="1"/>
        <charset val="136"/>
      </rPr>
      <t>月金額</t>
    </r>
    <phoneticPr fontId="4" type="noConversion"/>
  </si>
  <si>
    <r>
      <t>1-10</t>
    </r>
    <r>
      <rPr>
        <sz val="12"/>
        <rFont val="新細明體"/>
        <family val="1"/>
        <charset val="136"/>
      </rPr>
      <t>月數量</t>
    </r>
    <phoneticPr fontId="4" type="noConversion"/>
  </si>
  <si>
    <r>
      <t>1-10</t>
    </r>
    <r>
      <rPr>
        <sz val="12"/>
        <rFont val="新細明體"/>
        <family val="1"/>
        <charset val="136"/>
      </rPr>
      <t>月金額</t>
    </r>
    <phoneticPr fontId="4" type="noConversion"/>
  </si>
  <si>
    <t>10月金額</t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</si>
  <si>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</si>
  <si>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1-10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</si>
  <si>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</si>
  <si>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</si>
  <si>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年10月台灣自行車出口地區別統計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</si>
  <si>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</si>
  <si>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</si>
  <si>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2024/2023年1-10月台灣電動自行車主要出口國家比較        </t>
    <phoneticPr fontId="4" type="noConversion"/>
  </si>
  <si>
    <t>2024年1-10月台灣折疊式自行車主要出口國家統計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</si>
  <si>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</si>
  <si>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</si>
  <si>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</si>
  <si>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10月出口量</t>
    <phoneticPr fontId="4" type="noConversion"/>
  </si>
  <si>
    <t>10月出口金額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</si>
  <si>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</si>
  <si>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</si>
  <si>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10月進口量</t>
    <phoneticPr fontId="4" type="noConversion"/>
  </si>
  <si>
    <t>10月進口金額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</si>
  <si>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</si>
  <si>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</si>
  <si>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1-10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</si>
  <si>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>2023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</si>
  <si>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1-10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</si>
  <si>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年10月台灣自行車主要零件進出口統計</t>
    </r>
    <phoneticPr fontId="4" type="noConversion"/>
  </si>
  <si>
    <t>丹麥</t>
    <phoneticPr fontId="4" type="noConversion"/>
  </si>
  <si>
    <t>瑞士</t>
    <phoneticPr fontId="4" type="noConversion"/>
  </si>
  <si>
    <t>比利時</t>
    <phoneticPr fontId="4" type="noConversion"/>
  </si>
  <si>
    <t>新加坡</t>
    <phoneticPr fontId="4" type="noConversion"/>
  </si>
  <si>
    <t>哥倫比亞</t>
  </si>
  <si>
    <t>印度</t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</si>
  <si>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</si>
  <si>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</si>
  <si>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華康仿宋體"/>
        <family val="1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</si>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</sst>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2"/>
      <color indexed="12"/>
      <name val="MS Gothic"/>
      <family val="3"/>
      <charset val="128"/>
    </font>
    <font>
      <sz val="11"/>
      <color indexed="12"/>
      <name val="華康仿宋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91" fillId="0" borderId="0">
      <alignment vertical="center"/>
    </xf>
    <xf numFmtId="0" fontId="7" fillId="0" borderId="0"/>
  </cellStyleXfs>
  <cellXfs count="596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4" fillId="0" borderId="9" xfId="0" applyNumberFormat="1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0" fontId="85" fillId="0" borderId="8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4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64" fillId="2" borderId="15" xfId="0" applyFont="1" applyFill="1" applyBorder="1" applyAlignment="1">
      <alignment horizontal="center"/>
    </xf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89" fillId="0" borderId="9" xfId="0" applyFont="1" applyBorder="1" applyAlignment="1">
      <alignment horizontal="center"/>
    </xf>
    <xf numFmtId="0" fontId="89" fillId="0" borderId="8" xfId="0" applyFont="1" applyBorder="1" applyAlignment="1"/>
    <xf numFmtId="41" fontId="13" fillId="0" borderId="6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0" fontId="88" fillId="0" borderId="10" xfId="0" quotePrefix="1" applyFont="1" applyBorder="1" applyAlignment="1">
      <alignment horizontal="center"/>
    </xf>
    <xf numFmtId="41" fontId="13" fillId="5" borderId="6" xfId="0" applyNumberFormat="1" applyFont="1" applyFill="1" applyBorder="1" applyAlignment="1"/>
    <xf numFmtId="0" fontId="90" fillId="0" borderId="9" xfId="0" applyFont="1" applyBorder="1" applyAlignment="1">
      <alignment horizontal="center"/>
    </xf>
    <xf numFmtId="0" fontId="90" fillId="0" borderId="8" xfId="0" applyFont="1" applyBorder="1" applyAlignment="1"/>
    <xf numFmtId="41" fontId="13" fillId="5" borderId="10" xfId="0" applyNumberFormat="1" applyFont="1" applyFill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42" fontId="13" fillId="0" borderId="9" xfId="0" applyNumberFormat="1" applyFont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3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4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5" fillId="5" borderId="10" xfId="0" applyFont="1" applyFill="1" applyBorder="1" applyAlignment="1">
      <alignment horizontal="right"/>
    </xf>
    <xf numFmtId="0" fontId="35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8" fillId="5" borderId="0" xfId="0" applyFont="1" applyFill="1" applyAlignment="1">
      <alignment horizontal="right"/>
    </xf>
    <xf numFmtId="0" fontId="35" fillId="5" borderId="0" xfId="0" applyFont="1" applyFill="1" applyAlignment="1"/>
    <xf numFmtId="0" fontId="0" fillId="5" borderId="0" xfId="0" applyFill="1" applyAlignment="1"/>
    <xf numFmtId="0" fontId="69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4" fillId="5" borderId="0" xfId="0" applyFont="1" applyFill="1" applyAlignment="1">
      <alignment horizontal="left"/>
    </xf>
    <xf numFmtId="0" fontId="64" fillId="0" borderId="0" xfId="0" applyFont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8" fontId="13" fillId="3" borderId="5" xfId="2" applyNumberFormat="1" applyFont="1" applyFill="1" applyBorder="1" applyAlignment="1"/>
    <xf numFmtId="178" fontId="13" fillId="4" borderId="5" xfId="2" applyNumberFormat="1" applyFont="1" applyFill="1" applyBorder="1" applyAlignment="1"/>
    <xf numFmtId="41" fontId="13" fillId="0" borderId="14" xfId="2" applyNumberFormat="1" applyFont="1" applyBorder="1" applyAlignment="1"/>
    <xf numFmtId="3" fontId="13" fillId="0" borderId="0" xfId="0" applyNumberFormat="1" applyFont="1" applyAlignment="1"/>
    <xf numFmtId="0" fontId="88" fillId="0" borderId="9" xfId="0" applyFont="1" applyBorder="1" applyAlignment="1">
      <alignment horizontal="center"/>
    </xf>
    <xf numFmtId="176" fontId="13" fillId="3" borderId="5" xfId="0" applyNumberFormat="1" applyFont="1" applyFill="1" applyBorder="1" applyAlignment="1"/>
    <xf numFmtId="176" fontId="13" fillId="4" borderId="5" xfId="0" applyNumberFormat="1" applyFont="1" applyFill="1" applyBorder="1" applyAlignment="1"/>
    <xf numFmtId="176" fontId="95" fillId="0" borderId="0" xfId="0" applyNumberFormat="1" applyFont="1" applyAlignment="1"/>
    <xf numFmtId="178" fontId="13" fillId="0" borderId="5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left"/>
    </xf>
    <xf numFmtId="0" fontId="82" fillId="2" borderId="2" xfId="0" applyFont="1" applyFill="1" applyBorder="1" applyAlignment="1">
      <alignment horizontal="left"/>
    </xf>
    <xf numFmtId="0" fontId="82" fillId="2" borderId="3" xfId="0" applyFont="1" applyFill="1" applyBorder="1" applyAlignment="1">
      <alignment horizontal="left"/>
    </xf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65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0&#25972;&#36554;.xlsx" TargetMode="External"/><Relationship Id="rId1" Type="http://schemas.openxmlformats.org/officeDocument/2006/relationships/externalLinkPath" Target="file:///D:\DATA%20Files\Downloads\&#36914;&#20986;&#21475;&#20540;&#34920;%20-%20202410&#25972;&#36554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&#25240;&#30090;&#36554;.xlsx" TargetMode="External"/><Relationship Id="rId1" Type="http://schemas.openxmlformats.org/officeDocument/2006/relationships/externalLinkPath" Target="file:///D:\DATA%20Files\Downloads\&#36914;&#20986;&#21475;&#20540;&#34920;%20-%2020241-10&#25240;&#30090;&#3655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0%20&#38646;&#20214;&#20986;&#21475;.xlsx" TargetMode="External"/><Relationship Id="rId1" Type="http://schemas.openxmlformats.org/officeDocument/2006/relationships/externalLinkPath" Target="file:///D:\DATA%20Files\Downloads\&#36914;&#20986;&#21475;&#20540;&#34920;%20-%20202410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%20&#38646;&#20214;&#20986;&#21475;.xlsx" TargetMode="External"/><Relationship Id="rId1" Type="http://schemas.openxmlformats.org/officeDocument/2006/relationships/externalLinkPath" Target="file:///D:\DATA%20Files\Downloads\&#36914;&#20986;&#21475;&#20540;&#34920;%20-%2020241-10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0&#38646;&#20214;&#36914;&#21475;.xlsx" TargetMode="External"/><Relationship Id="rId1" Type="http://schemas.openxmlformats.org/officeDocument/2006/relationships/externalLinkPath" Target="file:///D:\DATA%20Files\Downloads\&#36914;&#20986;&#21475;&#20540;&#34920;%20-%2020241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&#38646;&#20214;&#36914;&#21475;.xlsx" TargetMode="External"/><Relationship Id="rId1" Type="http://schemas.openxmlformats.org/officeDocument/2006/relationships/externalLinkPath" Target="file:///D:\DATA%20Files\Downloads\&#36914;&#20986;&#21475;&#20540;&#34920;%20-%2020241-1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10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1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9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&#25972;&#36554;.xlsx" TargetMode="External"/><Relationship Id="rId1" Type="http://schemas.openxmlformats.org/officeDocument/2006/relationships/externalLinkPath" Target="file:///D:\DATA%20Files\Downloads\&#36914;&#20986;&#21475;&#20540;&#34920;%20-%2020241-10&#25972;&#365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0&#25972;&#36554;&#36914;&#21475;.xlsx" TargetMode="External"/><Relationship Id="rId1" Type="http://schemas.openxmlformats.org/officeDocument/2006/relationships/externalLinkPath" Target="file:///D:\DATA%20Files\Downloads\&#36914;&#20986;&#21475;&#20540;&#34920;%20-%2020241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&#25972;&#36554;&#36914;&#21475;.xlsx" TargetMode="External"/><Relationship Id="rId1" Type="http://schemas.openxmlformats.org/officeDocument/2006/relationships/externalLinkPath" Target="file:///D:\DATA%20Files\Downloads\&#36914;&#20986;&#21475;&#20540;&#34920;%20-%2020241-1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0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10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1-10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83291709</v>
          </cell>
          <cell r="C10">
            <v>69156</v>
          </cell>
        </row>
        <row r="11">
          <cell r="A11" t="str">
            <v>美國</v>
          </cell>
          <cell r="B11">
            <v>19349638</v>
          </cell>
          <cell r="C11">
            <v>19693</v>
          </cell>
        </row>
        <row r="12">
          <cell r="A12" t="str">
            <v>中國大陸</v>
          </cell>
          <cell r="B12">
            <v>13889276</v>
          </cell>
          <cell r="C12">
            <v>10633</v>
          </cell>
        </row>
        <row r="13">
          <cell r="A13" t="str">
            <v>荷蘭</v>
          </cell>
          <cell r="B13">
            <v>13799628</v>
          </cell>
          <cell r="C13">
            <v>8197</v>
          </cell>
        </row>
        <row r="14">
          <cell r="A14" t="str">
            <v>澳大利亞</v>
          </cell>
          <cell r="B14">
            <v>6391313</v>
          </cell>
          <cell r="C14">
            <v>4197</v>
          </cell>
        </row>
        <row r="15">
          <cell r="A15" t="str">
            <v>加拿大</v>
          </cell>
          <cell r="B15">
            <v>5869770</v>
          </cell>
          <cell r="C15">
            <v>3448</v>
          </cell>
        </row>
        <row r="16">
          <cell r="A16" t="str">
            <v>英國</v>
          </cell>
          <cell r="B16">
            <v>4348763</v>
          </cell>
          <cell r="C16">
            <v>3306</v>
          </cell>
        </row>
        <row r="17">
          <cell r="A17" t="str">
            <v>德國</v>
          </cell>
          <cell r="B17">
            <v>2846358</v>
          </cell>
          <cell r="C17">
            <v>3646</v>
          </cell>
        </row>
        <row r="18">
          <cell r="A18" t="str">
            <v>法國</v>
          </cell>
          <cell r="B18">
            <v>2595748</v>
          </cell>
          <cell r="C18">
            <v>1438</v>
          </cell>
        </row>
        <row r="19">
          <cell r="A19" t="str">
            <v>義大利</v>
          </cell>
          <cell r="B19">
            <v>1670397</v>
          </cell>
          <cell r="C19">
            <v>838</v>
          </cell>
        </row>
        <row r="20">
          <cell r="A20" t="str">
            <v>西班牙</v>
          </cell>
          <cell r="B20">
            <v>1586995</v>
          </cell>
          <cell r="C20">
            <v>1128</v>
          </cell>
        </row>
        <row r="21">
          <cell r="A21" t="str">
            <v>韓國</v>
          </cell>
          <cell r="B21">
            <v>1197906</v>
          </cell>
          <cell r="C21">
            <v>541</v>
          </cell>
        </row>
        <row r="22">
          <cell r="A22" t="str">
            <v>瑞士</v>
          </cell>
          <cell r="B22">
            <v>1170118</v>
          </cell>
          <cell r="C22">
            <v>1402</v>
          </cell>
        </row>
        <row r="23">
          <cell r="A23" t="str">
            <v>墨西哥</v>
          </cell>
          <cell r="B23">
            <v>939793</v>
          </cell>
          <cell r="C23">
            <v>700</v>
          </cell>
        </row>
        <row r="24">
          <cell r="A24" t="str">
            <v>紐西蘭</v>
          </cell>
          <cell r="B24">
            <v>880650</v>
          </cell>
          <cell r="C24">
            <v>616</v>
          </cell>
        </row>
        <row r="25">
          <cell r="A25" t="str">
            <v>日本</v>
          </cell>
          <cell r="B25">
            <v>827946</v>
          </cell>
          <cell r="C25">
            <v>1068</v>
          </cell>
        </row>
        <row r="26">
          <cell r="A26" t="str">
            <v>波蘭</v>
          </cell>
          <cell r="B26">
            <v>720287</v>
          </cell>
          <cell r="C26">
            <v>1556</v>
          </cell>
        </row>
        <row r="27">
          <cell r="A27" t="str">
            <v>比利時</v>
          </cell>
          <cell r="B27">
            <v>643169</v>
          </cell>
          <cell r="C27">
            <v>484</v>
          </cell>
        </row>
        <row r="28">
          <cell r="A28" t="str">
            <v>馬來西亞</v>
          </cell>
          <cell r="B28">
            <v>369898</v>
          </cell>
          <cell r="C28">
            <v>180</v>
          </cell>
        </row>
        <row r="29">
          <cell r="A29" t="str">
            <v>智利</v>
          </cell>
          <cell r="B29">
            <v>358674</v>
          </cell>
          <cell r="C29">
            <v>233</v>
          </cell>
        </row>
        <row r="30">
          <cell r="A30" t="str">
            <v>巴西</v>
          </cell>
          <cell r="B30">
            <v>351672</v>
          </cell>
          <cell r="C30">
            <v>189</v>
          </cell>
        </row>
        <row r="31">
          <cell r="A31" t="str">
            <v>捷克</v>
          </cell>
          <cell r="B31">
            <v>329602</v>
          </cell>
          <cell r="C31">
            <v>381</v>
          </cell>
        </row>
        <row r="32">
          <cell r="A32" t="str">
            <v>哥斯大黎加</v>
          </cell>
          <cell r="B32">
            <v>287621</v>
          </cell>
          <cell r="C32">
            <v>127</v>
          </cell>
        </row>
        <row r="33">
          <cell r="A33" t="str">
            <v>哥倫比亞</v>
          </cell>
          <cell r="B33">
            <v>268459</v>
          </cell>
          <cell r="C33">
            <v>180</v>
          </cell>
        </row>
        <row r="34">
          <cell r="A34" t="str">
            <v>印度</v>
          </cell>
          <cell r="B34">
            <v>246577</v>
          </cell>
          <cell r="C34">
            <v>208</v>
          </cell>
        </row>
        <row r="35">
          <cell r="A35" t="str">
            <v>菲律賓</v>
          </cell>
          <cell r="B35">
            <v>237698</v>
          </cell>
          <cell r="C35">
            <v>1095</v>
          </cell>
        </row>
        <row r="36">
          <cell r="A36" t="str">
            <v>以色列</v>
          </cell>
          <cell r="B36">
            <v>213191</v>
          </cell>
          <cell r="C36">
            <v>83</v>
          </cell>
        </row>
        <row r="37">
          <cell r="A37" t="str">
            <v>波多黎各</v>
          </cell>
          <cell r="B37">
            <v>194342</v>
          </cell>
          <cell r="C37">
            <v>108</v>
          </cell>
        </row>
        <row r="38">
          <cell r="A38" t="str">
            <v>南非</v>
          </cell>
          <cell r="B38">
            <v>176836</v>
          </cell>
          <cell r="C38">
            <v>102</v>
          </cell>
        </row>
        <row r="39">
          <cell r="A39" t="str">
            <v>阿根廷</v>
          </cell>
          <cell r="B39">
            <v>176462</v>
          </cell>
          <cell r="C39">
            <v>120</v>
          </cell>
        </row>
        <row r="40">
          <cell r="A40" t="str">
            <v>俄羅斯</v>
          </cell>
          <cell r="B40">
            <v>157800</v>
          </cell>
          <cell r="C40">
            <v>225</v>
          </cell>
        </row>
        <row r="41">
          <cell r="A41" t="str">
            <v>香港</v>
          </cell>
          <cell r="B41">
            <v>145421</v>
          </cell>
          <cell r="C41">
            <v>62</v>
          </cell>
        </row>
        <row r="42">
          <cell r="A42" t="str">
            <v>新加坡</v>
          </cell>
          <cell r="B42">
            <v>122443</v>
          </cell>
          <cell r="C42">
            <v>147</v>
          </cell>
        </row>
        <row r="43">
          <cell r="A43" t="str">
            <v>丹麥</v>
          </cell>
          <cell r="B43">
            <v>121381</v>
          </cell>
          <cell r="C43">
            <v>2352</v>
          </cell>
        </row>
        <row r="44">
          <cell r="A44" t="str">
            <v>挪威</v>
          </cell>
          <cell r="B44">
            <v>119037</v>
          </cell>
          <cell r="C44">
            <v>79</v>
          </cell>
        </row>
        <row r="45">
          <cell r="A45" t="str">
            <v>關島</v>
          </cell>
          <cell r="B45">
            <v>109785</v>
          </cell>
          <cell r="C45">
            <v>33</v>
          </cell>
        </row>
        <row r="46">
          <cell r="A46" t="str">
            <v>泰國</v>
          </cell>
          <cell r="B46">
            <v>106534</v>
          </cell>
          <cell r="C46">
            <v>76</v>
          </cell>
        </row>
        <row r="47">
          <cell r="A47" t="str">
            <v>肯亞</v>
          </cell>
          <cell r="B47">
            <v>104251</v>
          </cell>
          <cell r="C47">
            <v>62</v>
          </cell>
        </row>
        <row r="48">
          <cell r="A48" t="str">
            <v>越南</v>
          </cell>
          <cell r="B48">
            <v>65646</v>
          </cell>
          <cell r="C48">
            <v>38</v>
          </cell>
        </row>
        <row r="49">
          <cell r="A49" t="str">
            <v>瓜地馬拉</v>
          </cell>
          <cell r="B49">
            <v>60706</v>
          </cell>
          <cell r="C49">
            <v>37</v>
          </cell>
        </row>
        <row r="50">
          <cell r="A50" t="str">
            <v>吉爾吉斯</v>
          </cell>
          <cell r="B50">
            <v>58893</v>
          </cell>
          <cell r="C50">
            <v>24</v>
          </cell>
        </row>
        <row r="51">
          <cell r="A51" t="str">
            <v>薩爾瓦多</v>
          </cell>
          <cell r="B51">
            <v>49516</v>
          </cell>
          <cell r="C51">
            <v>27</v>
          </cell>
        </row>
        <row r="52">
          <cell r="A52" t="str">
            <v>印尼</v>
          </cell>
          <cell r="B52">
            <v>44732</v>
          </cell>
          <cell r="C52">
            <v>14</v>
          </cell>
        </row>
        <row r="53">
          <cell r="A53" t="str">
            <v>阿拉伯聯合大公國</v>
          </cell>
          <cell r="B53">
            <v>36168</v>
          </cell>
          <cell r="C53">
            <v>17</v>
          </cell>
        </row>
        <row r="54">
          <cell r="A54" t="str">
            <v>巴拉圭</v>
          </cell>
          <cell r="B54">
            <v>33948</v>
          </cell>
          <cell r="C54">
            <v>22</v>
          </cell>
        </row>
        <row r="55">
          <cell r="A55" t="str">
            <v>厄瓜多</v>
          </cell>
          <cell r="B55">
            <v>10003</v>
          </cell>
          <cell r="C55">
            <v>6</v>
          </cell>
        </row>
        <row r="56">
          <cell r="A56" t="str">
            <v>土耳其</v>
          </cell>
          <cell r="B56">
            <v>5877</v>
          </cell>
          <cell r="C56">
            <v>28</v>
          </cell>
        </row>
        <row r="57">
          <cell r="A57" t="str">
            <v>馬紹爾群島共和國</v>
          </cell>
          <cell r="B57">
            <v>781</v>
          </cell>
          <cell r="C57">
            <v>10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2652226</v>
          </cell>
          <cell r="C10">
            <v>3461</v>
          </cell>
        </row>
        <row r="11">
          <cell r="A11" t="str">
            <v>中國大陸</v>
          </cell>
          <cell r="B11">
            <v>1313459</v>
          </cell>
          <cell r="C11">
            <v>1617</v>
          </cell>
        </row>
        <row r="12">
          <cell r="A12" t="str">
            <v>韓國</v>
          </cell>
          <cell r="B12">
            <v>640845</v>
          </cell>
          <cell r="C12">
            <v>705</v>
          </cell>
        </row>
        <row r="13">
          <cell r="A13" t="str">
            <v>荷蘭</v>
          </cell>
          <cell r="B13">
            <v>295315</v>
          </cell>
          <cell r="C13">
            <v>631</v>
          </cell>
        </row>
        <row r="14">
          <cell r="A14" t="str">
            <v>香港</v>
          </cell>
          <cell r="B14">
            <v>173183</v>
          </cell>
          <cell r="C14">
            <v>172</v>
          </cell>
        </row>
        <row r="15">
          <cell r="A15" t="str">
            <v>日本</v>
          </cell>
          <cell r="B15">
            <v>130809</v>
          </cell>
          <cell r="C15">
            <v>168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阿拉伯聯合大公國</v>
          </cell>
          <cell r="B17">
            <v>19056</v>
          </cell>
          <cell r="C17">
            <v>19</v>
          </cell>
        </row>
        <row r="18">
          <cell r="A18" t="str">
            <v>保加利亞</v>
          </cell>
          <cell r="B18">
            <v>18536</v>
          </cell>
          <cell r="C18">
            <v>100</v>
          </cell>
        </row>
        <row r="19">
          <cell r="A19" t="str">
            <v>新加坡</v>
          </cell>
          <cell r="B19">
            <v>12958</v>
          </cell>
          <cell r="C19">
            <v>11</v>
          </cell>
        </row>
        <row r="20">
          <cell r="A20" t="str">
            <v>泰國</v>
          </cell>
          <cell r="B20">
            <v>3578</v>
          </cell>
          <cell r="C20">
            <v>8</v>
          </cell>
        </row>
        <row r="21">
          <cell r="A21" t="str">
            <v>菲律賓</v>
          </cell>
          <cell r="B21">
            <v>1288</v>
          </cell>
          <cell r="C21">
            <v>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45222722</v>
          </cell>
          <cell r="D3">
            <v>736696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15076775</v>
          </cell>
          <cell r="D4">
            <v>310474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7091563</v>
          </cell>
          <cell r="D5">
            <v>56662</v>
          </cell>
          <cell r="E5">
            <v>46064</v>
          </cell>
        </row>
        <row r="6">
          <cell r="A6">
            <v>87149990111</v>
          </cell>
          <cell r="B6" t="str">
            <v>腳踏車用變速器</v>
          </cell>
          <cell r="C6">
            <v>7046611</v>
          </cell>
          <cell r="D6">
            <v>60977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6715127</v>
          </cell>
          <cell r="D7">
            <v>147618</v>
          </cell>
          <cell r="E7">
            <v>0</v>
          </cell>
        </row>
        <row r="8">
          <cell r="A8">
            <v>87149990157</v>
          </cell>
          <cell r="B8" t="str">
            <v>腳踏車用座管及上下管</v>
          </cell>
          <cell r="C8">
            <v>5769995</v>
          </cell>
          <cell r="D8">
            <v>141384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5504937</v>
          </cell>
          <cell r="D9">
            <v>156648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4771187</v>
          </cell>
          <cell r="D10">
            <v>60098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3545177</v>
          </cell>
          <cell r="D11">
            <v>109375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3513537</v>
          </cell>
          <cell r="D12">
            <v>89130</v>
          </cell>
          <cell r="E12">
            <v>179867</v>
          </cell>
        </row>
        <row r="13">
          <cell r="A13">
            <v>87149610004</v>
          </cell>
          <cell r="B13" t="str">
            <v>踏板及其零件</v>
          </cell>
          <cell r="C13">
            <v>2846297</v>
          </cell>
          <cell r="D13">
            <v>123821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2338287</v>
          </cell>
          <cell r="D14">
            <v>114769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1852743</v>
          </cell>
          <cell r="D15">
            <v>53145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1518756</v>
          </cell>
          <cell r="D16">
            <v>82822</v>
          </cell>
          <cell r="E16">
            <v>13518954</v>
          </cell>
        </row>
        <row r="17">
          <cell r="A17">
            <v>87149990139</v>
          </cell>
          <cell r="B17" t="str">
            <v>腳踏車用軸心</v>
          </cell>
          <cell r="C17">
            <v>145107</v>
          </cell>
          <cell r="D17">
            <v>4944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107376</v>
          </cell>
          <cell r="D18">
            <v>3142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48890</v>
          </cell>
          <cell r="D19">
            <v>654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425890104</v>
          </cell>
          <cell r="D10">
            <v>6577226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134006795</v>
          </cell>
          <cell r="D11">
            <v>3030096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68534848</v>
          </cell>
          <cell r="D12">
            <v>1317811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65371820</v>
          </cell>
          <cell r="D13">
            <v>531066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60884591</v>
          </cell>
          <cell r="D14">
            <v>498642</v>
          </cell>
          <cell r="E14">
            <v>469199</v>
          </cell>
        </row>
        <row r="15">
          <cell r="A15">
            <v>87149320906</v>
          </cell>
          <cell r="B15" t="str">
            <v>其他飛輪之鏈輪</v>
          </cell>
          <cell r="C15">
            <v>50666223</v>
          </cell>
          <cell r="D15">
            <v>1226557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42048492</v>
          </cell>
          <cell r="D16">
            <v>974184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37680730</v>
          </cell>
          <cell r="D17">
            <v>571504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35716898</v>
          </cell>
          <cell r="D18">
            <v>1000917</v>
          </cell>
          <cell r="E18">
            <v>0</v>
          </cell>
        </row>
        <row r="19">
          <cell r="A19">
            <v>87149200108</v>
          </cell>
          <cell r="B19" t="str">
            <v>輪圈</v>
          </cell>
          <cell r="C19">
            <v>33808884</v>
          </cell>
          <cell r="D19">
            <v>959845</v>
          </cell>
          <cell r="E19">
            <v>1810472</v>
          </cell>
        </row>
        <row r="20">
          <cell r="A20">
            <v>87149610004</v>
          </cell>
          <cell r="B20" t="str">
            <v>踏板及其零件</v>
          </cell>
          <cell r="C20">
            <v>30906794</v>
          </cell>
          <cell r="D20">
            <v>1251074</v>
          </cell>
          <cell r="E20">
            <v>0</v>
          </cell>
        </row>
        <row r="21">
          <cell r="A21">
            <v>87149500007</v>
          </cell>
          <cell r="B21" t="str">
            <v>腳踏車車座</v>
          </cell>
          <cell r="C21">
            <v>21640118</v>
          </cell>
          <cell r="D21">
            <v>994572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16849121</v>
          </cell>
          <cell r="D22">
            <v>474893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12684047</v>
          </cell>
          <cell r="D23">
            <v>818875</v>
          </cell>
          <cell r="E23">
            <v>124685381</v>
          </cell>
        </row>
        <row r="24">
          <cell r="A24">
            <v>87149990139</v>
          </cell>
          <cell r="B24" t="str">
            <v>腳踏車用軸心</v>
          </cell>
          <cell r="C24">
            <v>2079822</v>
          </cell>
          <cell r="D24">
            <v>109291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1569305</v>
          </cell>
          <cell r="D25">
            <v>63853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563289</v>
          </cell>
          <cell r="D26">
            <v>16604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23864255</v>
          </cell>
          <cell r="D10">
            <v>325141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7181207</v>
          </cell>
          <cell r="D11">
            <v>132407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4462765</v>
          </cell>
          <cell r="D12">
            <v>51109</v>
          </cell>
          <cell r="E12">
            <v>108974</v>
          </cell>
        </row>
        <row r="13">
          <cell r="A13">
            <v>87149620002</v>
          </cell>
          <cell r="B13" t="str">
            <v>曲柄齒輪及其零件</v>
          </cell>
          <cell r="C13">
            <v>3168247</v>
          </cell>
          <cell r="D13">
            <v>87494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2598717</v>
          </cell>
          <cell r="D14">
            <v>55062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2220581</v>
          </cell>
          <cell r="D15">
            <v>46731</v>
          </cell>
          <cell r="E15">
            <v>0</v>
          </cell>
        </row>
        <row r="16">
          <cell r="A16">
            <v>87149320906</v>
          </cell>
          <cell r="B16" t="str">
            <v>其他飛輪之鏈輪</v>
          </cell>
          <cell r="C16">
            <v>2176747</v>
          </cell>
          <cell r="D16">
            <v>53036</v>
          </cell>
          <cell r="E16">
            <v>0</v>
          </cell>
        </row>
        <row r="17">
          <cell r="A17">
            <v>87149990166</v>
          </cell>
          <cell r="B17" t="str">
            <v>腳踏車用把手</v>
          </cell>
          <cell r="C17">
            <v>1937125</v>
          </cell>
          <cell r="D17">
            <v>34142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1352329</v>
          </cell>
          <cell r="D18">
            <v>29411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857077</v>
          </cell>
          <cell r="D19">
            <v>8524</v>
          </cell>
          <cell r="E19">
            <v>1647892</v>
          </cell>
        </row>
        <row r="20">
          <cell r="A20">
            <v>87149500007</v>
          </cell>
          <cell r="B20" t="str">
            <v>腳踏車車座</v>
          </cell>
          <cell r="C20">
            <v>719009</v>
          </cell>
          <cell r="D20">
            <v>36555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506253</v>
          </cell>
          <cell r="D21">
            <v>15114</v>
          </cell>
          <cell r="E21">
            <v>244820</v>
          </cell>
        </row>
        <row r="22">
          <cell r="A22">
            <v>87149990148</v>
          </cell>
          <cell r="B22" t="str">
            <v>腳踏車用把手豎管</v>
          </cell>
          <cell r="C22">
            <v>389109</v>
          </cell>
          <cell r="D22">
            <v>10704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379203</v>
          </cell>
          <cell r="D23">
            <v>16181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186027</v>
          </cell>
          <cell r="D24">
            <v>3681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104846</v>
          </cell>
          <cell r="D25">
            <v>7462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54142</v>
          </cell>
          <cell r="D26">
            <v>1225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255161956</v>
          </cell>
          <cell r="D10">
            <v>3370590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74404094</v>
          </cell>
          <cell r="D11">
            <v>1184641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53675855</v>
          </cell>
          <cell r="D12">
            <v>519309</v>
          </cell>
          <cell r="E12">
            <v>1117958</v>
          </cell>
        </row>
        <row r="13">
          <cell r="A13">
            <v>87149620002</v>
          </cell>
          <cell r="B13" t="str">
            <v>曲柄齒輪及其零件</v>
          </cell>
          <cell r="C13">
            <v>27599626</v>
          </cell>
          <cell r="D13">
            <v>902905</v>
          </cell>
          <cell r="E13">
            <v>0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24456370</v>
          </cell>
          <cell r="D14">
            <v>600997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23858703</v>
          </cell>
          <cell r="D15">
            <v>284214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22844495</v>
          </cell>
          <cell r="D16">
            <v>313281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12506859</v>
          </cell>
          <cell r="D17">
            <v>325727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12091894</v>
          </cell>
          <cell r="D18">
            <v>270988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9650682</v>
          </cell>
          <cell r="D19">
            <v>106769</v>
          </cell>
          <cell r="E19">
            <v>18968077</v>
          </cell>
        </row>
        <row r="20">
          <cell r="A20">
            <v>87149500007</v>
          </cell>
          <cell r="B20" t="str">
            <v>腳踏車車座</v>
          </cell>
          <cell r="C20">
            <v>8484709</v>
          </cell>
          <cell r="D20">
            <v>459741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4240535</v>
          </cell>
          <cell r="D21">
            <v>135159</v>
          </cell>
          <cell r="E21">
            <v>1326364</v>
          </cell>
        </row>
        <row r="22">
          <cell r="A22">
            <v>87149990148</v>
          </cell>
          <cell r="B22" t="str">
            <v>腳踏車用把手豎管</v>
          </cell>
          <cell r="C22">
            <v>4006217</v>
          </cell>
          <cell r="D22">
            <v>126909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3315306</v>
          </cell>
          <cell r="D23">
            <v>193999</v>
          </cell>
          <cell r="E23">
            <v>0</v>
          </cell>
        </row>
        <row r="24">
          <cell r="A24">
            <v>87149990139</v>
          </cell>
          <cell r="B24" t="str">
            <v>腳踏車用軸心</v>
          </cell>
          <cell r="C24">
            <v>807250</v>
          </cell>
          <cell r="D24">
            <v>68990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524082</v>
          </cell>
          <cell r="D25">
            <v>21580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408964</v>
          </cell>
          <cell r="D26">
            <v>9496</v>
          </cell>
          <cell r="E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611803454</v>
          </cell>
          <cell r="D3">
            <v>9415985</v>
          </cell>
        </row>
        <row r="4">
          <cell r="A4">
            <v>87149490009</v>
          </cell>
          <cell r="B4" t="str">
            <v>其他煞車器及其零件</v>
          </cell>
          <cell r="C4">
            <v>161428445</v>
          </cell>
          <cell r="D4">
            <v>3124502</v>
          </cell>
        </row>
        <row r="5">
          <cell r="A5">
            <v>87149990111</v>
          </cell>
          <cell r="B5" t="str">
            <v>腳踏車用變速器</v>
          </cell>
          <cell r="C5">
            <v>89904280</v>
          </cell>
          <cell r="D5">
            <v>790401</v>
          </cell>
        </row>
        <row r="6">
          <cell r="A6">
            <v>87149320906</v>
          </cell>
          <cell r="B6" t="str">
            <v>其他飛輪之鏈輪</v>
          </cell>
          <cell r="C6">
            <v>86752928</v>
          </cell>
          <cell r="D6">
            <v>1730651</v>
          </cell>
        </row>
        <row r="7">
          <cell r="A7">
            <v>87149620002</v>
          </cell>
          <cell r="B7" t="str">
            <v>曲柄齒輪及其零件</v>
          </cell>
          <cell r="C7">
            <v>81560270</v>
          </cell>
          <cell r="D7">
            <v>1536852</v>
          </cell>
        </row>
        <row r="8">
          <cell r="A8">
            <v>87149200304</v>
          </cell>
          <cell r="B8" t="str">
            <v>輪圈及輪幅</v>
          </cell>
          <cell r="C8">
            <v>70923080</v>
          </cell>
          <cell r="D8">
            <v>588847</v>
          </cell>
        </row>
        <row r="9">
          <cell r="A9">
            <v>87149990157</v>
          </cell>
          <cell r="B9" t="str">
            <v>腳踏車用座管及上下管</v>
          </cell>
          <cell r="C9">
            <v>51527500</v>
          </cell>
          <cell r="D9">
            <v>1161489</v>
          </cell>
        </row>
        <row r="10">
          <cell r="A10">
            <v>87149990166</v>
          </cell>
          <cell r="B10" t="str">
            <v>腳踏車用把手</v>
          </cell>
          <cell r="C10">
            <v>43706262</v>
          </cell>
          <cell r="D10">
            <v>1268562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41645195</v>
          </cell>
          <cell r="D11">
            <v>778101</v>
          </cell>
        </row>
        <row r="12">
          <cell r="A12">
            <v>87149610004</v>
          </cell>
          <cell r="B12" t="str">
            <v>踏板及其零件</v>
          </cell>
          <cell r="C12">
            <v>39341917</v>
          </cell>
          <cell r="D12">
            <v>1586636</v>
          </cell>
        </row>
        <row r="13">
          <cell r="A13">
            <v>87149200108</v>
          </cell>
          <cell r="B13" t="str">
            <v>輪圈</v>
          </cell>
          <cell r="C13">
            <v>30412258</v>
          </cell>
          <cell r="D13">
            <v>1371095</v>
          </cell>
        </row>
        <row r="14">
          <cell r="A14">
            <v>87149500007</v>
          </cell>
          <cell r="B14" t="str">
            <v>腳踏車車座</v>
          </cell>
          <cell r="C14">
            <v>28699039</v>
          </cell>
          <cell r="D14">
            <v>1126313</v>
          </cell>
        </row>
        <row r="15">
          <cell r="A15">
            <v>87149990148</v>
          </cell>
          <cell r="B15" t="str">
            <v>腳踏車用把手豎管</v>
          </cell>
          <cell r="C15">
            <v>24760200</v>
          </cell>
          <cell r="D15">
            <v>641282</v>
          </cell>
        </row>
        <row r="16">
          <cell r="A16">
            <v>87149200206</v>
          </cell>
          <cell r="B16" t="str">
            <v>輪幅</v>
          </cell>
          <cell r="C16">
            <v>8558109</v>
          </cell>
          <cell r="D16">
            <v>662058</v>
          </cell>
        </row>
        <row r="17">
          <cell r="A17">
            <v>87149410006</v>
          </cell>
          <cell r="B17" t="str">
            <v>鋼?煞車器及其零件</v>
          </cell>
          <cell r="C17">
            <v>4206155</v>
          </cell>
          <cell r="D17">
            <v>156566</v>
          </cell>
        </row>
        <row r="18">
          <cell r="A18">
            <v>87149990139</v>
          </cell>
          <cell r="B18" t="str">
            <v>腳踏車用軸心</v>
          </cell>
          <cell r="C18">
            <v>3242738</v>
          </cell>
          <cell r="D18">
            <v>171058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658265</v>
          </cell>
          <cell r="D19">
            <v>18533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332811775</v>
          </cell>
          <cell r="D3">
            <v>5022868</v>
          </cell>
        </row>
        <row r="4">
          <cell r="A4">
            <v>87149490009</v>
          </cell>
          <cell r="B4" t="str">
            <v>其他煞車器及其零件</v>
          </cell>
          <cell r="C4">
            <v>95845718</v>
          </cell>
          <cell r="D4">
            <v>1255477</v>
          </cell>
        </row>
        <row r="5">
          <cell r="A5">
            <v>87149200108</v>
          </cell>
          <cell r="B5" t="str">
            <v>輪圈</v>
          </cell>
          <cell r="C5">
            <v>51161289</v>
          </cell>
          <cell r="D5">
            <v>729320</v>
          </cell>
        </row>
        <row r="6">
          <cell r="A6">
            <v>87149990111</v>
          </cell>
          <cell r="B6" t="str">
            <v>腳踏車用變速器</v>
          </cell>
          <cell r="C6">
            <v>50017564</v>
          </cell>
          <cell r="D6">
            <v>496837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34937504</v>
          </cell>
          <cell r="D7">
            <v>919051</v>
          </cell>
        </row>
        <row r="8">
          <cell r="A8">
            <v>87149620002</v>
          </cell>
          <cell r="B8" t="str">
            <v>曲柄齒輪及其零件</v>
          </cell>
          <cell r="C8">
            <v>33734176</v>
          </cell>
          <cell r="D8">
            <v>1036323</v>
          </cell>
        </row>
        <row r="9">
          <cell r="A9">
            <v>87149990166</v>
          </cell>
          <cell r="B9" t="str">
            <v>腳踏車用把手</v>
          </cell>
          <cell r="C9">
            <v>19118578</v>
          </cell>
          <cell r="D9">
            <v>342143</v>
          </cell>
        </row>
        <row r="10">
          <cell r="A10">
            <v>87149320906</v>
          </cell>
          <cell r="B10" t="str">
            <v>其他飛輪之鏈輪</v>
          </cell>
          <cell r="C10">
            <v>15532051</v>
          </cell>
          <cell r="D10">
            <v>398920</v>
          </cell>
        </row>
        <row r="11">
          <cell r="A11">
            <v>87149990157</v>
          </cell>
          <cell r="B11" t="str">
            <v>腳踏車用座管及上下管</v>
          </cell>
          <cell r="C11">
            <v>11854066</v>
          </cell>
          <cell r="D11">
            <v>308462</v>
          </cell>
        </row>
        <row r="12">
          <cell r="A12">
            <v>87149500007</v>
          </cell>
          <cell r="B12" t="str">
            <v>腳踏車車座</v>
          </cell>
          <cell r="C12">
            <v>9089870</v>
          </cell>
          <cell r="D12">
            <v>538968</v>
          </cell>
        </row>
        <row r="13">
          <cell r="A13">
            <v>87149200304</v>
          </cell>
          <cell r="B13" t="str">
            <v>輪圈及輪幅</v>
          </cell>
          <cell r="C13">
            <v>7216139</v>
          </cell>
          <cell r="D13">
            <v>180082</v>
          </cell>
        </row>
        <row r="14">
          <cell r="A14">
            <v>87149200206</v>
          </cell>
          <cell r="B14" t="str">
            <v>輪幅</v>
          </cell>
          <cell r="C14">
            <v>6909500</v>
          </cell>
          <cell r="D14">
            <v>84767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4200672</v>
          </cell>
          <cell r="D15">
            <v>79270</v>
          </cell>
        </row>
        <row r="16">
          <cell r="A16">
            <v>87149990148</v>
          </cell>
          <cell r="B16" t="str">
            <v>腳踏車用把手豎管</v>
          </cell>
          <cell r="C16">
            <v>3886960</v>
          </cell>
          <cell r="D16">
            <v>129604</v>
          </cell>
        </row>
        <row r="17">
          <cell r="A17">
            <v>87149610004</v>
          </cell>
          <cell r="B17" t="str">
            <v>踏板及其零件</v>
          </cell>
          <cell r="C17">
            <v>3760639</v>
          </cell>
          <cell r="D17">
            <v>205642</v>
          </cell>
        </row>
        <row r="18">
          <cell r="A18">
            <v>87149410006</v>
          </cell>
          <cell r="B18" t="str">
            <v>鋼?煞車器及其零件</v>
          </cell>
          <cell r="C18">
            <v>2975727</v>
          </cell>
          <cell r="D18">
            <v>53097</v>
          </cell>
        </row>
        <row r="19">
          <cell r="A19">
            <v>87149990139</v>
          </cell>
          <cell r="B19" t="str">
            <v>腳踏車用軸心</v>
          </cell>
          <cell r="C19">
            <v>1220089</v>
          </cell>
          <cell r="D19">
            <v>89672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306876719</v>
          </cell>
          <cell r="D3">
            <v>4660320</v>
          </cell>
        </row>
        <row r="4">
          <cell r="A4">
            <v>87149490009</v>
          </cell>
          <cell r="B4" t="str">
            <v>其他煞車器及其零件</v>
          </cell>
          <cell r="C4">
            <v>88558590</v>
          </cell>
          <cell r="D4">
            <v>1157571</v>
          </cell>
        </row>
        <row r="5">
          <cell r="A5">
            <v>87149200108</v>
          </cell>
          <cell r="B5" t="str">
            <v>輪圈</v>
          </cell>
          <cell r="C5">
            <v>46914738</v>
          </cell>
          <cell r="D5">
            <v>686353</v>
          </cell>
        </row>
        <row r="6">
          <cell r="A6">
            <v>87149990111</v>
          </cell>
          <cell r="B6" t="str">
            <v>腳踏車用變速器</v>
          </cell>
          <cell r="C6">
            <v>45892076</v>
          </cell>
          <cell r="D6">
            <v>449468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33253843</v>
          </cell>
          <cell r="D7">
            <v>860866</v>
          </cell>
        </row>
        <row r="8">
          <cell r="A8">
            <v>87149620002</v>
          </cell>
          <cell r="B8" t="str">
            <v>曲柄齒輪及其零件</v>
          </cell>
          <cell r="C8">
            <v>30928676</v>
          </cell>
          <cell r="D8">
            <v>956878</v>
          </cell>
        </row>
        <row r="9">
          <cell r="A9">
            <v>87149990166</v>
          </cell>
          <cell r="B9" t="str">
            <v>腳踏車用把手</v>
          </cell>
          <cell r="C9">
            <v>17306239</v>
          </cell>
          <cell r="D9">
            <v>312040</v>
          </cell>
        </row>
        <row r="10">
          <cell r="A10">
            <v>87149320906</v>
          </cell>
          <cell r="B10" t="str">
            <v>其他飛輪之鏈輪</v>
          </cell>
          <cell r="C10">
            <v>13959429</v>
          </cell>
          <cell r="D10">
            <v>369595</v>
          </cell>
        </row>
        <row r="11">
          <cell r="A11">
            <v>87149990157</v>
          </cell>
          <cell r="B11" t="str">
            <v>腳踏車用座管及上下管</v>
          </cell>
          <cell r="C11">
            <v>10736296</v>
          </cell>
          <cell r="D11">
            <v>283164</v>
          </cell>
        </row>
        <row r="12">
          <cell r="A12">
            <v>87149500007</v>
          </cell>
          <cell r="B12" t="str">
            <v>腳踏車車座</v>
          </cell>
          <cell r="C12">
            <v>8605481</v>
          </cell>
          <cell r="D12">
            <v>500911</v>
          </cell>
        </row>
        <row r="13">
          <cell r="A13">
            <v>87149200304</v>
          </cell>
          <cell r="B13" t="str">
            <v>輪圈及輪幅</v>
          </cell>
          <cell r="C13">
            <v>6794201</v>
          </cell>
          <cell r="D13">
            <v>155871</v>
          </cell>
        </row>
        <row r="14">
          <cell r="A14">
            <v>87149200206</v>
          </cell>
          <cell r="B14" t="str">
            <v>輪幅</v>
          </cell>
          <cell r="C14">
            <v>5976106</v>
          </cell>
          <cell r="D14">
            <v>76532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4119559</v>
          </cell>
          <cell r="D15">
            <v>77833</v>
          </cell>
        </row>
        <row r="16">
          <cell r="A16">
            <v>87149990148</v>
          </cell>
          <cell r="B16" t="str">
            <v>腳踏車用把手豎管</v>
          </cell>
          <cell r="C16">
            <v>3599219</v>
          </cell>
          <cell r="D16">
            <v>122137</v>
          </cell>
        </row>
        <row r="17">
          <cell r="A17">
            <v>87149610004</v>
          </cell>
          <cell r="B17" t="str">
            <v>踏板及其零件</v>
          </cell>
          <cell r="C17">
            <v>3577943</v>
          </cell>
          <cell r="D17">
            <v>179677</v>
          </cell>
        </row>
        <row r="18">
          <cell r="A18">
            <v>87149410006</v>
          </cell>
          <cell r="B18" t="str">
            <v>鋼?煞車器及其零件</v>
          </cell>
          <cell r="C18">
            <v>2865982</v>
          </cell>
          <cell r="D18">
            <v>51283</v>
          </cell>
        </row>
        <row r="19">
          <cell r="A19">
            <v>87149990139</v>
          </cell>
          <cell r="B19" t="str">
            <v>腳踏車用軸心</v>
          </cell>
          <cell r="C19">
            <v>1123816</v>
          </cell>
          <cell r="D19">
            <v>83439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859876081</v>
          </cell>
          <cell r="C10">
            <v>750306</v>
          </cell>
        </row>
        <row r="11">
          <cell r="A11" t="str">
            <v>美國</v>
          </cell>
          <cell r="B11">
            <v>264662806</v>
          </cell>
          <cell r="C11">
            <v>250929</v>
          </cell>
        </row>
        <row r="12">
          <cell r="A12" t="str">
            <v>中國大陸</v>
          </cell>
          <cell r="B12">
            <v>125998459</v>
          </cell>
          <cell r="C12">
            <v>92223</v>
          </cell>
        </row>
        <row r="13">
          <cell r="A13" t="str">
            <v>荷蘭</v>
          </cell>
          <cell r="B13">
            <v>117539658</v>
          </cell>
          <cell r="C13">
            <v>68909</v>
          </cell>
        </row>
        <row r="14">
          <cell r="A14" t="str">
            <v>英國</v>
          </cell>
          <cell r="B14">
            <v>45618106</v>
          </cell>
          <cell r="C14">
            <v>45229</v>
          </cell>
        </row>
        <row r="15">
          <cell r="A15" t="str">
            <v>加拿大</v>
          </cell>
          <cell r="B15">
            <v>32938592</v>
          </cell>
          <cell r="C15">
            <v>22021</v>
          </cell>
        </row>
        <row r="16">
          <cell r="A16" t="str">
            <v>澳大利亞</v>
          </cell>
          <cell r="B16">
            <v>31810120</v>
          </cell>
          <cell r="C16">
            <v>26679</v>
          </cell>
        </row>
        <row r="17">
          <cell r="A17" t="str">
            <v>德國</v>
          </cell>
          <cell r="B17">
            <v>30458870</v>
          </cell>
          <cell r="C17">
            <v>43133</v>
          </cell>
        </row>
        <row r="18">
          <cell r="A18" t="str">
            <v>日本</v>
          </cell>
          <cell r="B18">
            <v>23132196</v>
          </cell>
          <cell r="C18">
            <v>30195</v>
          </cell>
        </row>
        <row r="19">
          <cell r="A19" t="str">
            <v>比利時</v>
          </cell>
          <cell r="B19">
            <v>20190657</v>
          </cell>
          <cell r="C19">
            <v>21561</v>
          </cell>
        </row>
        <row r="20">
          <cell r="A20" t="str">
            <v>西班牙</v>
          </cell>
          <cell r="B20">
            <v>19250196</v>
          </cell>
          <cell r="C20">
            <v>11381</v>
          </cell>
        </row>
        <row r="21">
          <cell r="A21" t="str">
            <v>瑞士</v>
          </cell>
          <cell r="B21">
            <v>17376897</v>
          </cell>
          <cell r="C21">
            <v>11765</v>
          </cell>
        </row>
        <row r="22">
          <cell r="A22" t="str">
            <v>韓國</v>
          </cell>
          <cell r="B22">
            <v>15965743</v>
          </cell>
          <cell r="C22">
            <v>9673</v>
          </cell>
        </row>
        <row r="23">
          <cell r="A23" t="str">
            <v>義大利</v>
          </cell>
          <cell r="B23">
            <v>15852606</v>
          </cell>
          <cell r="C23">
            <v>10598</v>
          </cell>
        </row>
        <row r="24">
          <cell r="A24" t="str">
            <v>法國</v>
          </cell>
          <cell r="B24">
            <v>11987189</v>
          </cell>
          <cell r="C24">
            <v>7422</v>
          </cell>
        </row>
        <row r="25">
          <cell r="A25" t="str">
            <v>波蘭</v>
          </cell>
          <cell r="B25">
            <v>6914716</v>
          </cell>
          <cell r="C25">
            <v>13773</v>
          </cell>
        </row>
        <row r="26">
          <cell r="A26" t="str">
            <v>挪威</v>
          </cell>
          <cell r="B26">
            <v>6618399</v>
          </cell>
          <cell r="C26">
            <v>9037</v>
          </cell>
        </row>
        <row r="27">
          <cell r="A27" t="str">
            <v>墨西哥</v>
          </cell>
          <cell r="B27">
            <v>5325773</v>
          </cell>
          <cell r="C27">
            <v>3795</v>
          </cell>
        </row>
        <row r="28">
          <cell r="A28" t="str">
            <v>南非</v>
          </cell>
          <cell r="B28">
            <v>5234467</v>
          </cell>
          <cell r="C28">
            <v>2559</v>
          </cell>
        </row>
        <row r="29">
          <cell r="A29" t="str">
            <v>巴拿馬</v>
          </cell>
          <cell r="B29">
            <v>4913106</v>
          </cell>
          <cell r="C29">
            <v>2328</v>
          </cell>
        </row>
        <row r="30">
          <cell r="A30" t="str">
            <v>紐西蘭</v>
          </cell>
          <cell r="B30">
            <v>4358555</v>
          </cell>
          <cell r="C30">
            <v>3316</v>
          </cell>
        </row>
        <row r="31">
          <cell r="A31" t="str">
            <v>哥倫比亞</v>
          </cell>
          <cell r="B31">
            <v>4139742</v>
          </cell>
          <cell r="C31">
            <v>2635</v>
          </cell>
        </row>
        <row r="32">
          <cell r="A32" t="str">
            <v>捷克</v>
          </cell>
          <cell r="B32">
            <v>4105285</v>
          </cell>
          <cell r="C32">
            <v>7093</v>
          </cell>
        </row>
        <row r="33">
          <cell r="A33" t="str">
            <v>俄羅斯</v>
          </cell>
          <cell r="B33">
            <v>3566850</v>
          </cell>
          <cell r="C33">
            <v>3464</v>
          </cell>
        </row>
        <row r="34">
          <cell r="A34" t="str">
            <v>香港</v>
          </cell>
          <cell r="B34">
            <v>3455628</v>
          </cell>
          <cell r="C34">
            <v>2475</v>
          </cell>
        </row>
        <row r="35">
          <cell r="A35" t="str">
            <v>丹麥</v>
          </cell>
          <cell r="B35">
            <v>3106059</v>
          </cell>
          <cell r="C35">
            <v>13087</v>
          </cell>
        </row>
        <row r="36">
          <cell r="A36" t="str">
            <v>瑞典</v>
          </cell>
          <cell r="B36">
            <v>3022579</v>
          </cell>
          <cell r="C36">
            <v>8900</v>
          </cell>
        </row>
        <row r="37">
          <cell r="A37" t="str">
            <v>巴西</v>
          </cell>
          <cell r="B37">
            <v>2980499</v>
          </cell>
          <cell r="C37">
            <v>1617</v>
          </cell>
        </row>
        <row r="38">
          <cell r="A38" t="str">
            <v>智利</v>
          </cell>
          <cell r="B38">
            <v>2709505</v>
          </cell>
          <cell r="C38">
            <v>1893</v>
          </cell>
        </row>
        <row r="39">
          <cell r="A39" t="str">
            <v>新加坡</v>
          </cell>
          <cell r="B39">
            <v>2528313</v>
          </cell>
          <cell r="C39">
            <v>1488</v>
          </cell>
        </row>
        <row r="40">
          <cell r="A40" t="str">
            <v>馬來西亞</v>
          </cell>
          <cell r="B40">
            <v>2373767</v>
          </cell>
          <cell r="C40">
            <v>1111</v>
          </cell>
        </row>
        <row r="41">
          <cell r="A41" t="str">
            <v>泰國</v>
          </cell>
          <cell r="B41">
            <v>2023062</v>
          </cell>
          <cell r="C41">
            <v>1624</v>
          </cell>
        </row>
        <row r="42">
          <cell r="A42" t="str">
            <v>菲律賓</v>
          </cell>
          <cell r="B42">
            <v>1923653</v>
          </cell>
          <cell r="C42">
            <v>2886</v>
          </cell>
        </row>
        <row r="43">
          <cell r="A43" t="str">
            <v>哥斯大黎加</v>
          </cell>
          <cell r="B43">
            <v>1824144</v>
          </cell>
          <cell r="C43">
            <v>937</v>
          </cell>
        </row>
        <row r="44">
          <cell r="A44" t="str">
            <v>阿拉伯聯合大公國</v>
          </cell>
          <cell r="B44">
            <v>1678674</v>
          </cell>
          <cell r="C44">
            <v>1736</v>
          </cell>
        </row>
        <row r="45">
          <cell r="A45" t="str">
            <v>斯洛維尼亞</v>
          </cell>
          <cell r="B45">
            <v>1647256</v>
          </cell>
          <cell r="C45">
            <v>1375</v>
          </cell>
        </row>
        <row r="46">
          <cell r="A46" t="str">
            <v>厄瓜多</v>
          </cell>
          <cell r="B46">
            <v>1611517</v>
          </cell>
          <cell r="C46">
            <v>1163</v>
          </cell>
        </row>
        <row r="47">
          <cell r="A47" t="str">
            <v>阿根廷</v>
          </cell>
          <cell r="B47">
            <v>1592284</v>
          </cell>
          <cell r="C47">
            <v>789</v>
          </cell>
        </row>
        <row r="48">
          <cell r="A48" t="str">
            <v>印度</v>
          </cell>
          <cell r="B48">
            <v>991588</v>
          </cell>
          <cell r="C48">
            <v>939</v>
          </cell>
        </row>
        <row r="49">
          <cell r="A49" t="str">
            <v>以色列</v>
          </cell>
          <cell r="B49">
            <v>810583</v>
          </cell>
          <cell r="C49">
            <v>533</v>
          </cell>
        </row>
        <row r="50">
          <cell r="A50" t="str">
            <v>越南</v>
          </cell>
          <cell r="B50">
            <v>734463</v>
          </cell>
          <cell r="C50">
            <v>413</v>
          </cell>
        </row>
        <row r="51">
          <cell r="A51" t="str">
            <v>瓜地馬拉</v>
          </cell>
          <cell r="B51">
            <v>654667</v>
          </cell>
          <cell r="C51">
            <v>413</v>
          </cell>
        </row>
        <row r="52">
          <cell r="A52" t="str">
            <v>波多黎各</v>
          </cell>
          <cell r="B52">
            <v>605194</v>
          </cell>
          <cell r="C52">
            <v>405</v>
          </cell>
        </row>
        <row r="53">
          <cell r="A53" t="str">
            <v>愛爾蘭</v>
          </cell>
          <cell r="B53">
            <v>454951</v>
          </cell>
          <cell r="C53">
            <v>1148</v>
          </cell>
        </row>
        <row r="54">
          <cell r="A54" t="str">
            <v>盧森堡</v>
          </cell>
          <cell r="B54">
            <v>426812</v>
          </cell>
          <cell r="C54">
            <v>151</v>
          </cell>
        </row>
        <row r="55">
          <cell r="A55" t="str">
            <v>匈牙利</v>
          </cell>
          <cell r="B55">
            <v>408758</v>
          </cell>
          <cell r="C55">
            <v>565</v>
          </cell>
        </row>
        <row r="56">
          <cell r="A56" t="str">
            <v>關島</v>
          </cell>
          <cell r="B56">
            <v>402202</v>
          </cell>
          <cell r="C56">
            <v>148</v>
          </cell>
        </row>
        <row r="57">
          <cell r="A57" t="str">
            <v>烏拉圭</v>
          </cell>
          <cell r="B57">
            <v>368972</v>
          </cell>
          <cell r="C57">
            <v>276</v>
          </cell>
        </row>
        <row r="58">
          <cell r="A58" t="str">
            <v>哈薩克</v>
          </cell>
          <cell r="B58">
            <v>354272</v>
          </cell>
          <cell r="C58">
            <v>208</v>
          </cell>
        </row>
        <row r="59">
          <cell r="A59" t="str">
            <v>薩爾瓦多</v>
          </cell>
          <cell r="B59">
            <v>306896</v>
          </cell>
          <cell r="C59">
            <v>206</v>
          </cell>
        </row>
        <row r="60">
          <cell r="A60" t="str">
            <v>秘魯</v>
          </cell>
          <cell r="B60">
            <v>288478</v>
          </cell>
          <cell r="C60">
            <v>144</v>
          </cell>
        </row>
        <row r="61">
          <cell r="A61" t="str">
            <v>印尼</v>
          </cell>
          <cell r="B61">
            <v>285886</v>
          </cell>
          <cell r="C61">
            <v>175</v>
          </cell>
        </row>
        <row r="62">
          <cell r="A62" t="str">
            <v>立陶宛</v>
          </cell>
          <cell r="B62">
            <v>255739</v>
          </cell>
          <cell r="C62">
            <v>466</v>
          </cell>
        </row>
        <row r="63">
          <cell r="A63" t="str">
            <v>模里西斯</v>
          </cell>
          <cell r="B63">
            <v>226623</v>
          </cell>
          <cell r="C63">
            <v>166</v>
          </cell>
        </row>
        <row r="64">
          <cell r="A64" t="str">
            <v>愛沙尼亞</v>
          </cell>
          <cell r="B64">
            <v>216361</v>
          </cell>
          <cell r="C64">
            <v>815</v>
          </cell>
        </row>
        <row r="65">
          <cell r="A65" t="str">
            <v>多明尼加</v>
          </cell>
          <cell r="B65">
            <v>194065</v>
          </cell>
          <cell r="C65">
            <v>163</v>
          </cell>
        </row>
        <row r="66">
          <cell r="A66" t="str">
            <v>巴拉圭</v>
          </cell>
          <cell r="B66">
            <v>158606</v>
          </cell>
          <cell r="C66">
            <v>76</v>
          </cell>
        </row>
        <row r="67">
          <cell r="A67" t="str">
            <v>奧地利</v>
          </cell>
          <cell r="B67">
            <v>149544</v>
          </cell>
          <cell r="C67">
            <v>65</v>
          </cell>
        </row>
        <row r="68">
          <cell r="A68" t="str">
            <v>克羅埃西亞</v>
          </cell>
          <cell r="B68">
            <v>117992</v>
          </cell>
          <cell r="C68">
            <v>335</v>
          </cell>
        </row>
        <row r="69">
          <cell r="A69" t="str">
            <v>土耳其</v>
          </cell>
          <cell r="B69">
            <v>111748</v>
          </cell>
          <cell r="C69">
            <v>79</v>
          </cell>
        </row>
        <row r="70">
          <cell r="A70" t="str">
            <v>肯亞</v>
          </cell>
          <cell r="B70">
            <v>104251</v>
          </cell>
          <cell r="C70">
            <v>62</v>
          </cell>
        </row>
        <row r="71">
          <cell r="A71" t="str">
            <v>吉爾吉斯</v>
          </cell>
          <cell r="B71">
            <v>95032</v>
          </cell>
          <cell r="C71">
            <v>35</v>
          </cell>
        </row>
        <row r="72">
          <cell r="A72" t="str">
            <v>芬蘭</v>
          </cell>
          <cell r="B72">
            <v>85539</v>
          </cell>
          <cell r="C72">
            <v>137</v>
          </cell>
        </row>
        <row r="73">
          <cell r="A73" t="str">
            <v>柬埔寨</v>
          </cell>
          <cell r="B73">
            <v>78382</v>
          </cell>
          <cell r="C73">
            <v>26</v>
          </cell>
        </row>
        <row r="74">
          <cell r="A74" t="str">
            <v>沙烏地阿拉伯</v>
          </cell>
          <cell r="B74">
            <v>74164</v>
          </cell>
          <cell r="C74">
            <v>400</v>
          </cell>
        </row>
        <row r="75">
          <cell r="A75" t="str">
            <v>尼泊爾</v>
          </cell>
          <cell r="B75">
            <v>67349</v>
          </cell>
          <cell r="C75">
            <v>42</v>
          </cell>
        </row>
        <row r="76">
          <cell r="A76" t="str">
            <v>烏克蘭</v>
          </cell>
          <cell r="B76">
            <v>63160</v>
          </cell>
          <cell r="C76">
            <v>151</v>
          </cell>
        </row>
        <row r="77">
          <cell r="A77" t="str">
            <v>葡萄牙</v>
          </cell>
          <cell r="B77">
            <v>52032</v>
          </cell>
          <cell r="C77">
            <v>23</v>
          </cell>
        </row>
        <row r="78">
          <cell r="A78" t="str">
            <v>留尼旺</v>
          </cell>
          <cell r="B78">
            <v>49075</v>
          </cell>
          <cell r="C78">
            <v>34</v>
          </cell>
        </row>
        <row r="79">
          <cell r="A79" t="str">
            <v>阿魯巴</v>
          </cell>
          <cell r="B79">
            <v>40092</v>
          </cell>
          <cell r="C79">
            <v>25</v>
          </cell>
        </row>
        <row r="80">
          <cell r="A80" t="str">
            <v>蒙古</v>
          </cell>
          <cell r="B80">
            <v>39760</v>
          </cell>
          <cell r="C80">
            <v>35</v>
          </cell>
        </row>
        <row r="81">
          <cell r="A81" t="str">
            <v>卡達</v>
          </cell>
          <cell r="B81">
            <v>35476</v>
          </cell>
          <cell r="C81">
            <v>33</v>
          </cell>
        </row>
        <row r="82">
          <cell r="A82" t="str">
            <v>委內瑞拉</v>
          </cell>
          <cell r="B82">
            <v>29720</v>
          </cell>
          <cell r="C82">
            <v>24</v>
          </cell>
        </row>
        <row r="83">
          <cell r="A83" t="str">
            <v>保加利亞</v>
          </cell>
          <cell r="B83">
            <v>19564</v>
          </cell>
          <cell r="C83">
            <v>110</v>
          </cell>
        </row>
        <row r="84">
          <cell r="A84" t="str">
            <v>法屬玻里尼西亞</v>
          </cell>
          <cell r="B84">
            <v>18330</v>
          </cell>
          <cell r="C84">
            <v>100</v>
          </cell>
        </row>
        <row r="85">
          <cell r="A85" t="str">
            <v>賽普勒斯</v>
          </cell>
          <cell r="B85">
            <v>17159</v>
          </cell>
          <cell r="C85">
            <v>128</v>
          </cell>
        </row>
        <row r="86">
          <cell r="A86" t="str">
            <v>拉脫維亞</v>
          </cell>
          <cell r="B86">
            <v>16606</v>
          </cell>
          <cell r="C86">
            <v>89</v>
          </cell>
        </row>
        <row r="87">
          <cell r="A87" t="str">
            <v>黎巴嫩</v>
          </cell>
          <cell r="B87">
            <v>10743</v>
          </cell>
          <cell r="C87">
            <v>24</v>
          </cell>
        </row>
        <row r="88">
          <cell r="A88" t="str">
            <v>冰島</v>
          </cell>
          <cell r="B88">
            <v>6535</v>
          </cell>
          <cell r="C88">
            <v>4</v>
          </cell>
        </row>
        <row r="89">
          <cell r="A89" t="str">
            <v>希臘</v>
          </cell>
          <cell r="B89">
            <v>5233</v>
          </cell>
          <cell r="C89">
            <v>34</v>
          </cell>
        </row>
        <row r="90">
          <cell r="A90" t="str">
            <v>蘇利南</v>
          </cell>
          <cell r="B90">
            <v>5147</v>
          </cell>
          <cell r="C90">
            <v>2</v>
          </cell>
        </row>
        <row r="91">
          <cell r="A91" t="str">
            <v>馬紹爾群島共和國</v>
          </cell>
          <cell r="B91">
            <v>781</v>
          </cell>
          <cell r="C91">
            <v>10</v>
          </cell>
        </row>
        <row r="92">
          <cell r="A92" t="str">
            <v>史瓦帝尼王國</v>
          </cell>
          <cell r="B92">
            <v>338</v>
          </cell>
          <cell r="C92">
            <v>4</v>
          </cell>
        </row>
        <row r="93">
          <cell r="A93" t="str">
            <v>馬達加斯加</v>
          </cell>
          <cell r="B93">
            <v>312</v>
          </cell>
          <cell r="C93">
            <v>1</v>
          </cell>
        </row>
        <row r="94">
          <cell r="A94" t="str">
            <v>象牙海岸</v>
          </cell>
          <cell r="B94">
            <v>281</v>
          </cell>
          <cell r="C94">
            <v>55</v>
          </cell>
        </row>
        <row r="95">
          <cell r="A95" t="str">
            <v>多哥</v>
          </cell>
          <cell r="B95">
            <v>219</v>
          </cell>
          <cell r="C95">
            <v>14</v>
          </cell>
        </row>
        <row r="96">
          <cell r="A96" t="str">
            <v>塞內加爾</v>
          </cell>
          <cell r="B96">
            <v>156</v>
          </cell>
          <cell r="C96">
            <v>6</v>
          </cell>
        </row>
        <row r="97">
          <cell r="A97" t="str">
            <v>坦尚尼亞</v>
          </cell>
          <cell r="B97">
            <v>125</v>
          </cell>
          <cell r="C97">
            <v>1</v>
          </cell>
        </row>
        <row r="98">
          <cell r="A98" t="str">
            <v>伊拉克</v>
          </cell>
          <cell r="B98">
            <v>96</v>
          </cell>
          <cell r="C98">
            <v>3</v>
          </cell>
        </row>
        <row r="99">
          <cell r="A99" t="str">
            <v>甘比亞</v>
          </cell>
          <cell r="B99">
            <v>64</v>
          </cell>
          <cell r="C99">
            <v>2</v>
          </cell>
        </row>
        <row r="100">
          <cell r="A100" t="str">
            <v>迦納</v>
          </cell>
          <cell r="B100">
            <v>32</v>
          </cell>
          <cell r="C100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2294954</v>
          </cell>
          <cell r="C10">
            <v>14658</v>
          </cell>
        </row>
        <row r="11">
          <cell r="A11" t="str">
            <v>中國大陸</v>
          </cell>
          <cell r="B11">
            <v>1999222</v>
          </cell>
          <cell r="C11">
            <v>14338</v>
          </cell>
        </row>
        <row r="12">
          <cell r="A12" t="str">
            <v>義大利</v>
          </cell>
          <cell r="B12">
            <v>152641</v>
          </cell>
          <cell r="C12">
            <v>48</v>
          </cell>
        </row>
        <row r="13">
          <cell r="A13" t="str">
            <v>柬埔寨</v>
          </cell>
          <cell r="B13">
            <v>45389</v>
          </cell>
          <cell r="C13">
            <v>190</v>
          </cell>
        </row>
        <row r="14">
          <cell r="A14" t="str">
            <v>美國</v>
          </cell>
          <cell r="B14">
            <v>26946</v>
          </cell>
          <cell r="C14">
            <v>4</v>
          </cell>
        </row>
        <row r="15">
          <cell r="A15" t="str">
            <v>德國</v>
          </cell>
          <cell r="B15">
            <v>25322</v>
          </cell>
          <cell r="C15">
            <v>5</v>
          </cell>
        </row>
        <row r="16">
          <cell r="A16" t="str">
            <v>中華民國</v>
          </cell>
          <cell r="B16">
            <v>20663</v>
          </cell>
          <cell r="C16">
            <v>46</v>
          </cell>
        </row>
        <row r="17">
          <cell r="A17" t="str">
            <v>西班牙</v>
          </cell>
          <cell r="B17">
            <v>16693</v>
          </cell>
          <cell r="C17">
            <v>12</v>
          </cell>
        </row>
        <row r="18">
          <cell r="A18" t="str">
            <v>荷蘭</v>
          </cell>
          <cell r="B18">
            <v>5095</v>
          </cell>
          <cell r="C18">
            <v>1</v>
          </cell>
        </row>
        <row r="19">
          <cell r="A19" t="str">
            <v>越南</v>
          </cell>
          <cell r="B19">
            <v>1719</v>
          </cell>
          <cell r="C19">
            <v>1</v>
          </cell>
        </row>
        <row r="20">
          <cell r="A20" t="str">
            <v>日本</v>
          </cell>
          <cell r="B20">
            <v>1014</v>
          </cell>
          <cell r="C20">
            <v>11</v>
          </cell>
        </row>
        <row r="21">
          <cell r="A21" t="str">
            <v>法國</v>
          </cell>
          <cell r="B21">
            <v>156</v>
          </cell>
          <cell r="C21">
            <v>1</v>
          </cell>
        </row>
        <row r="22">
          <cell r="A22" t="str">
            <v>英國</v>
          </cell>
          <cell r="B22">
            <v>94</v>
          </cell>
          <cell r="C22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24922382</v>
          </cell>
          <cell r="C10">
            <v>175419</v>
          </cell>
        </row>
        <row r="11">
          <cell r="A11" t="str">
            <v>中國大陸</v>
          </cell>
          <cell r="B11">
            <v>21152717</v>
          </cell>
          <cell r="C11">
            <v>171078</v>
          </cell>
        </row>
        <row r="12">
          <cell r="A12" t="str">
            <v>越南</v>
          </cell>
          <cell r="B12">
            <v>846856</v>
          </cell>
          <cell r="C12">
            <v>763</v>
          </cell>
        </row>
        <row r="13">
          <cell r="A13" t="str">
            <v>中華民國</v>
          </cell>
          <cell r="B13">
            <v>701501</v>
          </cell>
          <cell r="C13">
            <v>1697</v>
          </cell>
        </row>
        <row r="14">
          <cell r="A14" t="str">
            <v>英國</v>
          </cell>
          <cell r="B14">
            <v>632669</v>
          </cell>
          <cell r="C14">
            <v>438</v>
          </cell>
        </row>
        <row r="15">
          <cell r="A15" t="str">
            <v>德國</v>
          </cell>
          <cell r="B15">
            <v>458062</v>
          </cell>
          <cell r="C15">
            <v>85</v>
          </cell>
        </row>
        <row r="16">
          <cell r="A16" t="str">
            <v>義大利</v>
          </cell>
          <cell r="B16">
            <v>383613</v>
          </cell>
          <cell r="C16">
            <v>106</v>
          </cell>
        </row>
        <row r="17">
          <cell r="A17" t="str">
            <v>柬埔寨</v>
          </cell>
          <cell r="B17">
            <v>317847</v>
          </cell>
          <cell r="C17">
            <v>802</v>
          </cell>
        </row>
        <row r="18">
          <cell r="A18" t="str">
            <v>美國</v>
          </cell>
          <cell r="B18">
            <v>157251</v>
          </cell>
          <cell r="C18">
            <v>51</v>
          </cell>
        </row>
        <row r="19">
          <cell r="A19" t="str">
            <v>比利時</v>
          </cell>
          <cell r="B19">
            <v>103833</v>
          </cell>
          <cell r="C19">
            <v>57</v>
          </cell>
        </row>
        <row r="20">
          <cell r="A20" t="str">
            <v>西班牙</v>
          </cell>
          <cell r="B20">
            <v>59527</v>
          </cell>
          <cell r="C20">
            <v>26</v>
          </cell>
        </row>
        <row r="21">
          <cell r="A21" t="str">
            <v>日本</v>
          </cell>
          <cell r="B21">
            <v>32022</v>
          </cell>
          <cell r="C21">
            <v>179</v>
          </cell>
        </row>
        <row r="22">
          <cell r="A22" t="str">
            <v>法國</v>
          </cell>
          <cell r="B22">
            <v>25722</v>
          </cell>
          <cell r="C22">
            <v>12</v>
          </cell>
        </row>
        <row r="23">
          <cell r="A23" t="str">
            <v>新加坡</v>
          </cell>
          <cell r="B23">
            <v>21666</v>
          </cell>
          <cell r="C23">
            <v>11</v>
          </cell>
        </row>
        <row r="24">
          <cell r="A24" t="str">
            <v>奧地利</v>
          </cell>
          <cell r="B24">
            <v>10927</v>
          </cell>
          <cell r="C24">
            <v>4</v>
          </cell>
        </row>
        <row r="25">
          <cell r="A25" t="str">
            <v>孟加拉</v>
          </cell>
          <cell r="B25">
            <v>9813</v>
          </cell>
          <cell r="C25">
            <v>104</v>
          </cell>
        </row>
        <row r="26">
          <cell r="A26" t="str">
            <v>荷蘭</v>
          </cell>
          <cell r="B26">
            <v>5320</v>
          </cell>
          <cell r="C26">
            <v>2</v>
          </cell>
        </row>
        <row r="27">
          <cell r="A27" t="str">
            <v>保加利亞</v>
          </cell>
          <cell r="B27">
            <v>2015</v>
          </cell>
          <cell r="C27">
            <v>2</v>
          </cell>
        </row>
        <row r="28">
          <cell r="A28" t="str">
            <v>馬來西亞</v>
          </cell>
          <cell r="B28">
            <v>866</v>
          </cell>
          <cell r="C28">
            <v>1</v>
          </cell>
        </row>
        <row r="29">
          <cell r="A29" t="str">
            <v>瑞士</v>
          </cell>
          <cell r="B29">
            <v>155</v>
          </cell>
          <cell r="C29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48507216</v>
          </cell>
          <cell r="C10">
            <v>24487</v>
          </cell>
        </row>
        <row r="11">
          <cell r="A11" t="str">
            <v>荷蘭</v>
          </cell>
          <cell r="B11">
            <v>16343979</v>
          </cell>
          <cell r="C11">
            <v>8223</v>
          </cell>
        </row>
        <row r="12">
          <cell r="A12" t="str">
            <v>美國</v>
          </cell>
          <cell r="B12">
            <v>13211190</v>
          </cell>
          <cell r="C12">
            <v>6200</v>
          </cell>
        </row>
        <row r="13">
          <cell r="A13" t="str">
            <v>瑞士</v>
          </cell>
          <cell r="B13">
            <v>3390778</v>
          </cell>
          <cell r="C13">
            <v>1549</v>
          </cell>
        </row>
        <row r="14">
          <cell r="A14" t="str">
            <v>加拿大</v>
          </cell>
          <cell r="B14">
            <v>2500499</v>
          </cell>
          <cell r="C14">
            <v>1159</v>
          </cell>
        </row>
        <row r="15">
          <cell r="A15" t="str">
            <v>德國</v>
          </cell>
          <cell r="B15">
            <v>2163581</v>
          </cell>
          <cell r="C15">
            <v>1670</v>
          </cell>
        </row>
        <row r="16">
          <cell r="A16" t="str">
            <v>英國</v>
          </cell>
          <cell r="B16">
            <v>2057236</v>
          </cell>
          <cell r="C16">
            <v>1054</v>
          </cell>
        </row>
        <row r="17">
          <cell r="A17" t="str">
            <v>西班牙</v>
          </cell>
          <cell r="B17">
            <v>1608190</v>
          </cell>
          <cell r="C17">
            <v>794</v>
          </cell>
        </row>
        <row r="18">
          <cell r="A18" t="str">
            <v>義大利</v>
          </cell>
          <cell r="B18">
            <v>1576617</v>
          </cell>
          <cell r="C18">
            <v>817</v>
          </cell>
        </row>
        <row r="19">
          <cell r="A19" t="str">
            <v>澳大利亞</v>
          </cell>
          <cell r="B19">
            <v>1572898</v>
          </cell>
          <cell r="C19">
            <v>780</v>
          </cell>
        </row>
        <row r="20">
          <cell r="A20" t="str">
            <v>紐西蘭</v>
          </cell>
          <cell r="B20">
            <v>1318664</v>
          </cell>
          <cell r="C20">
            <v>676</v>
          </cell>
        </row>
        <row r="21">
          <cell r="A21" t="str">
            <v>法國</v>
          </cell>
          <cell r="B21">
            <v>778493</v>
          </cell>
          <cell r="C21">
            <v>591</v>
          </cell>
        </row>
        <row r="22">
          <cell r="A22" t="str">
            <v>丹麥</v>
          </cell>
          <cell r="B22">
            <v>503377</v>
          </cell>
          <cell r="C22">
            <v>239</v>
          </cell>
        </row>
        <row r="23">
          <cell r="A23" t="str">
            <v>墨西哥</v>
          </cell>
          <cell r="B23">
            <v>366240</v>
          </cell>
          <cell r="C23">
            <v>118</v>
          </cell>
        </row>
        <row r="24">
          <cell r="A24" t="str">
            <v>波蘭</v>
          </cell>
          <cell r="B24">
            <v>172460</v>
          </cell>
          <cell r="C24">
            <v>84</v>
          </cell>
        </row>
        <row r="25">
          <cell r="A25" t="str">
            <v>日本</v>
          </cell>
          <cell r="B25">
            <v>164021</v>
          </cell>
          <cell r="C25">
            <v>185</v>
          </cell>
        </row>
        <row r="26">
          <cell r="A26" t="str">
            <v>挪威</v>
          </cell>
          <cell r="B26">
            <v>162770</v>
          </cell>
          <cell r="C26">
            <v>78</v>
          </cell>
        </row>
        <row r="27">
          <cell r="A27" t="str">
            <v>韓國</v>
          </cell>
          <cell r="B27">
            <v>143139</v>
          </cell>
          <cell r="C27">
            <v>72</v>
          </cell>
        </row>
        <row r="28">
          <cell r="A28" t="str">
            <v>南非</v>
          </cell>
          <cell r="B28">
            <v>101782</v>
          </cell>
          <cell r="C28">
            <v>38</v>
          </cell>
        </row>
        <row r="29">
          <cell r="A29" t="str">
            <v>厄瓜多</v>
          </cell>
          <cell r="B29">
            <v>68146</v>
          </cell>
          <cell r="C29">
            <v>25</v>
          </cell>
        </row>
        <row r="30">
          <cell r="A30" t="str">
            <v>捷克</v>
          </cell>
          <cell r="B30">
            <v>61957</v>
          </cell>
          <cell r="C30">
            <v>22</v>
          </cell>
        </row>
        <row r="31">
          <cell r="A31" t="str">
            <v>智利</v>
          </cell>
          <cell r="B31">
            <v>53829</v>
          </cell>
          <cell r="C31">
            <v>30</v>
          </cell>
        </row>
        <row r="32">
          <cell r="A32" t="str">
            <v>哥斯大黎加</v>
          </cell>
          <cell r="B32">
            <v>48328</v>
          </cell>
          <cell r="C32">
            <v>19</v>
          </cell>
        </row>
        <row r="33">
          <cell r="A33" t="str">
            <v>馬來西亞</v>
          </cell>
          <cell r="B33">
            <v>45108</v>
          </cell>
          <cell r="C33">
            <v>12</v>
          </cell>
        </row>
        <row r="34">
          <cell r="A34" t="str">
            <v>芬蘭</v>
          </cell>
          <cell r="B34">
            <v>31885</v>
          </cell>
          <cell r="C34">
            <v>16</v>
          </cell>
        </row>
        <row r="35">
          <cell r="A35" t="str">
            <v>哥倫比亞</v>
          </cell>
          <cell r="B35">
            <v>28540</v>
          </cell>
          <cell r="C35">
            <v>11</v>
          </cell>
        </row>
        <row r="36">
          <cell r="A36" t="str">
            <v>泰國</v>
          </cell>
          <cell r="B36">
            <v>12909</v>
          </cell>
          <cell r="C36">
            <v>12</v>
          </cell>
        </row>
        <row r="37">
          <cell r="A37" t="str">
            <v>印度</v>
          </cell>
          <cell r="B37">
            <v>9878</v>
          </cell>
          <cell r="C37">
            <v>5</v>
          </cell>
        </row>
        <row r="38">
          <cell r="A38" t="str">
            <v>新加坡</v>
          </cell>
          <cell r="B38">
            <v>7002</v>
          </cell>
          <cell r="C38">
            <v>2</v>
          </cell>
        </row>
        <row r="39">
          <cell r="A39" t="str">
            <v>香港</v>
          </cell>
          <cell r="B39">
            <v>3157</v>
          </cell>
          <cell r="C39">
            <v>2</v>
          </cell>
        </row>
        <row r="40">
          <cell r="A40" t="str">
            <v>菲律賓</v>
          </cell>
          <cell r="B40">
            <v>563</v>
          </cell>
          <cell r="C40">
            <v>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568701069</v>
          </cell>
          <cell r="C10">
            <v>305441</v>
          </cell>
        </row>
        <row r="11">
          <cell r="A11" t="str">
            <v>美國</v>
          </cell>
          <cell r="B11">
            <v>177267776</v>
          </cell>
          <cell r="C11">
            <v>84495</v>
          </cell>
        </row>
        <row r="12">
          <cell r="A12" t="str">
            <v>荷蘭</v>
          </cell>
          <cell r="B12">
            <v>166167398</v>
          </cell>
          <cell r="C12">
            <v>93841</v>
          </cell>
        </row>
        <row r="13">
          <cell r="A13" t="str">
            <v>德國</v>
          </cell>
          <cell r="B13">
            <v>38522686</v>
          </cell>
          <cell r="C13">
            <v>29346</v>
          </cell>
        </row>
        <row r="14">
          <cell r="A14" t="str">
            <v>英國</v>
          </cell>
          <cell r="B14">
            <v>27867355</v>
          </cell>
          <cell r="C14">
            <v>17291</v>
          </cell>
        </row>
        <row r="15">
          <cell r="A15" t="str">
            <v>加拿大</v>
          </cell>
          <cell r="B15">
            <v>21641414</v>
          </cell>
          <cell r="C15">
            <v>10738</v>
          </cell>
        </row>
        <row r="16">
          <cell r="A16" t="str">
            <v>瑞士</v>
          </cell>
          <cell r="B16">
            <v>20988518</v>
          </cell>
          <cell r="C16">
            <v>8976</v>
          </cell>
        </row>
        <row r="17">
          <cell r="A17" t="str">
            <v>義大利</v>
          </cell>
          <cell r="B17">
            <v>15637067</v>
          </cell>
          <cell r="C17">
            <v>7162</v>
          </cell>
        </row>
        <row r="18">
          <cell r="A18" t="str">
            <v>保加利亞</v>
          </cell>
          <cell r="B18">
            <v>14138506</v>
          </cell>
          <cell r="C18">
            <v>7160</v>
          </cell>
        </row>
        <row r="19">
          <cell r="A19" t="str">
            <v>西班牙</v>
          </cell>
          <cell r="B19">
            <v>14023158</v>
          </cell>
          <cell r="C19">
            <v>6790</v>
          </cell>
        </row>
        <row r="20">
          <cell r="A20" t="str">
            <v>澳大利亞</v>
          </cell>
          <cell r="B20">
            <v>12398131</v>
          </cell>
          <cell r="C20">
            <v>5608</v>
          </cell>
        </row>
        <row r="21">
          <cell r="A21" t="str">
            <v>法國</v>
          </cell>
          <cell r="B21">
            <v>8799307</v>
          </cell>
          <cell r="C21">
            <v>6051</v>
          </cell>
        </row>
        <row r="22">
          <cell r="A22" t="str">
            <v>挪威</v>
          </cell>
          <cell r="B22">
            <v>7367566</v>
          </cell>
          <cell r="C22">
            <v>4117</v>
          </cell>
        </row>
        <row r="23">
          <cell r="A23" t="str">
            <v>紐西蘭</v>
          </cell>
          <cell r="B23">
            <v>7156611</v>
          </cell>
          <cell r="C23">
            <v>3040</v>
          </cell>
        </row>
        <row r="24">
          <cell r="A24" t="str">
            <v>韓國</v>
          </cell>
          <cell r="B24">
            <v>7051872</v>
          </cell>
          <cell r="C24">
            <v>3307</v>
          </cell>
        </row>
        <row r="25">
          <cell r="A25" t="str">
            <v>巴拿馬</v>
          </cell>
          <cell r="B25">
            <v>4557658</v>
          </cell>
          <cell r="C25">
            <v>1720</v>
          </cell>
        </row>
        <row r="26">
          <cell r="A26" t="str">
            <v>丹麥</v>
          </cell>
          <cell r="B26">
            <v>3994945</v>
          </cell>
          <cell r="C26">
            <v>2415</v>
          </cell>
        </row>
        <row r="27">
          <cell r="A27" t="str">
            <v>南非</v>
          </cell>
          <cell r="B27">
            <v>3554358</v>
          </cell>
          <cell r="C27">
            <v>1389</v>
          </cell>
        </row>
        <row r="28">
          <cell r="A28" t="str">
            <v>日本</v>
          </cell>
          <cell r="B28">
            <v>3474199</v>
          </cell>
          <cell r="C28">
            <v>2937</v>
          </cell>
        </row>
        <row r="29">
          <cell r="A29" t="str">
            <v>比利時</v>
          </cell>
          <cell r="B29">
            <v>3023253</v>
          </cell>
          <cell r="C29">
            <v>1173</v>
          </cell>
        </row>
        <row r="30">
          <cell r="A30" t="str">
            <v>波蘭</v>
          </cell>
          <cell r="B30">
            <v>1597021</v>
          </cell>
          <cell r="C30">
            <v>794</v>
          </cell>
        </row>
        <row r="31">
          <cell r="A31" t="str">
            <v>捷克</v>
          </cell>
          <cell r="B31">
            <v>1453864</v>
          </cell>
          <cell r="C31">
            <v>1466</v>
          </cell>
        </row>
        <row r="32">
          <cell r="A32" t="str">
            <v>瑞典</v>
          </cell>
          <cell r="B32">
            <v>1038824</v>
          </cell>
          <cell r="C32">
            <v>2580</v>
          </cell>
        </row>
        <row r="33">
          <cell r="A33" t="str">
            <v>墨西哥</v>
          </cell>
          <cell r="B33">
            <v>1014299</v>
          </cell>
          <cell r="C33">
            <v>475</v>
          </cell>
        </row>
        <row r="34">
          <cell r="A34" t="str">
            <v>以色列</v>
          </cell>
          <cell r="B34">
            <v>965629</v>
          </cell>
          <cell r="C34">
            <v>349</v>
          </cell>
        </row>
        <row r="35">
          <cell r="A35" t="str">
            <v>芬蘭</v>
          </cell>
          <cell r="B35">
            <v>633468</v>
          </cell>
          <cell r="C35">
            <v>421</v>
          </cell>
        </row>
        <row r="36">
          <cell r="A36" t="str">
            <v>奧地利</v>
          </cell>
          <cell r="B36">
            <v>518810</v>
          </cell>
          <cell r="C36">
            <v>223</v>
          </cell>
        </row>
        <row r="37">
          <cell r="A37" t="str">
            <v>中國大陸</v>
          </cell>
          <cell r="B37">
            <v>518624</v>
          </cell>
          <cell r="C37">
            <v>171</v>
          </cell>
        </row>
        <row r="38">
          <cell r="A38" t="str">
            <v>馬來西亞</v>
          </cell>
          <cell r="B38">
            <v>428351</v>
          </cell>
          <cell r="C38">
            <v>154</v>
          </cell>
        </row>
        <row r="39">
          <cell r="A39" t="str">
            <v>多明尼加</v>
          </cell>
          <cell r="B39">
            <v>424489</v>
          </cell>
          <cell r="C39">
            <v>159</v>
          </cell>
        </row>
        <row r="40">
          <cell r="A40" t="str">
            <v>匈牙利</v>
          </cell>
          <cell r="B40">
            <v>379576</v>
          </cell>
          <cell r="C40">
            <v>195</v>
          </cell>
        </row>
        <row r="41">
          <cell r="A41" t="str">
            <v>智利</v>
          </cell>
          <cell r="B41">
            <v>378753</v>
          </cell>
          <cell r="C41">
            <v>151</v>
          </cell>
        </row>
        <row r="42">
          <cell r="A42" t="str">
            <v>哥斯大黎加</v>
          </cell>
          <cell r="B42">
            <v>248779</v>
          </cell>
          <cell r="C42">
            <v>90</v>
          </cell>
        </row>
        <row r="43">
          <cell r="A43" t="str">
            <v>厄瓜多</v>
          </cell>
          <cell r="B43">
            <v>216407</v>
          </cell>
          <cell r="C43">
            <v>76</v>
          </cell>
        </row>
        <row r="44">
          <cell r="A44" t="str">
            <v>哥倫比亞</v>
          </cell>
          <cell r="B44">
            <v>208328</v>
          </cell>
          <cell r="C44">
            <v>88</v>
          </cell>
        </row>
        <row r="45">
          <cell r="A45" t="str">
            <v>秘魯</v>
          </cell>
          <cell r="B45">
            <v>169456</v>
          </cell>
          <cell r="C45">
            <v>46</v>
          </cell>
        </row>
        <row r="46">
          <cell r="A46" t="str">
            <v>阿拉伯聯合大公國</v>
          </cell>
          <cell r="B46">
            <v>114347</v>
          </cell>
          <cell r="C46">
            <v>69</v>
          </cell>
        </row>
        <row r="47">
          <cell r="A47" t="str">
            <v>冰島</v>
          </cell>
          <cell r="B47">
            <v>109850</v>
          </cell>
          <cell r="C47">
            <v>45</v>
          </cell>
        </row>
        <row r="48">
          <cell r="A48" t="str">
            <v>瓜地馬拉</v>
          </cell>
          <cell r="B48">
            <v>67717</v>
          </cell>
          <cell r="C48">
            <v>69</v>
          </cell>
        </row>
        <row r="49">
          <cell r="A49" t="str">
            <v>巴西</v>
          </cell>
          <cell r="B49">
            <v>66933</v>
          </cell>
          <cell r="C49">
            <v>30</v>
          </cell>
        </row>
        <row r="50">
          <cell r="A50" t="str">
            <v>波多黎各</v>
          </cell>
          <cell r="B50">
            <v>63664</v>
          </cell>
          <cell r="C50">
            <v>21</v>
          </cell>
        </row>
        <row r="51">
          <cell r="A51" t="str">
            <v>愛爾蘭</v>
          </cell>
          <cell r="B51">
            <v>62350</v>
          </cell>
          <cell r="C51">
            <v>52</v>
          </cell>
        </row>
        <row r="52">
          <cell r="A52" t="str">
            <v>關島</v>
          </cell>
          <cell r="B52">
            <v>55327</v>
          </cell>
          <cell r="C52">
            <v>11</v>
          </cell>
        </row>
        <row r="53">
          <cell r="A53" t="str">
            <v>薩爾瓦多</v>
          </cell>
          <cell r="B53">
            <v>54838</v>
          </cell>
          <cell r="C53">
            <v>16</v>
          </cell>
        </row>
        <row r="54">
          <cell r="A54" t="str">
            <v>留尼旺</v>
          </cell>
          <cell r="B54">
            <v>51481</v>
          </cell>
          <cell r="C54">
            <v>20</v>
          </cell>
        </row>
        <row r="55">
          <cell r="A55" t="str">
            <v>委內瑞拉</v>
          </cell>
          <cell r="B55">
            <v>51117</v>
          </cell>
          <cell r="C55">
            <v>18</v>
          </cell>
        </row>
        <row r="56">
          <cell r="A56" t="str">
            <v>肯亞</v>
          </cell>
          <cell r="B56">
            <v>40467</v>
          </cell>
          <cell r="C56">
            <v>19</v>
          </cell>
        </row>
        <row r="57">
          <cell r="A57" t="str">
            <v>香港</v>
          </cell>
          <cell r="B57">
            <v>31824</v>
          </cell>
          <cell r="C57">
            <v>14</v>
          </cell>
        </row>
        <row r="58">
          <cell r="A58" t="str">
            <v>阿根廷</v>
          </cell>
          <cell r="B58">
            <v>26511</v>
          </cell>
          <cell r="C58">
            <v>10</v>
          </cell>
        </row>
        <row r="59">
          <cell r="A59" t="str">
            <v>泰國</v>
          </cell>
          <cell r="B59">
            <v>19220</v>
          </cell>
          <cell r="C59">
            <v>19</v>
          </cell>
        </row>
        <row r="60">
          <cell r="A60" t="str">
            <v>印度</v>
          </cell>
          <cell r="B60">
            <v>17509</v>
          </cell>
          <cell r="C60">
            <v>9</v>
          </cell>
        </row>
        <row r="61">
          <cell r="A61" t="str">
            <v>印尼</v>
          </cell>
          <cell r="B61">
            <v>13279</v>
          </cell>
          <cell r="C61">
            <v>3</v>
          </cell>
        </row>
        <row r="62">
          <cell r="A62" t="str">
            <v>菲律賓</v>
          </cell>
          <cell r="B62">
            <v>11555</v>
          </cell>
          <cell r="C62">
            <v>7</v>
          </cell>
        </row>
        <row r="63">
          <cell r="A63" t="str">
            <v>葡萄牙</v>
          </cell>
          <cell r="B63">
            <v>9282</v>
          </cell>
          <cell r="C63">
            <v>12</v>
          </cell>
        </row>
        <row r="64">
          <cell r="A64" t="str">
            <v>新加坡</v>
          </cell>
          <cell r="B64">
            <v>7002</v>
          </cell>
          <cell r="C64">
            <v>2</v>
          </cell>
        </row>
        <row r="65">
          <cell r="A65" t="str">
            <v>馬紹爾群島共和國</v>
          </cell>
          <cell r="B65">
            <v>340</v>
          </cell>
          <cell r="C6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F15" sqref="F15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487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84" t="s">
        <v>104</v>
      </c>
      <c r="B3" s="585"/>
      <c r="C3" s="585"/>
      <c r="D3" s="585"/>
      <c r="E3" s="585"/>
      <c r="F3" s="585"/>
      <c r="G3" s="585"/>
      <c r="H3" s="585"/>
      <c r="I3" s="586"/>
    </row>
    <row r="4" spans="1:9" s="13" customFormat="1">
      <c r="A4" s="8" t="s">
        <v>488</v>
      </c>
      <c r="B4" s="8" t="s">
        <v>489</v>
      </c>
      <c r="C4" s="8" t="s">
        <v>490</v>
      </c>
      <c r="D4" s="9" t="s">
        <v>0</v>
      </c>
      <c r="E4" s="10" t="s">
        <v>491</v>
      </c>
      <c r="F4" s="11" t="s">
        <v>1</v>
      </c>
      <c r="G4" s="8" t="s">
        <v>492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23841</v>
      </c>
      <c r="C7" s="22">
        <f>SUM(C8:C10)</f>
        <v>26159201</v>
      </c>
      <c r="D7" s="23">
        <f>IF(B7,C7/B7,0)</f>
        <v>1097.235896145296</v>
      </c>
      <c r="E7" s="206">
        <f>SUM(E8:E10)</f>
        <v>276745</v>
      </c>
      <c r="F7" s="24">
        <f>E7/$E$67</f>
        <v>0.36884284545238877</v>
      </c>
      <c r="G7" s="21">
        <f>SUM(G8:G10)</f>
        <v>302927171</v>
      </c>
      <c r="H7" s="24">
        <f t="shared" ref="H7:H9" si="0">G7/$G$67</f>
        <v>0.35229165887218117</v>
      </c>
      <c r="I7" s="25">
        <f>IF(E7,G7/E7,0)</f>
        <v>1094.6075665323674</v>
      </c>
    </row>
    <row r="8" spans="1:9">
      <c r="A8" s="425" t="s">
        <v>197</v>
      </c>
      <c r="B8" s="27">
        <f>VLOOKUP(A8,[1]進出口值表查詢結果!$A$10:$C$57,3,0)</f>
        <v>19693</v>
      </c>
      <c r="C8" s="28">
        <f>VLOOKUP(A8,[1]進出口值表查詢結果!$A$10:$C$57,2,0)</f>
        <v>19349638</v>
      </c>
      <c r="D8" s="23">
        <f t="shared" ref="D8:D66" si="1">IF(B8,C8/B8,0)</f>
        <v>982.56426141268469</v>
      </c>
      <c r="E8" s="28">
        <f>VLOOKUP(A8,[2]進出口值表查詢結果!$A$10:$C$100,3,0)</f>
        <v>250929</v>
      </c>
      <c r="F8" s="29">
        <f>E8/$E$67</f>
        <v>0.33443555029547944</v>
      </c>
      <c r="G8" s="27">
        <f>VLOOKUP(A8,[2]進出口值表查詢結果!$A$10:$C$100,2,0)</f>
        <v>264662806</v>
      </c>
      <c r="H8" s="24">
        <f t="shared" si="0"/>
        <v>0.3077917991301819</v>
      </c>
      <c r="I8" s="25">
        <f t="shared" ref="I8:I66" si="2">IF(E8,G8/E8,0)</f>
        <v>1054.7318404807734</v>
      </c>
    </row>
    <row r="9" spans="1:9">
      <c r="A9" s="426" t="s">
        <v>6</v>
      </c>
      <c r="B9" s="27">
        <f>VLOOKUP(A9,[1]進出口值表查詢結果!$A$10:$C$57,3,0)</f>
        <v>3448</v>
      </c>
      <c r="C9" s="28">
        <f>VLOOKUP(A9,[1]進出口值表查詢結果!$A$10:$C$57,2,0)</f>
        <v>5869770</v>
      </c>
      <c r="D9" s="23">
        <f t="shared" si="1"/>
        <v>1702.3694895591648</v>
      </c>
      <c r="E9" s="28">
        <f>VLOOKUP(A9,[2]進出口值表查詢結果!$A$10:$C$100,3,0)</f>
        <v>22021</v>
      </c>
      <c r="F9" s="29">
        <f>E9/$E$67</f>
        <v>2.9349358794944994E-2</v>
      </c>
      <c r="G9" s="27">
        <f>VLOOKUP(A9,[2]進出口值表查詢結果!$A$10:$C$100,2,0)</f>
        <v>32938592</v>
      </c>
      <c r="H9" s="24">
        <f t="shared" si="0"/>
        <v>3.8306207984868924E-2</v>
      </c>
      <c r="I9" s="25">
        <f t="shared" si="2"/>
        <v>1495.7809363789111</v>
      </c>
    </row>
    <row r="10" spans="1:9">
      <c r="A10" s="426" t="s">
        <v>7</v>
      </c>
      <c r="B10" s="27">
        <f>VLOOKUP(A10,[1]進出口值表查詢結果!$A$10:$C$57,3,0)</f>
        <v>700</v>
      </c>
      <c r="C10" s="28">
        <f>VLOOKUP(A10,[1]進出口值表查詢結果!$A$10:$C$57,2,0)</f>
        <v>939793</v>
      </c>
      <c r="D10" s="23">
        <f t="shared" si="1"/>
        <v>1342.5614285714287</v>
      </c>
      <c r="E10" s="28">
        <f>VLOOKUP(A10,[2]進出口值表查詢結果!$A$10:$C$100,3,0)</f>
        <v>3795</v>
      </c>
      <c r="F10" s="29">
        <f>E10/$E$67</f>
        <v>5.0579363619643186E-3</v>
      </c>
      <c r="G10" s="27">
        <f>VLOOKUP(A10,[2]進出口值表查詢結果!$A$10:$C$100,2,0)</f>
        <v>5325773</v>
      </c>
      <c r="H10" s="24">
        <f t="shared" ref="H10:H39" si="3">G10/$G$67</f>
        <v>6.193651757130339E-3</v>
      </c>
      <c r="I10" s="25">
        <f t="shared" si="2"/>
        <v>1403.3657444005271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20020</v>
      </c>
      <c r="C12" s="33">
        <f>SUM(C13:C39)</f>
        <v>24313565</v>
      </c>
      <c r="D12" s="23">
        <f t="shared" si="1"/>
        <v>1214.4637862137863</v>
      </c>
      <c r="E12" s="33">
        <f>SUM(E13:E39)</f>
        <v>211298</v>
      </c>
      <c r="F12" s="24">
        <f t="shared" ref="F12:F27" si="4">E12/$E$67</f>
        <v>0.28161576743355377</v>
      </c>
      <c r="G12" s="33">
        <f>SUM(G13:G39)</f>
        <v>236301361</v>
      </c>
      <c r="H12" s="24">
        <f t="shared" si="3"/>
        <v>0.27480862210423551</v>
      </c>
      <c r="I12" s="25">
        <f t="shared" si="2"/>
        <v>1118.3322180049031</v>
      </c>
    </row>
    <row r="13" spans="1:9">
      <c r="A13" s="425" t="s">
        <v>198</v>
      </c>
      <c r="B13" s="27">
        <f>VLOOKUP(A13,[1]進出口值表查詢結果!$A$10:$C$57,3,0)</f>
        <v>8197</v>
      </c>
      <c r="C13" s="28">
        <f>VLOOKUP(A13,[1]進出口值表查詢結果!$A$10:$C$57,2,0)</f>
        <v>13799628</v>
      </c>
      <c r="D13" s="23">
        <f t="shared" si="1"/>
        <v>1683.4973770891791</v>
      </c>
      <c r="E13" s="28">
        <f>VLOOKUP(A13,[2]進出口值表查詢結果!$A$10:$C$100,3,0)</f>
        <v>68909</v>
      </c>
      <c r="F13" s="29">
        <f t="shared" si="4"/>
        <v>9.1841195458919431E-2</v>
      </c>
      <c r="G13" s="27">
        <f>VLOOKUP(A13,[2]進出口值表查詢結果!$A$10:$C$100,2,0)</f>
        <v>117539658</v>
      </c>
      <c r="H13" s="24">
        <f t="shared" si="3"/>
        <v>0.13669371738228406</v>
      </c>
      <c r="I13" s="25">
        <f t="shared" si="2"/>
        <v>1705.7228809008982</v>
      </c>
    </row>
    <row r="14" spans="1:9">
      <c r="A14" s="425" t="s">
        <v>199</v>
      </c>
      <c r="B14" s="27">
        <f>VLOOKUP(A14,[1]進出口值表查詢結果!$A$10:$C$57,3,0)</f>
        <v>3646</v>
      </c>
      <c r="C14" s="28">
        <f>VLOOKUP(A14,[1]進出口值表查詢結果!$A$10:$C$57,2,0)</f>
        <v>2846358</v>
      </c>
      <c r="D14" s="23">
        <f t="shared" si="1"/>
        <v>780.67964893033457</v>
      </c>
      <c r="E14" s="28">
        <f>VLOOKUP(A14,[2]進出口值表查詢結果!$A$10:$C$100,3,0)</f>
        <v>43133</v>
      </c>
      <c r="F14" s="29">
        <f t="shared" si="4"/>
        <v>5.7487211884217904E-2</v>
      </c>
      <c r="G14" s="27">
        <f>VLOOKUP(A14,[2]進出口值表查詢結果!$A$10:$C$100,2,0)</f>
        <v>30458870</v>
      </c>
      <c r="H14" s="24">
        <f t="shared" si="3"/>
        <v>3.5422394776439887E-2</v>
      </c>
      <c r="I14" s="25">
        <f t="shared" si="2"/>
        <v>706.16163957990398</v>
      </c>
    </row>
    <row r="15" spans="1:9">
      <c r="A15" s="426" t="s">
        <v>9</v>
      </c>
      <c r="B15" s="27">
        <f>VLOOKUP(A15,[1]進出口值表查詢結果!$A$10:$C$57,3,0)</f>
        <v>1128</v>
      </c>
      <c r="C15" s="28">
        <f>VLOOKUP(A15,[1]進出口值表查詢結果!$A$10:$C$57,2,0)</f>
        <v>1586995</v>
      </c>
      <c r="D15" s="23">
        <f t="shared" si="1"/>
        <v>1406.9104609929077</v>
      </c>
      <c r="E15" s="28">
        <f>VLOOKUP(A15,[2]進出口值表查詢結果!$A$10:$C$100,3,0)</f>
        <v>11381</v>
      </c>
      <c r="F15" s="29">
        <f t="shared" si="4"/>
        <v>1.5168477927672177E-2</v>
      </c>
      <c r="G15" s="27">
        <f>VLOOKUP(A15,[2]進出口值表查詢結果!$A$10:$C$100,2,0)</f>
        <v>19250196</v>
      </c>
      <c r="H15" s="24">
        <f t="shared" si="3"/>
        <v>2.2387174646854725E-2</v>
      </c>
      <c r="I15" s="25">
        <f t="shared" si="2"/>
        <v>1691.4327387751516</v>
      </c>
    </row>
    <row r="16" spans="1:9">
      <c r="A16" s="425" t="s">
        <v>200</v>
      </c>
      <c r="B16" s="27">
        <f>VLOOKUP(A16,[1]進出口值表查詢結果!$A$10:$C$57,3,0)</f>
        <v>1438</v>
      </c>
      <c r="C16" s="28">
        <f>VLOOKUP(A16,[1]進出口值表查詢結果!$A$10:$C$57,2,0)</f>
        <v>2595748</v>
      </c>
      <c r="D16" s="23">
        <f t="shared" si="1"/>
        <v>1805.1098748261475</v>
      </c>
      <c r="E16" s="28">
        <f>VLOOKUP(A16,[2]進出口值表查詢結果!$A$10:$C$100,3,0)</f>
        <v>7422</v>
      </c>
      <c r="F16" s="29">
        <f t="shared" si="4"/>
        <v>9.8919640786559078E-3</v>
      </c>
      <c r="G16" s="27">
        <f>VLOOKUP(A16,[2]進出口值表查詢結果!$A$10:$C$100,2,0)</f>
        <v>11987189</v>
      </c>
      <c r="H16" s="24">
        <f t="shared" si="3"/>
        <v>1.3940600587539776E-2</v>
      </c>
      <c r="I16" s="25">
        <f t="shared" si="2"/>
        <v>1615.0887900835355</v>
      </c>
    </row>
    <row r="17" spans="1:9">
      <c r="A17" s="426" t="s">
        <v>10</v>
      </c>
      <c r="B17" s="27">
        <f>VLOOKUP(A17,[1]進出口值表查詢結果!$A$10:$C$57,3,0)</f>
        <v>838</v>
      </c>
      <c r="C17" s="28">
        <f>VLOOKUP(A17,[1]進出口值表查詢結果!$A$10:$C$57,2,0)</f>
        <v>1670397</v>
      </c>
      <c r="D17" s="23">
        <f t="shared" si="1"/>
        <v>1993.3138424821002</v>
      </c>
      <c r="E17" s="28">
        <f>VLOOKUP(A17,[2]進出口值表查詢結果!$A$10:$C$100,3,0)</f>
        <v>10598</v>
      </c>
      <c r="F17" s="29">
        <f t="shared" si="4"/>
        <v>1.4124903705954638E-2</v>
      </c>
      <c r="G17" s="27">
        <f>VLOOKUP(A17,[2]進出口值表查詢結果!$A$10:$C$100,2,0)</f>
        <v>15852606</v>
      </c>
      <c r="H17" s="24">
        <f t="shared" si="3"/>
        <v>1.8435919256602745E-2</v>
      </c>
      <c r="I17" s="25">
        <f t="shared" si="2"/>
        <v>1495.8110964332893</v>
      </c>
    </row>
    <row r="18" spans="1:9">
      <c r="A18" s="426" t="s">
        <v>11</v>
      </c>
      <c r="B18" s="27">
        <f>VLOOKUP(A18,[1]進出口值表查詢結果!$A$10:$C$57,3,0)</f>
        <v>484</v>
      </c>
      <c r="C18" s="28">
        <f>VLOOKUP(A18,[1]進出口值表查詢結果!$A$10:$C$57,2,0)</f>
        <v>643169</v>
      </c>
      <c r="D18" s="23">
        <f t="shared" si="1"/>
        <v>1328.861570247934</v>
      </c>
      <c r="E18" s="28">
        <f>VLOOKUP(A18,[2]進出口值表查詢結果!$A$10:$C$100,3,0)</f>
        <v>21561</v>
      </c>
      <c r="F18" s="29">
        <f t="shared" si="4"/>
        <v>2.8736275599555383E-2</v>
      </c>
      <c r="G18" s="27">
        <f>VLOOKUP(A18,[2]進出口值表查詢結果!$A$10:$C$100,2,0)</f>
        <v>20190657</v>
      </c>
      <c r="H18" s="24">
        <f t="shared" si="3"/>
        <v>2.3480891544882965E-2</v>
      </c>
      <c r="I18" s="25">
        <f t="shared" si="2"/>
        <v>936.44343954362046</v>
      </c>
    </row>
    <row r="19" spans="1:9">
      <c r="A19" s="425" t="s">
        <v>201</v>
      </c>
      <c r="B19" s="27">
        <f>VLOOKUP(A19,[1]進出口值表查詢結果!$A$10:$C$57,3,0)</f>
        <v>2352</v>
      </c>
      <c r="C19" s="28">
        <f>VLOOKUP(A19,[1]進出口值表查詢結果!$A$10:$C$57,2,0)</f>
        <v>121381</v>
      </c>
      <c r="D19" s="23">
        <f t="shared" si="1"/>
        <v>51.607568027210881</v>
      </c>
      <c r="E19" s="28">
        <f>VLOOKUP(A19,[2]進出口值表查詢結果!$A$10:$C$100,3,0)</f>
        <v>13087</v>
      </c>
      <c r="F19" s="29">
        <f t="shared" si="4"/>
        <v>1.7442216908834528E-2</v>
      </c>
      <c r="G19" s="27">
        <f>VLOOKUP(A19,[2]進出口值表查詢結果!$A$10:$C$100,2,0)</f>
        <v>3106059</v>
      </c>
      <c r="H19" s="24">
        <f t="shared" si="3"/>
        <v>3.6122170026962291E-3</v>
      </c>
      <c r="I19" s="25">
        <f t="shared" si="2"/>
        <v>237.33926797585391</v>
      </c>
    </row>
    <row r="20" spans="1:9">
      <c r="A20" s="426" t="s">
        <v>202</v>
      </c>
      <c r="B20" s="27">
        <v>0</v>
      </c>
      <c r="C20" s="28">
        <v>0</v>
      </c>
      <c r="D20" s="23">
        <f t="shared" si="1"/>
        <v>0</v>
      </c>
      <c r="E20" s="28">
        <f>VLOOKUP(A20,[2]進出口值表查詢結果!$A$10:$C$100,3,0)</f>
        <v>23</v>
      </c>
      <c r="F20" s="29">
        <f t="shared" si="4"/>
        <v>3.0654159769480721E-5</v>
      </c>
      <c r="G20" s="27">
        <f>VLOOKUP(A20,[2]進出口值表查詢結果!$A$10:$C$100,2,0)</f>
        <v>52032</v>
      </c>
      <c r="H20" s="24">
        <f t="shared" si="3"/>
        <v>6.0511044730409241E-5</v>
      </c>
      <c r="I20" s="25">
        <f t="shared" si="2"/>
        <v>2262.2608695652175</v>
      </c>
    </row>
    <row r="21" spans="1:9">
      <c r="A21" s="425" t="s">
        <v>203</v>
      </c>
      <c r="B21" s="27">
        <v>0</v>
      </c>
      <c r="C21" s="28">
        <v>0</v>
      </c>
      <c r="D21" s="23">
        <f t="shared" si="1"/>
        <v>0</v>
      </c>
      <c r="E21" s="28">
        <f>VLOOKUP(A21,[2]進出口值表查詢結果!$A$10:$C$100,3,0)</f>
        <v>34</v>
      </c>
      <c r="F21" s="29">
        <f t="shared" si="4"/>
        <v>4.5314844876623673E-5</v>
      </c>
      <c r="G21" s="27">
        <f>VLOOKUP(A21,[2]進出口值表查詢結果!$A$10:$C$100,2,0)</f>
        <v>5233</v>
      </c>
      <c r="H21" s="24">
        <f t="shared" si="3"/>
        <v>6.0857606295016828E-6</v>
      </c>
      <c r="I21" s="25">
        <f t="shared" si="2"/>
        <v>153.91176470588235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f>VLOOKUP(A22,[2]進出口值表查詢結果!$A$10:$C$100,3,0)</f>
        <v>1148</v>
      </c>
      <c r="F22" s="29">
        <f t="shared" si="4"/>
        <v>1.5300424093636464E-3</v>
      </c>
      <c r="G22" s="27">
        <f>VLOOKUP(A22,[2]進出口值表查詢結果!$A$10:$C$100,2,0)</f>
        <v>454951</v>
      </c>
      <c r="H22" s="24">
        <f t="shared" si="3"/>
        <v>5.2908902812008791E-4</v>
      </c>
      <c r="I22" s="25">
        <f t="shared" si="2"/>
        <v>396.29878048780489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f>VLOOKUP(A23,[2]進出口值表查詢結果!$A$10:$C$100,3,0)</f>
        <v>151</v>
      </c>
      <c r="F23" s="29">
        <f t="shared" si="4"/>
        <v>2.0125122283441688E-4</v>
      </c>
      <c r="G23" s="27">
        <f>VLOOKUP(A23,[2]進出口值表查詢結果!$A$10:$C$100,2,0)</f>
        <v>426812</v>
      </c>
      <c r="H23" s="24">
        <f t="shared" si="3"/>
        <v>4.9636454534662182E-4</v>
      </c>
      <c r="I23" s="25">
        <f t="shared" si="2"/>
        <v>2826.5695364238409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f>VLOOKUP(A24,[2]進出口值表查詢結果!$A$10:$C$100,3,0)</f>
        <v>65</v>
      </c>
      <c r="F24" s="29">
        <f t="shared" si="4"/>
        <v>8.6631321087662905E-5</v>
      </c>
      <c r="G24" s="27">
        <f>VLOOKUP(A24,[2]進出口值表查詢結果!$A$10:$C$100,2,0)</f>
        <v>149544</v>
      </c>
      <c r="H24" s="24">
        <f t="shared" si="3"/>
        <v>1.739134316029428E-4</v>
      </c>
      <c r="I24" s="25">
        <f t="shared" si="2"/>
        <v>2300.6769230769232</v>
      </c>
    </row>
    <row r="25" spans="1:9">
      <c r="A25" s="425" t="s">
        <v>204</v>
      </c>
      <c r="B25" s="27">
        <v>0</v>
      </c>
      <c r="C25" s="28">
        <v>0</v>
      </c>
      <c r="D25" s="23">
        <f t="shared" si="1"/>
        <v>0</v>
      </c>
      <c r="E25" s="28">
        <f>VLOOKUP(A25,[2]進出口值表查詢結果!$A$10:$C$100,3,0)</f>
        <v>8900</v>
      </c>
      <c r="F25" s="29">
        <f t="shared" si="4"/>
        <v>1.1861827041233843E-2</v>
      </c>
      <c r="G25" s="27">
        <f>VLOOKUP(A25,[2]進出口值表查詢結果!$A$10:$C$100,2,0)</f>
        <v>3022579</v>
      </c>
      <c r="H25" s="24">
        <f t="shared" si="3"/>
        <v>3.515133246275285E-3</v>
      </c>
      <c r="I25" s="25">
        <f t="shared" si="2"/>
        <v>339.61561797752807</v>
      </c>
    </row>
    <row r="26" spans="1:9">
      <c r="A26" s="425" t="s">
        <v>205</v>
      </c>
      <c r="B26" s="27">
        <v>0</v>
      </c>
      <c r="C26" s="28">
        <v>0</v>
      </c>
      <c r="D26" s="23">
        <f t="shared" si="1"/>
        <v>0</v>
      </c>
      <c r="E26" s="28">
        <f>VLOOKUP(A26,[2]進出口值表查詢結果!$A$10:$C$100,3,0)</f>
        <v>137</v>
      </c>
      <c r="F26" s="29">
        <f t="shared" si="4"/>
        <v>1.8259216906168951E-4</v>
      </c>
      <c r="G26" s="27">
        <f>VLOOKUP(A26,[2]進出口值表查詢結果!$A$10:$C$100,2,0)</f>
        <v>85539</v>
      </c>
      <c r="H26" s="24">
        <f t="shared" si="3"/>
        <v>9.9478287499893831E-5</v>
      </c>
      <c r="I26" s="25">
        <f t="shared" si="2"/>
        <v>624.37226277372258</v>
      </c>
    </row>
    <row r="27" spans="1:9">
      <c r="A27" s="427" t="s">
        <v>206</v>
      </c>
      <c r="B27" s="27">
        <f>VLOOKUP(A27,[1]進出口值表查詢結果!$A$10:$C$57,3,0)</f>
        <v>1556</v>
      </c>
      <c r="C27" s="28">
        <f>VLOOKUP(A27,[1]進出口值表查詢結果!$A$10:$C$57,2,0)</f>
        <v>720287</v>
      </c>
      <c r="D27" s="23">
        <f t="shared" si="1"/>
        <v>462.90938303341903</v>
      </c>
      <c r="E27" s="28">
        <f>VLOOKUP(A27,[2]進出口值表查詢結果!$A$10:$C$100,3,0)</f>
        <v>13773</v>
      </c>
      <c r="F27" s="29">
        <f t="shared" si="4"/>
        <v>1.8356510543698173E-2</v>
      </c>
      <c r="G27" s="27">
        <f>VLOOKUP(A27,[2]進出口值表查詢結果!$A$10:$C$100,2,0)</f>
        <v>6914716</v>
      </c>
      <c r="H27" s="24">
        <f t="shared" si="3"/>
        <v>8.0415261603258847E-3</v>
      </c>
      <c r="I27" s="25">
        <f t="shared" si="2"/>
        <v>502.0486459014013</v>
      </c>
    </row>
    <row r="28" spans="1:9">
      <c r="A28" s="427" t="s">
        <v>207</v>
      </c>
      <c r="B28" s="27">
        <f>VLOOKUP(A28,[1]進出口值表查詢結果!$A$10:$C$57,3,0)</f>
        <v>381</v>
      </c>
      <c r="C28" s="28">
        <f>VLOOKUP(A28,[1]進出口值表查詢結果!$A$10:$C$57,2,0)</f>
        <v>329602</v>
      </c>
      <c r="D28" s="23">
        <f t="shared" si="1"/>
        <v>865.09711286089237</v>
      </c>
      <c r="E28" s="28">
        <f>VLOOKUP(A28,[2]進出口值表查詢結果!$A$10:$C$100,3,0)</f>
        <v>7093</v>
      </c>
      <c r="F28" s="29">
        <f t="shared" ref="F28:F39" si="5">E28/$E$67</f>
        <v>9.4534763149968139E-3</v>
      </c>
      <c r="G28" s="27">
        <f>VLOOKUP(A28,[2]進出口值表查詢結果!$A$10:$C$100,2,0)</f>
        <v>4105285</v>
      </c>
      <c r="H28" s="24">
        <f t="shared" si="3"/>
        <v>4.7742751434901231E-3</v>
      </c>
      <c r="I28" s="25">
        <f t="shared" si="2"/>
        <v>578.77978288453403</v>
      </c>
    </row>
    <row r="29" spans="1:9">
      <c r="A29" s="426" t="s">
        <v>208</v>
      </c>
      <c r="B29" s="27">
        <v>0</v>
      </c>
      <c r="C29" s="28">
        <v>0</v>
      </c>
      <c r="D29" s="23">
        <f t="shared" si="1"/>
        <v>0</v>
      </c>
      <c r="E29" s="28">
        <f>VLOOKUP(A29,[2]進出口值表查詢結果!$A$10:$C$100,3,0)</f>
        <v>565</v>
      </c>
      <c r="F29" s="29">
        <f t="shared" si="5"/>
        <v>7.5302609868506984E-4</v>
      </c>
      <c r="G29" s="27">
        <f>VLOOKUP(A29,[2]進出口值表查詢結果!$A$10:$C$100,2,0)</f>
        <v>408758</v>
      </c>
      <c r="H29" s="24">
        <f t="shared" si="3"/>
        <v>4.7536849673110047E-4</v>
      </c>
      <c r="I29" s="25">
        <f t="shared" si="2"/>
        <v>723.46548672566371</v>
      </c>
    </row>
    <row r="30" spans="1:9">
      <c r="A30" s="426" t="s">
        <v>209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9">
        <f t="shared" si="5"/>
        <v>0</v>
      </c>
      <c r="G30" s="27">
        <v>0</v>
      </c>
      <c r="H30" s="24">
        <f t="shared" si="3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f>VLOOKUP(A31,[2]進出口值表查詢結果!$A$10:$C$100,3,0)</f>
        <v>1375</v>
      </c>
      <c r="F31" s="29">
        <f t="shared" si="5"/>
        <v>1.832585638392869E-3</v>
      </c>
      <c r="G31" s="27">
        <f>VLOOKUP(A31,[2]進出口值表查詢結果!$A$10:$C$100,2,0)</f>
        <v>1647256</v>
      </c>
      <c r="H31" s="24">
        <f t="shared" si="3"/>
        <v>1.915689988822936E-3</v>
      </c>
      <c r="I31" s="25">
        <f t="shared" si="2"/>
        <v>1198.0043636363637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9">
        <f t="shared" si="5"/>
        <v>0</v>
      </c>
      <c r="G32" s="27">
        <v>0</v>
      </c>
      <c r="H32" s="24">
        <f t="shared" si="3"/>
        <v>0</v>
      </c>
      <c r="I32" s="25">
        <f t="shared" si="2"/>
        <v>0</v>
      </c>
    </row>
    <row r="33" spans="1:9">
      <c r="A33" s="426" t="s">
        <v>210</v>
      </c>
      <c r="B33" s="27">
        <v>0</v>
      </c>
      <c r="C33" s="28">
        <v>0</v>
      </c>
      <c r="D33" s="23">
        <f t="shared" si="1"/>
        <v>0</v>
      </c>
      <c r="E33" s="28">
        <f>VLOOKUP(A33,[2]進出口值表查詢結果!$A$10:$C$100,3,0)</f>
        <v>815</v>
      </c>
      <c r="F33" s="29">
        <f t="shared" si="5"/>
        <v>1.0862234874837733E-3</v>
      </c>
      <c r="G33" s="27">
        <f>VLOOKUP(A33,[2]進出口值表查詢結果!$A$10:$C$100,2,0)</f>
        <v>216361</v>
      </c>
      <c r="H33" s="24">
        <f t="shared" si="3"/>
        <v>2.5161881436262443E-4</v>
      </c>
      <c r="I33" s="25">
        <f t="shared" si="2"/>
        <v>265.47361963190184</v>
      </c>
    </row>
    <row r="34" spans="1:9">
      <c r="A34" s="426" t="s">
        <v>211</v>
      </c>
      <c r="B34" s="27">
        <v>0</v>
      </c>
      <c r="C34" s="28">
        <v>0</v>
      </c>
      <c r="D34" s="23">
        <f t="shared" si="1"/>
        <v>0</v>
      </c>
      <c r="E34" s="28">
        <f>VLOOKUP(A34,[2]進出口值表查詢結果!$A$10:$C$100,3,0)</f>
        <v>89</v>
      </c>
      <c r="F34" s="29">
        <f t="shared" si="5"/>
        <v>1.1861827041233843E-4</v>
      </c>
      <c r="G34" s="27">
        <f>VLOOKUP(A34,[2]進出口值表查詢結果!$A$10:$C$100,2,0)</f>
        <v>16606</v>
      </c>
      <c r="H34" s="24">
        <f t="shared" si="3"/>
        <v>1.9312085039844247E-5</v>
      </c>
      <c r="I34" s="25">
        <f t="shared" si="2"/>
        <v>186.58426966292134</v>
      </c>
    </row>
    <row r="35" spans="1:9">
      <c r="A35" s="426" t="s">
        <v>212</v>
      </c>
      <c r="B35" s="27">
        <v>0</v>
      </c>
      <c r="C35" s="28">
        <v>0</v>
      </c>
      <c r="D35" s="23">
        <f t="shared" si="1"/>
        <v>0</v>
      </c>
      <c r="E35" s="28">
        <f>VLOOKUP(A35,[2]進出口值表查詢結果!$A$10:$C$100,3,0)</f>
        <v>466</v>
      </c>
      <c r="F35" s="29">
        <f t="shared" si="5"/>
        <v>6.2107993272078328E-4</v>
      </c>
      <c r="G35" s="27">
        <f>VLOOKUP(A35,[2]進出口值表查詢結果!$A$10:$C$100,2,0)</f>
        <v>255739</v>
      </c>
      <c r="H35" s="24">
        <f t="shared" si="3"/>
        <v>2.9741378513818668E-4</v>
      </c>
      <c r="I35" s="25">
        <f t="shared" si="2"/>
        <v>548.7961373390558</v>
      </c>
    </row>
    <row r="36" spans="1:9">
      <c r="A36" s="426" t="s">
        <v>213</v>
      </c>
      <c r="B36" s="27">
        <v>0</v>
      </c>
      <c r="C36" s="28">
        <v>0</v>
      </c>
      <c r="D36" s="23">
        <f t="shared" si="1"/>
        <v>0</v>
      </c>
      <c r="E36" s="28">
        <f>VLOOKUP(A36,[2]進出口值表查詢結果!$A$10:$C$100,3,0)</f>
        <v>128</v>
      </c>
      <c r="F36" s="29">
        <f t="shared" si="5"/>
        <v>1.7059706306493617E-4</v>
      </c>
      <c r="G36" s="27">
        <f>VLOOKUP(A36,[2]進出口值表查詢結果!$A$10:$C$100,2,0)</f>
        <v>17159</v>
      </c>
      <c r="H36" s="24">
        <f t="shared" si="3"/>
        <v>1.9955200963428124E-5</v>
      </c>
      <c r="I36" s="25">
        <f t="shared" si="2"/>
        <v>134.0546875</v>
      </c>
    </row>
    <row r="37" spans="1:9">
      <c r="A37" s="426" t="s">
        <v>214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9">
        <f t="shared" si="5"/>
        <v>0</v>
      </c>
      <c r="G37" s="27">
        <v>0</v>
      </c>
      <c r="H37" s="24">
        <f t="shared" si="3"/>
        <v>0</v>
      </c>
      <c r="I37" s="25">
        <f t="shared" si="2"/>
        <v>0</v>
      </c>
    </row>
    <row r="38" spans="1:9">
      <c r="A38" s="426" t="s">
        <v>215</v>
      </c>
      <c r="B38" s="27">
        <v>0</v>
      </c>
      <c r="C38" s="28">
        <v>0</v>
      </c>
      <c r="D38" s="23">
        <f t="shared" si="1"/>
        <v>0</v>
      </c>
      <c r="E38" s="28">
        <f>VLOOKUP(A38,[2]進出口值表查詢結果!$A$10:$C$100,3,0)</f>
        <v>110</v>
      </c>
      <c r="F38" s="29">
        <f t="shared" si="5"/>
        <v>1.4660685107142953E-4</v>
      </c>
      <c r="G38" s="27">
        <f>VLOOKUP(A38,[2]進出口值表查詢結果!$A$10:$C$100,2,0)</f>
        <v>19564</v>
      </c>
      <c r="H38" s="24">
        <f t="shared" si="3"/>
        <v>2.2752115603969219E-5</v>
      </c>
      <c r="I38" s="25">
        <f t="shared" si="2"/>
        <v>177.85454545454544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f>VLOOKUP(A39,[2]進出口值表查詢結果!$A$10:$C$100,3,0)</f>
        <v>335</v>
      </c>
      <c r="F39" s="29">
        <f t="shared" si="5"/>
        <v>4.4648450099026265E-4</v>
      </c>
      <c r="G39" s="27">
        <f>VLOOKUP(A39,[2]進出口值表查詢結果!$A$10:$C$100,2,0)</f>
        <v>117992</v>
      </c>
      <c r="H39" s="24">
        <f t="shared" si="3"/>
        <v>1.3721977225227642E-4</v>
      </c>
      <c r="I39" s="25">
        <f t="shared" si="2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1481</v>
      </c>
      <c r="C41" s="33">
        <f>SUM(C42:C45)</f>
        <v>1289155</v>
      </c>
      <c r="D41" s="23">
        <f t="shared" si="1"/>
        <v>870.46252532072924</v>
      </c>
      <c r="E41" s="33">
        <f>SUM(E42:E45)</f>
        <v>20806</v>
      </c>
      <c r="F41" s="24">
        <f>E41/$E$67</f>
        <v>2.7730019485383298E-2</v>
      </c>
      <c r="G41" s="33">
        <f>SUM(G42:G45)</f>
        <v>24001831</v>
      </c>
      <c r="H41" s="24">
        <f>G41/$G$67</f>
        <v>2.7913127868479458E-2</v>
      </c>
      <c r="I41" s="25">
        <f t="shared" si="2"/>
        <v>1153.6014130539268</v>
      </c>
    </row>
    <row r="42" spans="1:9">
      <c r="A42" s="425" t="s">
        <v>216</v>
      </c>
      <c r="B42" s="27">
        <f>VLOOKUP(A42,[1]進出口值表查詢結果!$A$10:$C$57,3,0)</f>
        <v>1402</v>
      </c>
      <c r="C42" s="28">
        <f>VLOOKUP(A42,[1]進出口值表查詢結果!$A$10:$C$57,2,0)</f>
        <v>1170118</v>
      </c>
      <c r="D42" s="23">
        <f t="shared" si="1"/>
        <v>834.60627674750356</v>
      </c>
      <c r="E42" s="28">
        <f>VLOOKUP(A42,[2]進出口值表查詢結果!$A$10:$C$100,3,0)</f>
        <v>11765</v>
      </c>
      <c r="F42" s="29">
        <f>E42/$E$67</f>
        <v>1.5680269116866985E-2</v>
      </c>
      <c r="G42" s="27">
        <f>VLOOKUP(A42,[2]進出口值表查詢結果!$A$10:$C$100,2,0)</f>
        <v>17376897</v>
      </c>
      <c r="H42" s="29">
        <f>G42/$G$67</f>
        <v>2.0208606081694228E-2</v>
      </c>
      <c r="I42" s="25">
        <f t="shared" si="2"/>
        <v>1476.9993200169995</v>
      </c>
    </row>
    <row r="43" spans="1:9">
      <c r="A43" s="425" t="s">
        <v>217</v>
      </c>
      <c r="B43" s="27">
        <f>VLOOKUP(A43,[1]進出口值表查詢結果!$A$10:$C$57,3,0)</f>
        <v>79</v>
      </c>
      <c r="C43" s="28">
        <f>VLOOKUP(A43,[1]進出口值表查詢結果!$A$10:$C$57,2,0)</f>
        <v>119037</v>
      </c>
      <c r="D43" s="23">
        <f t="shared" si="1"/>
        <v>1506.7974683544303</v>
      </c>
      <c r="E43" s="28">
        <f>VLOOKUP(A43,[2]進出口值表查詢結果!$A$10:$C$100,3,0)</f>
        <v>9037</v>
      </c>
      <c r="F43" s="29">
        <f>E43/$E$67</f>
        <v>1.2044419210295533E-2</v>
      </c>
      <c r="G43" s="27">
        <f>VLOOKUP(A43,[2]進出口值表查詢結果!$A$10:$C$100,2,0)</f>
        <v>6618399</v>
      </c>
      <c r="H43" s="29">
        <f>G43/$G$67</f>
        <v>7.6969218544875422E-3</v>
      </c>
      <c r="I43" s="25">
        <f t="shared" si="2"/>
        <v>732.36682527387404</v>
      </c>
    </row>
    <row r="44" spans="1:9">
      <c r="A44" s="425" t="s">
        <v>218</v>
      </c>
      <c r="B44" s="27">
        <v>0</v>
      </c>
      <c r="C44" s="28">
        <v>0</v>
      </c>
      <c r="D44" s="23">
        <f t="shared" si="1"/>
        <v>0</v>
      </c>
      <c r="E44" s="28">
        <f>VLOOKUP(A44,[2]進出口值表查詢結果!$A$10:$C$100,3,0)</f>
        <v>4</v>
      </c>
      <c r="F44" s="29">
        <f>E44/$E$67</f>
        <v>5.3311582207792554E-6</v>
      </c>
      <c r="G44" s="27">
        <f>VLOOKUP(A44,[2]進出口值表查詢結果!$A$10:$C$100,2,0)</f>
        <v>6535</v>
      </c>
      <c r="H44" s="29">
        <f>G44/$G$67</f>
        <v>7.5999322976865079E-6</v>
      </c>
      <c r="I44" s="25">
        <f t="shared" si="2"/>
        <v>1633.75</v>
      </c>
    </row>
    <row r="45" spans="1:9">
      <c r="A45" s="426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21780</v>
      </c>
      <c r="C47" s="33">
        <f>SUM(C48:C65)</f>
        <v>29796280</v>
      </c>
      <c r="D47" s="23">
        <f t="shared" si="1"/>
        <v>1368.0569329660239</v>
      </c>
      <c r="E47" s="33">
        <f>SUM(E48:E65)</f>
        <v>225602</v>
      </c>
      <c r="F47" s="24">
        <f t="shared" ref="F47:F65" si="6">E47/$E$67</f>
        <v>0.30067998923106037</v>
      </c>
      <c r="G47" s="33">
        <f>SUM(G48:G65)</f>
        <v>274341658</v>
      </c>
      <c r="H47" s="24">
        <f t="shared" ref="H47:H66" si="7">G47/$G$67</f>
        <v>0.31904790011248146</v>
      </c>
      <c r="I47" s="25">
        <f t="shared" si="2"/>
        <v>1216.0426680614535</v>
      </c>
    </row>
    <row r="48" spans="1:9">
      <c r="A48" s="453" t="s">
        <v>159</v>
      </c>
      <c r="B48" s="27">
        <f>VLOOKUP(A48,[1]進出口值表查詢結果!$A$10:$C$57,3,0)</f>
        <v>3306</v>
      </c>
      <c r="C48" s="28">
        <f>VLOOKUP(A48,[1]進出口值表查詢結果!$A$10:$C$57,2,0)</f>
        <v>4348763</v>
      </c>
      <c r="D48" s="23">
        <f t="shared" si="1"/>
        <v>1315.4153055051422</v>
      </c>
      <c r="E48" s="28">
        <f>VLOOKUP(A48,[2]進出口值表查詢結果!$A$10:$C$100,3,0)</f>
        <v>45229</v>
      </c>
      <c r="F48" s="29">
        <f t="shared" ref="F48" si="8">E48/$E$67</f>
        <v>6.0280738791906235E-2</v>
      </c>
      <c r="G48" s="27">
        <f>VLOOKUP(A48,[2]進出口值表查詢結果!$A$10:$C$100,2,0)</f>
        <v>45618106</v>
      </c>
      <c r="H48" s="29">
        <f t="shared" ref="H48" si="9">G48/$G$67</f>
        <v>5.3051953657029333E-2</v>
      </c>
      <c r="I48" s="25">
        <f t="shared" si="2"/>
        <v>1008.6030201861637</v>
      </c>
    </row>
    <row r="49" spans="1:9">
      <c r="A49" s="425" t="s">
        <v>219</v>
      </c>
      <c r="B49" s="27">
        <f>VLOOKUP(A49,[1]進出口值表查詢結果!$A$10:$C$57,3,0)</f>
        <v>1068</v>
      </c>
      <c r="C49" s="28">
        <f>VLOOKUP(A49,[1]進出口值表查詢結果!$A$10:$C$57,2,0)</f>
        <v>827946</v>
      </c>
      <c r="D49" s="23">
        <f t="shared" si="1"/>
        <v>775.2303370786517</v>
      </c>
      <c r="E49" s="28">
        <f>VLOOKUP(A49,[2]進出口值表查詢結果!$A$10:$C$100,3,0)</f>
        <v>30195</v>
      </c>
      <c r="F49" s="29">
        <f t="shared" si="6"/>
        <v>4.0243580619107405E-2</v>
      </c>
      <c r="G49" s="27">
        <f>VLOOKUP(A49,[2]進出口值表查詢結果!$A$10:$C$100,2,0)</f>
        <v>23132196</v>
      </c>
      <c r="H49" s="29">
        <f t="shared" si="7"/>
        <v>2.6901778652917315E-2</v>
      </c>
      <c r="I49" s="25">
        <f t="shared" si="2"/>
        <v>766.09359165424735</v>
      </c>
    </row>
    <row r="50" spans="1:9">
      <c r="A50" s="282" t="s">
        <v>220</v>
      </c>
      <c r="B50" s="27">
        <f>VLOOKUP(A50,[1]進出口值表查詢結果!$A$10:$C$57,3,0)</f>
        <v>17</v>
      </c>
      <c r="C50" s="28">
        <f>VLOOKUP(A50,[1]進出口值表查詢結果!$A$10:$C$57,2,0)</f>
        <v>36168</v>
      </c>
      <c r="D50" s="23">
        <f t="shared" si="1"/>
        <v>2127.5294117647059</v>
      </c>
      <c r="E50" s="28">
        <f>VLOOKUP(A50,[2]進出口值表查詢結果!$A$10:$C$100,3,0)</f>
        <v>1736</v>
      </c>
      <c r="F50" s="29">
        <f t="shared" si="6"/>
        <v>2.3137226678181968E-3</v>
      </c>
      <c r="G50" s="27">
        <f>VLOOKUP(A50,[2]進出口值表查詢結果!$A$10:$C$100,2,0)</f>
        <v>1678674</v>
      </c>
      <c r="H50" s="29">
        <f t="shared" si="7"/>
        <v>1.9522278117653561E-3</v>
      </c>
      <c r="I50" s="25">
        <f t="shared" si="2"/>
        <v>966.97811059907838</v>
      </c>
    </row>
    <row r="51" spans="1:9">
      <c r="A51" s="425" t="s">
        <v>221</v>
      </c>
      <c r="B51" s="27">
        <f>VLOOKUP(A51,[1]進出口值表查詢結果!$A$10:$C$57,3,0)</f>
        <v>189</v>
      </c>
      <c r="C51" s="28">
        <f>VLOOKUP(A51,[1]進出口值表查詢結果!$A$10:$C$57,2,0)</f>
        <v>351672</v>
      </c>
      <c r="D51" s="23">
        <f t="shared" si="1"/>
        <v>1860.6984126984128</v>
      </c>
      <c r="E51" s="28">
        <f>VLOOKUP(A51,[2]進出口值表查詢結果!$A$10:$C$100,3,0)</f>
        <v>1617</v>
      </c>
      <c r="F51" s="29">
        <f t="shared" si="6"/>
        <v>2.1551207107500139E-3</v>
      </c>
      <c r="G51" s="27">
        <f>VLOOKUP(A51,[2]進出口值表查詢結果!$A$10:$C$100,2,0)</f>
        <v>2980499</v>
      </c>
      <c r="H51" s="29">
        <f t="shared" si="7"/>
        <v>3.4661959622528447E-3</v>
      </c>
      <c r="I51" s="25">
        <f t="shared" si="2"/>
        <v>1843.2275819418676</v>
      </c>
    </row>
    <row r="52" spans="1:9">
      <c r="A52" s="426" t="s">
        <v>22</v>
      </c>
      <c r="B52" s="27">
        <f>VLOOKUP(A52,[1]進出口值表查詢結果!$A$10:$C$57,3,0)</f>
        <v>120</v>
      </c>
      <c r="C52" s="28">
        <f>VLOOKUP(A52,[1]進出口值表查詢結果!$A$10:$C$57,2,0)</f>
        <v>176462</v>
      </c>
      <c r="D52" s="23">
        <f t="shared" si="1"/>
        <v>1470.5166666666667</v>
      </c>
      <c r="E52" s="28">
        <f>VLOOKUP(A52,[2]進出口值表查詢結果!$A$10:$C$100,3,0)</f>
        <v>789</v>
      </c>
      <c r="F52" s="29">
        <f t="shared" si="6"/>
        <v>1.0515709590487082E-3</v>
      </c>
      <c r="G52" s="27">
        <f>VLOOKUP(A52,[2]進出口值表查詢結果!$A$10:$C$100,2,0)</f>
        <v>1592284</v>
      </c>
      <c r="H52" s="29">
        <f t="shared" si="7"/>
        <v>1.8517598467772706E-3</v>
      </c>
      <c r="I52" s="25">
        <f t="shared" si="2"/>
        <v>2018.103929024081</v>
      </c>
    </row>
    <row r="53" spans="1:9">
      <c r="A53" s="425" t="s">
        <v>222</v>
      </c>
      <c r="B53" s="27">
        <f>VLOOKUP(A53,[1]進出口值表查詢結果!$A$10:$C$57,3,0)</f>
        <v>233</v>
      </c>
      <c r="C53" s="28">
        <f>VLOOKUP(A53,[1]進出口值表查詢結果!$A$10:$C$57,2,0)</f>
        <v>358674</v>
      </c>
      <c r="D53" s="23">
        <f t="shared" si="1"/>
        <v>1539.37339055794</v>
      </c>
      <c r="E53" s="28">
        <f>VLOOKUP(A53,[2]進出口值表查詢結果!$A$10:$C$100,3,0)</f>
        <v>1893</v>
      </c>
      <c r="F53" s="29">
        <f t="shared" si="6"/>
        <v>2.5229706279837824E-3</v>
      </c>
      <c r="G53" s="27">
        <f>VLOOKUP(A53,[2]進出口值表查詢結果!$A$10:$C$100,2,0)</f>
        <v>2709505</v>
      </c>
      <c r="H53" s="29">
        <f t="shared" si="7"/>
        <v>3.1510412486982528E-3</v>
      </c>
      <c r="I53" s="25">
        <f t="shared" si="2"/>
        <v>1431.3285789751717</v>
      </c>
    </row>
    <row r="54" spans="1:9">
      <c r="A54" s="426" t="s">
        <v>223</v>
      </c>
      <c r="B54" s="27">
        <f>VLOOKUP(A54,[1]進出口值表查詢結果!$A$10:$C$57,3,0)</f>
        <v>4197</v>
      </c>
      <c r="C54" s="28">
        <f>VLOOKUP(A54,[1]進出口值表查詢結果!$A$10:$C$57,2,0)</f>
        <v>6391313</v>
      </c>
      <c r="D54" s="23">
        <f t="shared" si="1"/>
        <v>1522.8289254229212</v>
      </c>
      <c r="E54" s="28">
        <f>VLOOKUP(A54,[2]進出口值表查詢結果!$A$10:$C$100,3,0)</f>
        <v>26679</v>
      </c>
      <c r="F54" s="29">
        <f t="shared" si="6"/>
        <v>3.555749254304244E-2</v>
      </c>
      <c r="G54" s="27">
        <f>VLOOKUP(A54,[2]進出口值表查詢結果!$A$10:$C$100,2,0)</f>
        <v>31810120</v>
      </c>
      <c r="H54" s="29">
        <f t="shared" si="7"/>
        <v>3.6993842139446599E-2</v>
      </c>
      <c r="I54" s="25">
        <f t="shared" si="2"/>
        <v>1192.3280482776715</v>
      </c>
    </row>
    <row r="55" spans="1:9">
      <c r="A55" s="426" t="s">
        <v>23</v>
      </c>
      <c r="B55" s="27">
        <f>VLOOKUP(A55,[1]進出口值表查詢結果!$A$10:$C$57,3,0)</f>
        <v>83</v>
      </c>
      <c r="C55" s="28">
        <f>VLOOKUP(A55,[1]進出口值表查詢結果!$A$10:$C$57,2,0)</f>
        <v>213191</v>
      </c>
      <c r="D55" s="23">
        <f t="shared" si="1"/>
        <v>2568.5662650602408</v>
      </c>
      <c r="E55" s="28">
        <f>VLOOKUP(A55,[2]進出口值表查詢結果!$A$10:$C$100,3,0)</f>
        <v>533</v>
      </c>
      <c r="F55" s="29">
        <f t="shared" si="6"/>
        <v>7.1037683291883577E-4</v>
      </c>
      <c r="G55" s="27">
        <f>VLOOKUP(A55,[2]進出口值表查詢結果!$A$10:$C$100,2,0)</f>
        <v>810583</v>
      </c>
      <c r="H55" s="29">
        <f t="shared" si="7"/>
        <v>9.4267420377285732E-4</v>
      </c>
      <c r="I55" s="25">
        <f t="shared" si="2"/>
        <v>1520.7936210131331</v>
      </c>
    </row>
    <row r="56" spans="1:9">
      <c r="A56" s="426" t="s">
        <v>224</v>
      </c>
      <c r="B56" s="27">
        <f>VLOOKUP(A56,[1]進出口值表查詢結果!$A$10:$C$57,3,0)</f>
        <v>10633</v>
      </c>
      <c r="C56" s="28">
        <f>VLOOKUP(A56,[1]進出口值表查詢結果!$A$10:$C$57,2,0)</f>
        <v>13889276</v>
      </c>
      <c r="D56" s="23">
        <f t="shared" si="1"/>
        <v>1306.2424527414653</v>
      </c>
      <c r="E56" s="28">
        <f>VLOOKUP(A56,[2]進出口值表查詢結果!$A$10:$C$100,3,0)</f>
        <v>92223</v>
      </c>
      <c r="F56" s="29">
        <f t="shared" si="6"/>
        <v>0.12291385114873132</v>
      </c>
      <c r="G56" s="27">
        <f>VLOOKUP(A56,[2]進出口值表查詢結果!$A$10:$C$100,2,0)</f>
        <v>125998459</v>
      </c>
      <c r="H56" s="29">
        <f t="shared" si="7"/>
        <v>0.14653094996370761</v>
      </c>
      <c r="I56" s="25">
        <f t="shared" si="2"/>
        <v>1366.2368281231363</v>
      </c>
    </row>
    <row r="57" spans="1:9">
      <c r="A57" s="428" t="s">
        <v>225</v>
      </c>
      <c r="B57" s="27">
        <f>VLOOKUP(A57,[1]進出口值表查詢結果!$A$10:$C$57,3,0)</f>
        <v>541</v>
      </c>
      <c r="C57" s="28">
        <f>VLOOKUP(A57,[1]進出口值表查詢結果!$A$10:$C$57,2,0)</f>
        <v>1197906</v>
      </c>
      <c r="D57" s="23">
        <f t="shared" si="1"/>
        <v>2214.2439926062848</v>
      </c>
      <c r="E57" s="28">
        <f>VLOOKUP(A57,[2]進出口值表查詢結果!$A$10:$C$100,3,0)</f>
        <v>9673</v>
      </c>
      <c r="F57" s="29">
        <f t="shared" si="6"/>
        <v>1.2892073367399434E-2</v>
      </c>
      <c r="G57" s="27">
        <f>VLOOKUP(A57,[2]進出口值表查詢結果!$A$10:$C$100,2,0)</f>
        <v>15965743</v>
      </c>
      <c r="H57" s="29">
        <f t="shared" si="7"/>
        <v>1.8567492866451766E-2</v>
      </c>
      <c r="I57" s="25">
        <f t="shared" si="2"/>
        <v>1650.5471932182363</v>
      </c>
    </row>
    <row r="58" spans="1:9">
      <c r="A58" s="426" t="s">
        <v>24</v>
      </c>
      <c r="B58" s="27">
        <f>VLOOKUP(A58,[1]進出口值表查詢結果!$A$10:$C$57,3,0)</f>
        <v>225</v>
      </c>
      <c r="C58" s="28">
        <f>VLOOKUP(A58,[1]進出口值表查詢結果!$A$10:$C$57,2,0)</f>
        <v>157800</v>
      </c>
      <c r="D58" s="23">
        <f t="shared" si="1"/>
        <v>701.33333333333337</v>
      </c>
      <c r="E58" s="28">
        <f>VLOOKUP(A58,[2]進出口值表查詢結果!$A$10:$C$100,3,0)</f>
        <v>3464</v>
      </c>
      <c r="F58" s="29">
        <f t="shared" si="6"/>
        <v>4.6167830191948351E-3</v>
      </c>
      <c r="G58" s="27">
        <f>VLOOKUP(A58,[2]進出口值表查詢結果!$A$10:$C$100,2,0)</f>
        <v>3566850</v>
      </c>
      <c r="H58" s="29">
        <f t="shared" si="7"/>
        <v>4.1480977071160097E-3</v>
      </c>
      <c r="I58" s="25">
        <f t="shared" si="2"/>
        <v>1029.6911085450347</v>
      </c>
    </row>
    <row r="59" spans="1:9">
      <c r="A59" s="426" t="s">
        <v>25</v>
      </c>
      <c r="B59" s="27">
        <v>0</v>
      </c>
      <c r="C59" s="28">
        <v>0</v>
      </c>
      <c r="D59" s="23">
        <f t="shared" si="1"/>
        <v>0</v>
      </c>
      <c r="E59" s="28">
        <f>VLOOKUP(A59,[2]進出口值表查詢結果!$A$10:$C$100,3,0)</f>
        <v>151</v>
      </c>
      <c r="F59" s="29">
        <f t="shared" si="6"/>
        <v>2.0125122283441688E-4</v>
      </c>
      <c r="G59" s="27">
        <f>VLOOKUP(A59,[2]進出口值表查詢結果!$A$10:$C$100,2,0)</f>
        <v>63160</v>
      </c>
      <c r="H59" s="29">
        <f t="shared" si="7"/>
        <v>7.3452444364480461E-5</v>
      </c>
      <c r="I59" s="25">
        <f t="shared" si="2"/>
        <v>418.27814569536423</v>
      </c>
    </row>
    <row r="60" spans="1:9">
      <c r="A60" s="426" t="s">
        <v>26</v>
      </c>
      <c r="B60" s="27">
        <f>VLOOKUP(A60,[1]進出口值表查詢結果!$A$10:$C$57,3,0)</f>
        <v>616</v>
      </c>
      <c r="C60" s="28">
        <f>VLOOKUP(A60,[1]進出口值表查詢結果!$A$10:$C$57,2,0)</f>
        <v>880650</v>
      </c>
      <c r="D60" s="23">
        <f t="shared" si="1"/>
        <v>1429.6266233766235</v>
      </c>
      <c r="E60" s="28">
        <f>VLOOKUP(A60,[2]進出口值表查詢結果!$A$10:$C$100,3,0)</f>
        <v>3316</v>
      </c>
      <c r="F60" s="29">
        <f t="shared" si="6"/>
        <v>4.4195301650260029E-3</v>
      </c>
      <c r="G60" s="27">
        <f>VLOOKUP(A60,[2]進出口值表查詢結果!$A$10:$C$100,2,0)</f>
        <v>4358555</v>
      </c>
      <c r="H60" s="29">
        <f t="shared" si="7"/>
        <v>5.0688175846584577E-3</v>
      </c>
      <c r="I60" s="25">
        <f t="shared" si="2"/>
        <v>1314.4013872135104</v>
      </c>
    </row>
    <row r="61" spans="1:9">
      <c r="A61" s="427" t="s">
        <v>226</v>
      </c>
      <c r="B61" s="27">
        <f>VLOOKUP(A61,[1]進出口值表查詢結果!$A$10:$C$57,3,0)</f>
        <v>102</v>
      </c>
      <c r="C61" s="28">
        <f>VLOOKUP(A61,[1]進出口值表查詢結果!$A$10:$C$57,2,0)</f>
        <v>176836</v>
      </c>
      <c r="D61" s="23">
        <f t="shared" si="1"/>
        <v>1733.686274509804</v>
      </c>
      <c r="E61" s="28">
        <f>VLOOKUP(A61,[2]進出口值表查詢結果!$A$10:$C$100,3,0)</f>
        <v>2559</v>
      </c>
      <c r="F61" s="29">
        <f t="shared" si="6"/>
        <v>3.4106084717435287E-3</v>
      </c>
      <c r="G61" s="27">
        <f>VLOOKUP(A61,[2]進出口值表查詢結果!$A$10:$C$100,2,0)</f>
        <v>5234467</v>
      </c>
      <c r="H61" s="29">
        <f t="shared" si="7"/>
        <v>6.087466689284499E-3</v>
      </c>
      <c r="I61" s="25">
        <f t="shared" si="2"/>
        <v>2045.5127002735444</v>
      </c>
    </row>
    <row r="62" spans="1:9">
      <c r="A62" s="426" t="s">
        <v>27</v>
      </c>
      <c r="B62" s="27">
        <f>VLOOKUP(A62,[1]進出口值表查詢結果!$A$10:$C$57,3,0)</f>
        <v>180</v>
      </c>
      <c r="C62" s="28">
        <f>VLOOKUP(A62,[1]進出口值表查詢結果!$A$10:$C$57,2,0)</f>
        <v>268459</v>
      </c>
      <c r="D62" s="23">
        <f t="shared" si="1"/>
        <v>1491.4388888888889</v>
      </c>
      <c r="E62" s="28">
        <f>VLOOKUP(A62,[2]進出口值表查詢結果!$A$10:$C$100,3,0)</f>
        <v>2635</v>
      </c>
      <c r="F62" s="29">
        <f t="shared" si="6"/>
        <v>3.5119004779383344E-3</v>
      </c>
      <c r="G62" s="27">
        <f>VLOOKUP(A62,[2]進出口值表查詢結果!$A$10:$C$100,2,0)</f>
        <v>4139742</v>
      </c>
      <c r="H62" s="29">
        <f t="shared" si="7"/>
        <v>4.8143471966165781E-3</v>
      </c>
      <c r="I62" s="25">
        <f t="shared" si="2"/>
        <v>1571.0595825426944</v>
      </c>
    </row>
    <row r="63" spans="1:9">
      <c r="A63" s="285" t="s">
        <v>227</v>
      </c>
      <c r="B63" s="27">
        <f>VLOOKUP(A63,[1]進出口值表查詢結果!$A$10:$C$57,3,0)</f>
        <v>14</v>
      </c>
      <c r="C63" s="28">
        <f>VLOOKUP(A63,[1]進出口值表查詢結果!$A$10:$C$57,2,0)</f>
        <v>44732</v>
      </c>
      <c r="D63" s="23">
        <f t="shared" si="1"/>
        <v>3195.1428571428573</v>
      </c>
      <c r="E63" s="28">
        <f>VLOOKUP(A63,[2]進出口值表查詢結果!$A$10:$C$100,3,0)</f>
        <v>175</v>
      </c>
      <c r="F63" s="29">
        <f t="shared" si="6"/>
        <v>2.3323817215909243E-4</v>
      </c>
      <c r="G63" s="27">
        <f>VLOOKUP(A63,[2]進出口值表查詢結果!$A$10:$C$100,2,0)</f>
        <v>285886</v>
      </c>
      <c r="H63" s="29">
        <f t="shared" si="7"/>
        <v>3.3247348811880721E-4</v>
      </c>
      <c r="I63" s="25">
        <f t="shared" si="2"/>
        <v>1633.6342857142856</v>
      </c>
    </row>
    <row r="64" spans="1:9">
      <c r="A64" s="426" t="s">
        <v>28</v>
      </c>
      <c r="B64" s="27">
        <f>VLOOKUP(A64,[1]進出口值表查詢結果!$A$10:$C$57,3,0)</f>
        <v>180</v>
      </c>
      <c r="C64" s="28">
        <f>VLOOKUP(A64,[1]進出口值表查詢結果!$A$10:$C$57,2,0)</f>
        <v>369898</v>
      </c>
      <c r="D64" s="23">
        <f t="shared" si="1"/>
        <v>2054.9888888888891</v>
      </c>
      <c r="E64" s="28">
        <f>VLOOKUP(A64,[2]進出口值表查詢結果!$A$10:$C$100,3,0)</f>
        <v>1111</v>
      </c>
      <c r="F64" s="29">
        <f t="shared" si="6"/>
        <v>1.4807291958214381E-3</v>
      </c>
      <c r="G64" s="27">
        <f>VLOOKUP(A64,[2]進出口值表查詢結果!$A$10:$C$100,2,0)</f>
        <v>2373767</v>
      </c>
      <c r="H64" s="29">
        <f t="shared" si="7"/>
        <v>2.7605919648787162E-3</v>
      </c>
      <c r="I64" s="25">
        <f t="shared" si="2"/>
        <v>2136.6039603960394</v>
      </c>
    </row>
    <row r="65" spans="1:256">
      <c r="A65" s="285" t="s">
        <v>228</v>
      </c>
      <c r="B65" s="27">
        <f>VLOOKUP(A65,[1]進出口值表查詢結果!$A$10:$C$57,3,0)</f>
        <v>76</v>
      </c>
      <c r="C65" s="28">
        <f>VLOOKUP(A65,[1]進出口值表查詢結果!$A$10:$C$57,2,0)</f>
        <v>106534</v>
      </c>
      <c r="D65" s="23">
        <f t="shared" si="1"/>
        <v>1401.7631578947369</v>
      </c>
      <c r="E65" s="28">
        <f>VLOOKUP(A65,[2]進出口值表查詢結果!$A$10:$C$100,3,0)</f>
        <v>1624</v>
      </c>
      <c r="F65" s="29">
        <f t="shared" si="6"/>
        <v>2.1644502376363776E-3</v>
      </c>
      <c r="G65" s="27">
        <f>VLOOKUP(A65,[2]進出口值表查詢結果!$A$10:$C$100,2,0)</f>
        <v>2023062</v>
      </c>
      <c r="H65" s="29">
        <f t="shared" si="7"/>
        <v>2.3527366846246766E-3</v>
      </c>
      <c r="I65" s="25">
        <f t="shared" si="2"/>
        <v>1245.7278325123152</v>
      </c>
    </row>
    <row r="66" spans="1:256">
      <c r="A66" s="30" t="s">
        <v>29</v>
      </c>
      <c r="B66" s="27">
        <f>B67-B7-B12-B41-B47</f>
        <v>2034</v>
      </c>
      <c r="C66" s="27">
        <f>C67-C7-C12-C41-C47</f>
        <v>1733508</v>
      </c>
      <c r="D66" s="23">
        <f t="shared" si="1"/>
        <v>852.26548672566366</v>
      </c>
      <c r="E66" s="27">
        <f>E67-E7-E12-E41-E47</f>
        <v>15855</v>
      </c>
      <c r="F66" s="29">
        <f>E66/$E$67</f>
        <v>2.1131378397613775E-2</v>
      </c>
      <c r="G66" s="27">
        <f>G67-G7-G12-G41-G47</f>
        <v>22304060</v>
      </c>
      <c r="H66" s="29">
        <f t="shared" si="7"/>
        <v>2.5938691042622454E-2</v>
      </c>
      <c r="I66" s="25">
        <f t="shared" si="2"/>
        <v>1406.7524440239672</v>
      </c>
    </row>
    <row r="67" spans="1:256">
      <c r="A67" s="286" t="s">
        <v>401</v>
      </c>
      <c r="B67" s="27">
        <f>VLOOKUP(A67,[1]進出口值表查詢結果!$A$10:$C$57,3,0)</f>
        <v>69156</v>
      </c>
      <c r="C67" s="28">
        <f>VLOOKUP(A67,[1]進出口值表查詢結果!$A$10:$C$57,2,0)</f>
        <v>83291709</v>
      </c>
      <c r="D67" s="23">
        <f t="shared" ref="D67" si="10">C67/B67</f>
        <v>1204.4032188096478</v>
      </c>
      <c r="E67" s="28">
        <f>VLOOKUP(A67,[2]進出口值表查詢結果!$A$10:$C$100,3,0)</f>
        <v>750306</v>
      </c>
      <c r="F67" s="24">
        <f>E67/$E$67</f>
        <v>1</v>
      </c>
      <c r="G67" s="27">
        <f>VLOOKUP(A67,[2]進出口值表查詢結果!$A$10:$C$100,2,0)</f>
        <v>859876081</v>
      </c>
      <c r="H67" s="24">
        <f>G67/$G$67</f>
        <v>1</v>
      </c>
      <c r="I67" s="25">
        <f>G67/E67</f>
        <v>1146.0338595186497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4" t="s">
        <v>149</v>
      </c>
      <c r="B69" s="585"/>
      <c r="C69" s="585"/>
      <c r="D69" s="585"/>
      <c r="E69" s="585"/>
      <c r="F69" s="585"/>
      <c r="G69" s="585"/>
      <c r="H69" s="585"/>
      <c r="I69" s="586"/>
    </row>
    <row r="70" spans="1:256">
      <c r="A70" s="8" t="s">
        <v>475</v>
      </c>
      <c r="B70" s="8" t="s">
        <v>489</v>
      </c>
      <c r="C70" s="272" t="s">
        <v>493</v>
      </c>
      <c r="D70" s="9" t="s">
        <v>0</v>
      </c>
      <c r="E70" s="10" t="s">
        <v>491</v>
      </c>
      <c r="F70" s="11" t="s">
        <v>1</v>
      </c>
      <c r="G70" s="72" t="s">
        <v>492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3" t="s">
        <v>3</v>
      </c>
      <c r="H71" s="51"/>
      <c r="I71" s="43" t="s">
        <v>3</v>
      </c>
    </row>
    <row r="72" spans="1:256">
      <c r="A72" s="32" t="s">
        <v>30</v>
      </c>
      <c r="B72" s="27">
        <v>2638</v>
      </c>
      <c r="C72" s="27">
        <v>683337</v>
      </c>
      <c r="D72" s="478">
        <f>C72/B72</f>
        <v>259.03601213040184</v>
      </c>
      <c r="E72" s="27">
        <v>19677</v>
      </c>
      <c r="F72" s="479">
        <v>1</v>
      </c>
      <c r="G72" s="27">
        <v>5140188</v>
      </c>
      <c r="H72" s="502">
        <v>1</v>
      </c>
      <c r="I72" s="52">
        <f>G72/E72</f>
        <v>261.22823601158711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3" t="s">
        <v>465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486" customWidth="1"/>
    <col min="6" max="6" width="15.125" style="58" customWidth="1"/>
    <col min="7" max="7" width="12.25" style="59" customWidth="1"/>
    <col min="8" max="9" width="13" style="5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503</v>
      </c>
      <c r="B1" s="1"/>
      <c r="C1" s="56"/>
      <c r="D1" s="57"/>
      <c r="E1" s="497"/>
      <c r="F1" s="56"/>
      <c r="G1" s="57"/>
    </row>
    <row r="2" spans="1:10" ht="9.75" customHeight="1"/>
    <row r="3" spans="1:10">
      <c r="A3" s="110" t="s">
        <v>150</v>
      </c>
      <c r="B3" s="62"/>
      <c r="C3" s="65"/>
      <c r="D3" s="64"/>
      <c r="E3" s="487"/>
      <c r="F3" s="65"/>
      <c r="G3" s="198"/>
      <c r="H3" s="199"/>
      <c r="I3" s="67"/>
      <c r="J3" s="68"/>
    </row>
    <row r="4" spans="1:10">
      <c r="A4" s="69" t="s">
        <v>495</v>
      </c>
      <c r="B4" s="8" t="s">
        <v>446</v>
      </c>
      <c r="C4" s="539" t="s">
        <v>463</v>
      </c>
      <c r="D4" s="71" t="s">
        <v>155</v>
      </c>
      <c r="E4" s="488" t="s">
        <v>449</v>
      </c>
      <c r="F4" s="539" t="s">
        <v>463</v>
      </c>
      <c r="G4" s="73" t="s">
        <v>156</v>
      </c>
      <c r="H4" s="8" t="s">
        <v>446</v>
      </c>
      <c r="I4" s="70" t="s">
        <v>447</v>
      </c>
      <c r="J4" s="200" t="s">
        <v>114</v>
      </c>
    </row>
    <row r="5" spans="1:10">
      <c r="A5" s="46"/>
      <c r="B5" s="76" t="s">
        <v>32</v>
      </c>
      <c r="C5" s="535" t="s">
        <v>32</v>
      </c>
      <c r="D5" s="201" t="s">
        <v>1</v>
      </c>
      <c r="E5" s="489" t="s">
        <v>33</v>
      </c>
      <c r="F5" s="535" t="s">
        <v>32</v>
      </c>
      <c r="G5" s="201" t="s">
        <v>1</v>
      </c>
      <c r="H5" s="77" t="s">
        <v>34</v>
      </c>
      <c r="I5" s="78" t="s">
        <v>115</v>
      </c>
      <c r="J5" s="201" t="s">
        <v>1</v>
      </c>
    </row>
    <row r="6" spans="1:10">
      <c r="A6" s="20" t="s">
        <v>4</v>
      </c>
      <c r="B6" s="202"/>
      <c r="C6" s="544"/>
      <c r="D6" s="203"/>
      <c r="E6" s="490"/>
      <c r="F6" s="544"/>
      <c r="G6" s="204"/>
      <c r="H6" s="205"/>
      <c r="I6" s="82"/>
      <c r="J6" s="204"/>
    </row>
    <row r="7" spans="1:10">
      <c r="A7" s="121" t="s">
        <v>5</v>
      </c>
      <c r="B7" s="206">
        <f>SUM(B8:B10)</f>
        <v>20</v>
      </c>
      <c r="C7" s="545">
        <v>6</v>
      </c>
      <c r="D7" s="474">
        <f t="shared" ref="D7:D68" si="0">IF(C7,(B7-C7)/C7,0)</f>
        <v>2.3333333333333335</v>
      </c>
      <c r="E7" s="491">
        <f>SUM(E8:E10)</f>
        <v>43199</v>
      </c>
      <c r="F7" s="545">
        <v>4852</v>
      </c>
      <c r="G7" s="474">
        <f>IF(F7,(E7-F7)/F7,0)</f>
        <v>7.9033388293487219</v>
      </c>
      <c r="H7" s="85">
        <f>IF(B7,E7/B7,0)</f>
        <v>2159.9499999999998</v>
      </c>
      <c r="I7" s="86">
        <f>IF(C7,F7/C7,0)</f>
        <v>808.66666666666663</v>
      </c>
      <c r="J7" s="471">
        <f>IF(I7,(H7-I7)/I7,0)</f>
        <v>1.6710016488046167</v>
      </c>
    </row>
    <row r="8" spans="1:10">
      <c r="A8" s="76" t="s">
        <v>379</v>
      </c>
      <c r="B8" s="207">
        <f>折疊車!E8</f>
        <v>20</v>
      </c>
      <c r="C8" s="545">
        <v>5</v>
      </c>
      <c r="D8" s="474">
        <f t="shared" si="0"/>
        <v>3</v>
      </c>
      <c r="E8" s="492">
        <f>折疊車!G8</f>
        <v>43199</v>
      </c>
      <c r="F8" s="545">
        <v>4261</v>
      </c>
      <c r="G8" s="474">
        <f t="shared" ref="G8:G68" si="1">IF(F8,(E8-F8)/F8,0)</f>
        <v>9.1382304623327855</v>
      </c>
      <c r="H8" s="85">
        <f t="shared" ref="H8:H10" si="2">IF(B8,E8/B8,0)</f>
        <v>2159.9499999999998</v>
      </c>
      <c r="I8" s="86">
        <f t="shared" ref="I8:I10" si="3">IF(C8,F8/C8,0)</f>
        <v>852.2</v>
      </c>
      <c r="J8" s="471">
        <f t="shared" ref="J8:J68" si="4">IF(I8,(H8-I8)/I8,0)</f>
        <v>1.5345576155831961</v>
      </c>
    </row>
    <row r="9" spans="1:10">
      <c r="A9" s="30" t="s">
        <v>6</v>
      </c>
      <c r="B9" s="207">
        <f>折疊車!E9</f>
        <v>0</v>
      </c>
      <c r="C9" s="545">
        <v>1</v>
      </c>
      <c r="D9" s="474">
        <f t="shared" si="0"/>
        <v>-1</v>
      </c>
      <c r="E9" s="492">
        <f>折疊車!G9</f>
        <v>0</v>
      </c>
      <c r="F9" s="545">
        <v>591</v>
      </c>
      <c r="G9" s="474">
        <f t="shared" si="1"/>
        <v>-1</v>
      </c>
      <c r="H9" s="85">
        <f t="shared" si="2"/>
        <v>0</v>
      </c>
      <c r="I9" s="86">
        <f t="shared" si="3"/>
        <v>591</v>
      </c>
      <c r="J9" s="471">
        <f t="shared" si="4"/>
        <v>-1</v>
      </c>
    </row>
    <row r="10" spans="1:10">
      <c r="A10" s="30" t="s">
        <v>7</v>
      </c>
      <c r="B10" s="207">
        <f>折疊車!E10</f>
        <v>0</v>
      </c>
      <c r="C10" s="545">
        <v>0</v>
      </c>
      <c r="D10" s="474">
        <f t="shared" si="0"/>
        <v>0</v>
      </c>
      <c r="E10" s="492">
        <f>折疊車!G10</f>
        <v>0</v>
      </c>
      <c r="F10" s="545">
        <v>0</v>
      </c>
      <c r="G10" s="474">
        <f t="shared" si="1"/>
        <v>0</v>
      </c>
      <c r="H10" s="85">
        <f t="shared" si="2"/>
        <v>0</v>
      </c>
      <c r="I10" s="86">
        <f t="shared" si="3"/>
        <v>0</v>
      </c>
      <c r="J10" s="471">
        <f t="shared" si="4"/>
        <v>0</v>
      </c>
    </row>
    <row r="11" spans="1:10">
      <c r="A11" s="30"/>
      <c r="B11" s="27"/>
      <c r="C11" s="534"/>
      <c r="D11" s="474"/>
      <c r="E11" s="493"/>
      <c r="F11" s="534"/>
      <c r="G11" s="474"/>
      <c r="H11" s="85"/>
      <c r="I11" s="86"/>
      <c r="J11" s="471"/>
    </row>
    <row r="12" spans="1:10">
      <c r="A12" s="32" t="s">
        <v>8</v>
      </c>
      <c r="B12" s="33">
        <f>SUM(B13:B39)</f>
        <v>731</v>
      </c>
      <c r="C12" s="534">
        <v>1694</v>
      </c>
      <c r="D12" s="474">
        <f t="shared" si="0"/>
        <v>-0.56847697756788662</v>
      </c>
      <c r="E12" s="494">
        <f>SUM(E13:E39)</f>
        <v>313851</v>
      </c>
      <c r="F12" s="534">
        <v>1053846</v>
      </c>
      <c r="G12" s="474">
        <f t="shared" si="1"/>
        <v>-0.7021851390051298</v>
      </c>
      <c r="H12" s="85">
        <f t="shared" ref="H12:H67" si="5">IF(B12,E12/B12,0)</f>
        <v>429.34473324213405</v>
      </c>
      <c r="I12" s="86">
        <f t="shared" ref="I12:I67" si="6">IF(C12,F12/C12,0)</f>
        <v>622.10507674144037</v>
      </c>
      <c r="J12" s="471">
        <f t="shared" si="4"/>
        <v>-0.30985174483541705</v>
      </c>
    </row>
    <row r="13" spans="1:10">
      <c r="A13" s="425" t="s">
        <v>198</v>
      </c>
      <c r="B13" s="207">
        <f>折疊車!E13</f>
        <v>631</v>
      </c>
      <c r="C13" s="534">
        <v>33</v>
      </c>
      <c r="D13" s="474">
        <f t="shared" si="0"/>
        <v>18.121212121212121</v>
      </c>
      <c r="E13" s="493">
        <f>折疊車!G13</f>
        <v>295315</v>
      </c>
      <c r="F13" s="545">
        <v>14379</v>
      </c>
      <c r="G13" s="474">
        <f t="shared" si="1"/>
        <v>19.537937269629321</v>
      </c>
      <c r="H13" s="85">
        <f t="shared" si="5"/>
        <v>468.01109350237721</v>
      </c>
      <c r="I13" s="86">
        <f t="shared" si="6"/>
        <v>435.72727272727275</v>
      </c>
      <c r="J13" s="471">
        <f t="shared" si="4"/>
        <v>7.4091806494084922E-2</v>
      </c>
    </row>
    <row r="14" spans="1:10">
      <c r="A14" s="425" t="s">
        <v>199</v>
      </c>
      <c r="B14" s="207">
        <f>折疊車!E14</f>
        <v>0</v>
      </c>
      <c r="C14" s="545">
        <v>0</v>
      </c>
      <c r="D14" s="474">
        <f t="shared" si="0"/>
        <v>0</v>
      </c>
      <c r="E14" s="493">
        <f>折疊車!G14</f>
        <v>0</v>
      </c>
      <c r="F14" s="545">
        <v>0</v>
      </c>
      <c r="G14" s="474">
        <f t="shared" si="1"/>
        <v>0</v>
      </c>
      <c r="H14" s="85">
        <f t="shared" si="5"/>
        <v>0</v>
      </c>
      <c r="I14" s="86">
        <f t="shared" si="6"/>
        <v>0</v>
      </c>
      <c r="J14" s="471">
        <f t="shared" si="4"/>
        <v>0</v>
      </c>
    </row>
    <row r="15" spans="1:10">
      <c r="A15" s="426" t="s">
        <v>9</v>
      </c>
      <c r="B15" s="207">
        <f>折疊車!E15</f>
        <v>0</v>
      </c>
      <c r="C15" s="545">
        <v>48</v>
      </c>
      <c r="D15" s="474">
        <f t="shared" si="0"/>
        <v>-1</v>
      </c>
      <c r="E15" s="493">
        <f>折疊車!G15</f>
        <v>0</v>
      </c>
      <c r="F15" s="545">
        <v>40131</v>
      </c>
      <c r="G15" s="474">
        <f t="shared" si="1"/>
        <v>-1</v>
      </c>
      <c r="H15" s="85">
        <f t="shared" si="5"/>
        <v>0</v>
      </c>
      <c r="I15" s="86">
        <f t="shared" si="6"/>
        <v>836.0625</v>
      </c>
      <c r="J15" s="471">
        <f t="shared" si="4"/>
        <v>-1</v>
      </c>
    </row>
    <row r="16" spans="1:10">
      <c r="A16" s="425" t="s">
        <v>200</v>
      </c>
      <c r="B16" s="207">
        <f>折疊車!E16</f>
        <v>0</v>
      </c>
      <c r="C16" s="545">
        <v>0</v>
      </c>
      <c r="D16" s="474">
        <f t="shared" si="0"/>
        <v>0</v>
      </c>
      <c r="E16" s="493">
        <f>折疊車!G16</f>
        <v>0</v>
      </c>
      <c r="F16" s="545">
        <v>0</v>
      </c>
      <c r="G16" s="474">
        <f t="shared" si="1"/>
        <v>0</v>
      </c>
      <c r="H16" s="85">
        <f t="shared" si="5"/>
        <v>0</v>
      </c>
      <c r="I16" s="86">
        <f t="shared" si="6"/>
        <v>0</v>
      </c>
      <c r="J16" s="471">
        <f t="shared" si="4"/>
        <v>0</v>
      </c>
    </row>
    <row r="17" spans="1:10">
      <c r="A17" s="426" t="s">
        <v>10</v>
      </c>
      <c r="B17" s="207">
        <f>折疊車!E17</f>
        <v>0</v>
      </c>
      <c r="C17" s="545">
        <v>113</v>
      </c>
      <c r="D17" s="474">
        <f t="shared" si="0"/>
        <v>-1</v>
      </c>
      <c r="E17" s="493">
        <f>折疊車!G17</f>
        <v>0</v>
      </c>
      <c r="F17" s="545">
        <v>115083</v>
      </c>
      <c r="G17" s="474">
        <f t="shared" si="1"/>
        <v>-1</v>
      </c>
      <c r="H17" s="85">
        <f t="shared" si="5"/>
        <v>0</v>
      </c>
      <c r="I17" s="86">
        <f t="shared" si="6"/>
        <v>1018.4336283185841</v>
      </c>
      <c r="J17" s="471">
        <f t="shared" si="4"/>
        <v>-1</v>
      </c>
    </row>
    <row r="18" spans="1:10">
      <c r="A18" s="426" t="s">
        <v>11</v>
      </c>
      <c r="B18" s="207">
        <f>折疊車!E18</f>
        <v>0</v>
      </c>
      <c r="C18" s="545">
        <v>0</v>
      </c>
      <c r="D18" s="474">
        <f t="shared" si="0"/>
        <v>0</v>
      </c>
      <c r="E18" s="493">
        <f>折疊車!G18</f>
        <v>0</v>
      </c>
      <c r="F18" s="545">
        <v>0</v>
      </c>
      <c r="G18" s="474">
        <f t="shared" si="1"/>
        <v>0</v>
      </c>
      <c r="H18" s="85">
        <f t="shared" si="5"/>
        <v>0</v>
      </c>
      <c r="I18" s="86">
        <f t="shared" si="6"/>
        <v>0</v>
      </c>
      <c r="J18" s="471">
        <f t="shared" si="4"/>
        <v>0</v>
      </c>
    </row>
    <row r="19" spans="1:10">
      <c r="A19" s="425" t="s">
        <v>201</v>
      </c>
      <c r="B19" s="207">
        <f>折疊車!E19</f>
        <v>0</v>
      </c>
      <c r="C19" s="545">
        <v>0</v>
      </c>
      <c r="D19" s="474">
        <f t="shared" si="0"/>
        <v>0</v>
      </c>
      <c r="E19" s="493">
        <f>折疊車!G19</f>
        <v>0</v>
      </c>
      <c r="F19" s="545">
        <v>0</v>
      </c>
      <c r="G19" s="474">
        <f t="shared" si="1"/>
        <v>0</v>
      </c>
      <c r="H19" s="85">
        <f t="shared" si="5"/>
        <v>0</v>
      </c>
      <c r="I19" s="86">
        <f t="shared" si="6"/>
        <v>0</v>
      </c>
      <c r="J19" s="471">
        <f t="shared" si="4"/>
        <v>0</v>
      </c>
    </row>
    <row r="20" spans="1:10">
      <c r="A20" s="426" t="s">
        <v>12</v>
      </c>
      <c r="B20" s="207">
        <f>折疊車!E20</f>
        <v>0</v>
      </c>
      <c r="C20" s="545">
        <v>0</v>
      </c>
      <c r="D20" s="474">
        <f t="shared" si="0"/>
        <v>0</v>
      </c>
      <c r="E20" s="493">
        <f>折疊車!G20</f>
        <v>0</v>
      </c>
      <c r="F20" s="545">
        <v>0</v>
      </c>
      <c r="G20" s="474">
        <f t="shared" si="1"/>
        <v>0</v>
      </c>
      <c r="H20" s="85">
        <f t="shared" si="5"/>
        <v>0</v>
      </c>
      <c r="I20" s="86">
        <f t="shared" si="6"/>
        <v>0</v>
      </c>
      <c r="J20" s="471">
        <f t="shared" si="4"/>
        <v>0</v>
      </c>
    </row>
    <row r="21" spans="1:10">
      <c r="A21" s="425" t="s">
        <v>203</v>
      </c>
      <c r="B21" s="207">
        <f>折疊車!E21</f>
        <v>0</v>
      </c>
      <c r="C21" s="545">
        <v>0</v>
      </c>
      <c r="D21" s="474">
        <f t="shared" si="0"/>
        <v>0</v>
      </c>
      <c r="E21" s="493">
        <f>折疊車!G21</f>
        <v>0</v>
      </c>
      <c r="F21" s="545">
        <v>0</v>
      </c>
      <c r="G21" s="474">
        <f t="shared" si="1"/>
        <v>0</v>
      </c>
      <c r="H21" s="85">
        <f t="shared" si="5"/>
        <v>0</v>
      </c>
      <c r="I21" s="86">
        <f t="shared" si="6"/>
        <v>0</v>
      </c>
      <c r="J21" s="471">
        <f t="shared" si="4"/>
        <v>0</v>
      </c>
    </row>
    <row r="22" spans="1:10">
      <c r="A22" s="426" t="s">
        <v>13</v>
      </c>
      <c r="B22" s="207">
        <f>折疊車!E22</f>
        <v>0</v>
      </c>
      <c r="C22" s="545">
        <v>0</v>
      </c>
      <c r="D22" s="474">
        <f t="shared" si="0"/>
        <v>0</v>
      </c>
      <c r="E22" s="493">
        <f>折疊車!G22</f>
        <v>0</v>
      </c>
      <c r="F22" s="545">
        <v>0</v>
      </c>
      <c r="G22" s="474">
        <f t="shared" si="1"/>
        <v>0</v>
      </c>
      <c r="H22" s="85">
        <f t="shared" si="5"/>
        <v>0</v>
      </c>
      <c r="I22" s="86">
        <f t="shared" si="6"/>
        <v>0</v>
      </c>
      <c r="J22" s="471">
        <f t="shared" si="4"/>
        <v>0</v>
      </c>
    </row>
    <row r="23" spans="1:10">
      <c r="A23" s="426" t="s">
        <v>14</v>
      </c>
      <c r="B23" s="207">
        <f>折疊車!E23</f>
        <v>0</v>
      </c>
      <c r="C23" s="545">
        <v>0</v>
      </c>
      <c r="D23" s="474">
        <f t="shared" si="0"/>
        <v>0</v>
      </c>
      <c r="E23" s="493">
        <f>折疊車!G23</f>
        <v>0</v>
      </c>
      <c r="F23" s="545">
        <v>0</v>
      </c>
      <c r="G23" s="474">
        <f t="shared" si="1"/>
        <v>0</v>
      </c>
      <c r="H23" s="85">
        <f t="shared" si="5"/>
        <v>0</v>
      </c>
      <c r="I23" s="86">
        <f t="shared" si="6"/>
        <v>0</v>
      </c>
      <c r="J23" s="471">
        <f t="shared" si="4"/>
        <v>0</v>
      </c>
    </row>
    <row r="24" spans="1:10">
      <c r="A24" s="426" t="s">
        <v>15</v>
      </c>
      <c r="B24" s="207">
        <f>折疊車!E24</f>
        <v>0</v>
      </c>
      <c r="C24" s="545">
        <v>1500</v>
      </c>
      <c r="D24" s="474">
        <f t="shared" si="0"/>
        <v>-1</v>
      </c>
      <c r="E24" s="493">
        <f>折疊車!G24</f>
        <v>0</v>
      </c>
      <c r="F24" s="545">
        <v>884253</v>
      </c>
      <c r="G24" s="474">
        <f t="shared" si="1"/>
        <v>-1</v>
      </c>
      <c r="H24" s="85">
        <f t="shared" si="5"/>
        <v>0</v>
      </c>
      <c r="I24" s="86">
        <f t="shared" si="6"/>
        <v>589.50199999999995</v>
      </c>
      <c r="J24" s="471">
        <f t="shared" si="4"/>
        <v>-1</v>
      </c>
    </row>
    <row r="25" spans="1:10">
      <c r="A25" s="425" t="s">
        <v>204</v>
      </c>
      <c r="B25" s="207">
        <f>折疊車!E25</f>
        <v>0</v>
      </c>
      <c r="C25" s="545">
        <v>0</v>
      </c>
      <c r="D25" s="474">
        <f t="shared" si="0"/>
        <v>0</v>
      </c>
      <c r="E25" s="493">
        <f>折疊車!G25</f>
        <v>0</v>
      </c>
      <c r="F25" s="545">
        <v>0</v>
      </c>
      <c r="G25" s="474">
        <f t="shared" si="1"/>
        <v>0</v>
      </c>
      <c r="H25" s="85">
        <f t="shared" si="5"/>
        <v>0</v>
      </c>
      <c r="I25" s="86">
        <f t="shared" si="6"/>
        <v>0</v>
      </c>
      <c r="J25" s="471">
        <f t="shared" si="4"/>
        <v>0</v>
      </c>
    </row>
    <row r="26" spans="1:10">
      <c r="A26" s="425" t="s">
        <v>205</v>
      </c>
      <c r="B26" s="207">
        <f>折疊車!E26</f>
        <v>0</v>
      </c>
      <c r="C26" s="545">
        <v>0</v>
      </c>
      <c r="D26" s="474">
        <f t="shared" si="0"/>
        <v>0</v>
      </c>
      <c r="E26" s="493">
        <f>折疊車!G26</f>
        <v>0</v>
      </c>
      <c r="F26" s="545">
        <v>0</v>
      </c>
      <c r="G26" s="474">
        <f t="shared" si="1"/>
        <v>0</v>
      </c>
      <c r="H26" s="85">
        <f t="shared" si="5"/>
        <v>0</v>
      </c>
      <c r="I26" s="86">
        <f t="shared" si="6"/>
        <v>0</v>
      </c>
      <c r="J26" s="471">
        <f t="shared" si="4"/>
        <v>0</v>
      </c>
    </row>
    <row r="27" spans="1:10">
      <c r="A27" s="285" t="s">
        <v>206</v>
      </c>
      <c r="B27" s="207">
        <f>折疊車!E27</f>
        <v>0</v>
      </c>
      <c r="C27" s="545">
        <v>0</v>
      </c>
      <c r="D27" s="474">
        <f t="shared" si="0"/>
        <v>0</v>
      </c>
      <c r="E27" s="493">
        <f>折疊車!G27</f>
        <v>0</v>
      </c>
      <c r="F27" s="545">
        <v>0</v>
      </c>
      <c r="G27" s="474">
        <f t="shared" si="1"/>
        <v>0</v>
      </c>
      <c r="H27" s="85">
        <f t="shared" si="5"/>
        <v>0</v>
      </c>
      <c r="I27" s="86">
        <f t="shared" si="6"/>
        <v>0</v>
      </c>
      <c r="J27" s="471">
        <f t="shared" si="4"/>
        <v>0</v>
      </c>
    </row>
    <row r="28" spans="1:10">
      <c r="A28" s="285" t="s">
        <v>207</v>
      </c>
      <c r="B28" s="207">
        <f>折疊車!E28</f>
        <v>0</v>
      </c>
      <c r="C28" s="545">
        <v>0</v>
      </c>
      <c r="D28" s="474">
        <f t="shared" si="0"/>
        <v>0</v>
      </c>
      <c r="E28" s="493">
        <f>折疊車!G28</f>
        <v>0</v>
      </c>
      <c r="F28" s="545">
        <v>0</v>
      </c>
      <c r="G28" s="474">
        <f t="shared" si="1"/>
        <v>0</v>
      </c>
      <c r="H28" s="85">
        <f t="shared" si="5"/>
        <v>0</v>
      </c>
      <c r="I28" s="86">
        <f t="shared" si="6"/>
        <v>0</v>
      </c>
      <c r="J28" s="471">
        <f t="shared" si="4"/>
        <v>0</v>
      </c>
    </row>
    <row r="29" spans="1:10">
      <c r="A29" s="426" t="s">
        <v>208</v>
      </c>
      <c r="B29" s="207">
        <f>折疊車!E29</f>
        <v>0</v>
      </c>
      <c r="C29" s="545">
        <v>0</v>
      </c>
      <c r="D29" s="474">
        <f t="shared" si="0"/>
        <v>0</v>
      </c>
      <c r="E29" s="493">
        <f>折疊車!G29</f>
        <v>0</v>
      </c>
      <c r="F29" s="545">
        <v>0</v>
      </c>
      <c r="G29" s="474">
        <f t="shared" si="1"/>
        <v>0</v>
      </c>
      <c r="H29" s="85">
        <f t="shared" si="5"/>
        <v>0</v>
      </c>
      <c r="I29" s="86">
        <f t="shared" si="6"/>
        <v>0</v>
      </c>
      <c r="J29" s="471">
        <f t="shared" si="4"/>
        <v>0</v>
      </c>
    </row>
    <row r="30" spans="1:10">
      <c r="A30" s="426" t="s">
        <v>209</v>
      </c>
      <c r="B30" s="207">
        <f>折疊車!E30</f>
        <v>0</v>
      </c>
      <c r="C30" s="545">
        <v>0</v>
      </c>
      <c r="D30" s="474">
        <f t="shared" si="0"/>
        <v>0</v>
      </c>
      <c r="E30" s="493">
        <f>折疊車!G30</f>
        <v>0</v>
      </c>
      <c r="F30" s="545">
        <v>0</v>
      </c>
      <c r="G30" s="474">
        <f t="shared" si="1"/>
        <v>0</v>
      </c>
      <c r="H30" s="85">
        <f t="shared" si="5"/>
        <v>0</v>
      </c>
      <c r="I30" s="86">
        <f t="shared" si="6"/>
        <v>0</v>
      </c>
      <c r="J30" s="471">
        <f t="shared" si="4"/>
        <v>0</v>
      </c>
    </row>
    <row r="31" spans="1:10">
      <c r="A31" s="426" t="s">
        <v>16</v>
      </c>
      <c r="B31" s="207">
        <f>折疊車!E31</f>
        <v>0</v>
      </c>
      <c r="C31" s="545">
        <v>0</v>
      </c>
      <c r="D31" s="474">
        <f t="shared" si="0"/>
        <v>0</v>
      </c>
      <c r="E31" s="493">
        <f>折疊車!G31</f>
        <v>0</v>
      </c>
      <c r="F31" s="545">
        <v>0</v>
      </c>
      <c r="G31" s="474">
        <f t="shared" si="1"/>
        <v>0</v>
      </c>
      <c r="H31" s="85">
        <f t="shared" si="5"/>
        <v>0</v>
      </c>
      <c r="I31" s="86">
        <f t="shared" si="6"/>
        <v>0</v>
      </c>
      <c r="J31" s="471">
        <f t="shared" si="4"/>
        <v>0</v>
      </c>
    </row>
    <row r="32" spans="1:10">
      <c r="A32" s="426" t="s">
        <v>17</v>
      </c>
      <c r="B32" s="207">
        <f>折疊車!E32</f>
        <v>0</v>
      </c>
      <c r="C32" s="545">
        <v>0</v>
      </c>
      <c r="D32" s="474">
        <f t="shared" si="0"/>
        <v>0</v>
      </c>
      <c r="E32" s="493">
        <f>折疊車!G32</f>
        <v>0</v>
      </c>
      <c r="F32" s="545">
        <v>0</v>
      </c>
      <c r="G32" s="474">
        <f t="shared" si="1"/>
        <v>0</v>
      </c>
      <c r="H32" s="85">
        <f t="shared" si="5"/>
        <v>0</v>
      </c>
      <c r="I32" s="86">
        <f t="shared" si="6"/>
        <v>0</v>
      </c>
      <c r="J32" s="471">
        <f t="shared" si="4"/>
        <v>0</v>
      </c>
    </row>
    <row r="33" spans="1:10">
      <c r="A33" s="426" t="s">
        <v>210</v>
      </c>
      <c r="B33" s="207">
        <f>折疊車!E33</f>
        <v>0</v>
      </c>
      <c r="C33" s="545">
        <v>0</v>
      </c>
      <c r="D33" s="474">
        <f t="shared" si="0"/>
        <v>0</v>
      </c>
      <c r="E33" s="493">
        <f>折疊車!G33</f>
        <v>0</v>
      </c>
      <c r="F33" s="545">
        <v>0</v>
      </c>
      <c r="G33" s="474">
        <f t="shared" si="1"/>
        <v>0</v>
      </c>
      <c r="H33" s="85">
        <f t="shared" si="5"/>
        <v>0</v>
      </c>
      <c r="I33" s="86">
        <f t="shared" si="6"/>
        <v>0</v>
      </c>
      <c r="J33" s="471">
        <f t="shared" si="4"/>
        <v>0</v>
      </c>
    </row>
    <row r="34" spans="1:10">
      <c r="A34" s="426" t="s">
        <v>211</v>
      </c>
      <c r="B34" s="207">
        <f>折疊車!E34</f>
        <v>0</v>
      </c>
      <c r="C34" s="545">
        <v>0</v>
      </c>
      <c r="D34" s="474">
        <f t="shared" si="0"/>
        <v>0</v>
      </c>
      <c r="E34" s="493">
        <f>折疊車!G34</f>
        <v>0</v>
      </c>
      <c r="F34" s="545">
        <v>0</v>
      </c>
      <c r="G34" s="474">
        <f t="shared" si="1"/>
        <v>0</v>
      </c>
      <c r="H34" s="85">
        <f t="shared" si="5"/>
        <v>0</v>
      </c>
      <c r="I34" s="86">
        <f t="shared" si="6"/>
        <v>0</v>
      </c>
      <c r="J34" s="471">
        <f t="shared" si="4"/>
        <v>0</v>
      </c>
    </row>
    <row r="35" spans="1:10">
      <c r="A35" s="426" t="s">
        <v>212</v>
      </c>
      <c r="B35" s="207">
        <f>折疊車!E35</f>
        <v>0</v>
      </c>
      <c r="C35" s="545">
        <v>0</v>
      </c>
      <c r="D35" s="474">
        <f t="shared" si="0"/>
        <v>0</v>
      </c>
      <c r="E35" s="493">
        <f>折疊車!G35</f>
        <v>0</v>
      </c>
      <c r="F35" s="545">
        <v>0</v>
      </c>
      <c r="G35" s="474">
        <f t="shared" si="1"/>
        <v>0</v>
      </c>
      <c r="H35" s="85">
        <f t="shared" si="5"/>
        <v>0</v>
      </c>
      <c r="I35" s="86">
        <f t="shared" si="6"/>
        <v>0</v>
      </c>
      <c r="J35" s="471">
        <f t="shared" si="4"/>
        <v>0</v>
      </c>
    </row>
    <row r="36" spans="1:10">
      <c r="A36" s="426" t="s">
        <v>380</v>
      </c>
      <c r="B36" s="207">
        <f>折疊車!E36</f>
        <v>0</v>
      </c>
      <c r="C36" s="545">
        <v>0</v>
      </c>
      <c r="D36" s="474">
        <f t="shared" si="0"/>
        <v>0</v>
      </c>
      <c r="E36" s="493">
        <f>折疊車!G36</f>
        <v>0</v>
      </c>
      <c r="F36" s="545">
        <v>0</v>
      </c>
      <c r="G36" s="474">
        <f t="shared" si="1"/>
        <v>0</v>
      </c>
      <c r="H36" s="85">
        <f t="shared" si="5"/>
        <v>0</v>
      </c>
      <c r="I36" s="86">
        <f t="shared" si="6"/>
        <v>0</v>
      </c>
      <c r="J36" s="471">
        <f t="shared" si="4"/>
        <v>0</v>
      </c>
    </row>
    <row r="37" spans="1:10">
      <c r="A37" s="426" t="s">
        <v>214</v>
      </c>
      <c r="B37" s="207">
        <f>折疊車!E37</f>
        <v>0</v>
      </c>
      <c r="C37" s="545">
        <v>0</v>
      </c>
      <c r="D37" s="474">
        <f t="shared" si="0"/>
        <v>0</v>
      </c>
      <c r="E37" s="493">
        <f>折疊車!G37</f>
        <v>0</v>
      </c>
      <c r="F37" s="545">
        <v>0</v>
      </c>
      <c r="G37" s="474">
        <f t="shared" si="1"/>
        <v>0</v>
      </c>
      <c r="H37" s="85">
        <f t="shared" si="5"/>
        <v>0</v>
      </c>
      <c r="I37" s="86">
        <f t="shared" si="6"/>
        <v>0</v>
      </c>
      <c r="J37" s="471">
        <f t="shared" si="4"/>
        <v>0</v>
      </c>
    </row>
    <row r="38" spans="1:10">
      <c r="A38" s="426" t="s">
        <v>215</v>
      </c>
      <c r="B38" s="207">
        <f>折疊車!E38</f>
        <v>100</v>
      </c>
      <c r="C38" s="545">
        <v>0</v>
      </c>
      <c r="D38" s="474">
        <f t="shared" si="0"/>
        <v>0</v>
      </c>
      <c r="E38" s="493">
        <f>折疊車!G38</f>
        <v>18536</v>
      </c>
      <c r="F38" s="545">
        <v>0</v>
      </c>
      <c r="G38" s="474">
        <f t="shared" si="1"/>
        <v>0</v>
      </c>
      <c r="H38" s="85">
        <f t="shared" si="5"/>
        <v>185.36</v>
      </c>
      <c r="I38" s="86">
        <f t="shared" si="6"/>
        <v>0</v>
      </c>
      <c r="J38" s="471">
        <f t="shared" si="4"/>
        <v>0</v>
      </c>
    </row>
    <row r="39" spans="1:10">
      <c r="A39" s="426" t="s">
        <v>18</v>
      </c>
      <c r="B39" s="207">
        <f>折疊車!E39</f>
        <v>0</v>
      </c>
      <c r="C39" s="545">
        <v>0</v>
      </c>
      <c r="D39" s="474">
        <f t="shared" si="0"/>
        <v>0</v>
      </c>
      <c r="E39" s="493">
        <f>折疊車!G39</f>
        <v>0</v>
      </c>
      <c r="F39" s="545">
        <v>0</v>
      </c>
      <c r="G39" s="474">
        <f t="shared" si="1"/>
        <v>0</v>
      </c>
      <c r="H39" s="85">
        <f t="shared" si="5"/>
        <v>0</v>
      </c>
      <c r="I39" s="86">
        <f t="shared" si="6"/>
        <v>0</v>
      </c>
      <c r="J39" s="471">
        <f t="shared" si="4"/>
        <v>0</v>
      </c>
    </row>
    <row r="40" spans="1:10">
      <c r="A40" s="30"/>
      <c r="B40" s="27"/>
      <c r="C40" s="534"/>
      <c r="D40" s="474"/>
      <c r="E40" s="493"/>
      <c r="F40" s="534"/>
      <c r="G40" s="474"/>
      <c r="H40" s="85"/>
      <c r="I40" s="86"/>
      <c r="J40" s="471"/>
    </row>
    <row r="41" spans="1:10" ht="16.149999999999999" customHeight="1">
      <c r="A41" s="36" t="s">
        <v>19</v>
      </c>
      <c r="B41" s="33">
        <f>SUM(B42:B45)</f>
        <v>0</v>
      </c>
      <c r="C41" s="534">
        <v>0</v>
      </c>
      <c r="D41" s="474">
        <f t="shared" si="0"/>
        <v>0</v>
      </c>
      <c r="E41" s="494">
        <f>SUM(E42:E45)</f>
        <v>0</v>
      </c>
      <c r="F41" s="534">
        <v>0</v>
      </c>
      <c r="G41" s="474">
        <f t="shared" si="1"/>
        <v>0</v>
      </c>
      <c r="H41" s="85">
        <f t="shared" si="5"/>
        <v>0</v>
      </c>
      <c r="I41" s="86">
        <f t="shared" si="6"/>
        <v>0</v>
      </c>
      <c r="J41" s="471">
        <f t="shared" si="4"/>
        <v>0</v>
      </c>
    </row>
    <row r="42" spans="1:10">
      <c r="A42" s="26" t="s">
        <v>216</v>
      </c>
      <c r="B42" s="27">
        <f>折疊車!E42</f>
        <v>0</v>
      </c>
      <c r="C42" s="545">
        <v>0</v>
      </c>
      <c r="D42" s="474">
        <f t="shared" si="0"/>
        <v>0</v>
      </c>
      <c r="E42" s="493">
        <f>折疊車!G42</f>
        <v>0</v>
      </c>
      <c r="F42" s="545">
        <v>0</v>
      </c>
      <c r="G42" s="474">
        <f t="shared" si="1"/>
        <v>0</v>
      </c>
      <c r="H42" s="85">
        <f t="shared" si="5"/>
        <v>0</v>
      </c>
      <c r="I42" s="86">
        <f t="shared" si="6"/>
        <v>0</v>
      </c>
      <c r="J42" s="471">
        <f t="shared" si="4"/>
        <v>0</v>
      </c>
    </row>
    <row r="43" spans="1:10">
      <c r="A43" s="26" t="s">
        <v>217</v>
      </c>
      <c r="B43" s="27">
        <f>折疊車!E43</f>
        <v>0</v>
      </c>
      <c r="C43" s="545">
        <v>0</v>
      </c>
      <c r="D43" s="474">
        <f t="shared" si="0"/>
        <v>0</v>
      </c>
      <c r="E43" s="493">
        <f>折疊車!G43</f>
        <v>0</v>
      </c>
      <c r="F43" s="545">
        <v>0</v>
      </c>
      <c r="G43" s="474">
        <f t="shared" si="1"/>
        <v>0</v>
      </c>
      <c r="H43" s="85">
        <f t="shared" si="5"/>
        <v>0</v>
      </c>
      <c r="I43" s="86">
        <f t="shared" si="6"/>
        <v>0</v>
      </c>
      <c r="J43" s="471">
        <f t="shared" si="4"/>
        <v>0</v>
      </c>
    </row>
    <row r="44" spans="1:10">
      <c r="A44" s="26" t="s">
        <v>218</v>
      </c>
      <c r="B44" s="27">
        <f>折疊車!E44</f>
        <v>0</v>
      </c>
      <c r="C44" s="545">
        <v>0</v>
      </c>
      <c r="D44" s="474">
        <f t="shared" si="0"/>
        <v>0</v>
      </c>
      <c r="E44" s="493">
        <f>折疊車!G44</f>
        <v>0</v>
      </c>
      <c r="F44" s="545">
        <v>0</v>
      </c>
      <c r="G44" s="474">
        <f t="shared" si="1"/>
        <v>0</v>
      </c>
      <c r="H44" s="85">
        <f t="shared" si="5"/>
        <v>0</v>
      </c>
      <c r="I44" s="86">
        <f t="shared" si="6"/>
        <v>0</v>
      </c>
      <c r="J44" s="471">
        <f t="shared" si="4"/>
        <v>0</v>
      </c>
    </row>
    <row r="45" spans="1:10">
      <c r="A45" s="30" t="s">
        <v>20</v>
      </c>
      <c r="B45" s="27">
        <f>折疊車!E45</f>
        <v>0</v>
      </c>
      <c r="C45" s="545">
        <v>0</v>
      </c>
      <c r="D45" s="474">
        <f t="shared" si="0"/>
        <v>0</v>
      </c>
      <c r="E45" s="493">
        <f>折疊車!G45</f>
        <v>0</v>
      </c>
      <c r="F45" s="545">
        <v>0</v>
      </c>
      <c r="G45" s="474">
        <f t="shared" si="1"/>
        <v>0</v>
      </c>
      <c r="H45" s="85">
        <f t="shared" si="5"/>
        <v>0</v>
      </c>
      <c r="I45" s="86">
        <f t="shared" si="6"/>
        <v>0</v>
      </c>
      <c r="J45" s="471">
        <f t="shared" si="4"/>
        <v>0</v>
      </c>
    </row>
    <row r="46" spans="1:10">
      <c r="A46" s="30"/>
      <c r="B46" s="27"/>
      <c r="C46" s="534"/>
      <c r="D46" s="474"/>
      <c r="E46" s="493"/>
      <c r="F46" s="534"/>
      <c r="G46" s="474"/>
      <c r="H46" s="85"/>
      <c r="I46" s="86"/>
      <c r="J46" s="471"/>
    </row>
    <row r="47" spans="1:10">
      <c r="A47" s="36" t="s">
        <v>21</v>
      </c>
      <c r="B47" s="33">
        <f>SUM(B48:B66)</f>
        <v>2689</v>
      </c>
      <c r="C47" s="534">
        <v>7665</v>
      </c>
      <c r="D47" s="474">
        <f t="shared" si="0"/>
        <v>-0.64918460534898892</v>
      </c>
      <c r="E47" s="494">
        <f>SUM(E48:E66)</f>
        <v>2280930</v>
      </c>
      <c r="F47" s="534">
        <v>5477517</v>
      </c>
      <c r="G47" s="474">
        <f t="shared" si="1"/>
        <v>-0.58358321845463923</v>
      </c>
      <c r="H47" s="85">
        <f t="shared" si="5"/>
        <v>848.24470063220531</v>
      </c>
      <c r="I47" s="86">
        <f t="shared" si="6"/>
        <v>714.61409001956952</v>
      </c>
      <c r="J47" s="471">
        <f t="shared" si="4"/>
        <v>0.18699688752145421</v>
      </c>
    </row>
    <row r="48" spans="1:10">
      <c r="A48" s="453" t="s">
        <v>159</v>
      </c>
      <c r="B48" s="27">
        <f>折疊車!E48</f>
        <v>0</v>
      </c>
      <c r="C48" s="545">
        <v>0</v>
      </c>
      <c r="D48" s="474">
        <f t="shared" si="0"/>
        <v>0</v>
      </c>
      <c r="E48" s="493">
        <f>折疊車!G48</f>
        <v>0</v>
      </c>
      <c r="F48" s="545">
        <v>0</v>
      </c>
      <c r="G48" s="474">
        <f t="shared" si="1"/>
        <v>0</v>
      </c>
      <c r="H48" s="85">
        <f t="shared" si="5"/>
        <v>0</v>
      </c>
      <c r="I48" s="86">
        <f t="shared" si="6"/>
        <v>0</v>
      </c>
      <c r="J48" s="471">
        <f t="shared" si="4"/>
        <v>0</v>
      </c>
    </row>
    <row r="49" spans="1:10">
      <c r="A49" s="425" t="s">
        <v>219</v>
      </c>
      <c r="B49" s="27">
        <f>折疊車!E49</f>
        <v>168</v>
      </c>
      <c r="C49" s="545">
        <v>1196</v>
      </c>
      <c r="D49" s="474">
        <f t="shared" si="0"/>
        <v>-0.85953177257525082</v>
      </c>
      <c r="E49" s="493">
        <f>折疊車!G49</f>
        <v>130809</v>
      </c>
      <c r="F49" s="545">
        <v>942176</v>
      </c>
      <c r="G49" s="474">
        <f t="shared" si="1"/>
        <v>-0.86116288251876505</v>
      </c>
      <c r="H49" s="85">
        <f t="shared" si="5"/>
        <v>778.625</v>
      </c>
      <c r="I49" s="86">
        <f t="shared" si="6"/>
        <v>787.7725752508361</v>
      </c>
      <c r="J49" s="471">
        <f t="shared" si="4"/>
        <v>-1.1611949359779886E-2</v>
      </c>
    </row>
    <row r="50" spans="1:10">
      <c r="A50" s="282" t="s">
        <v>220</v>
      </c>
      <c r="B50" s="27">
        <f>折疊車!E50</f>
        <v>19</v>
      </c>
      <c r="C50" s="545">
        <v>0</v>
      </c>
      <c r="D50" s="474">
        <f t="shared" si="0"/>
        <v>0</v>
      </c>
      <c r="E50" s="493">
        <f>折疊車!G50</f>
        <v>19056</v>
      </c>
      <c r="F50" s="545">
        <v>0</v>
      </c>
      <c r="G50" s="474">
        <f t="shared" si="1"/>
        <v>0</v>
      </c>
      <c r="H50" s="85">
        <f t="shared" si="5"/>
        <v>1002.9473684210526</v>
      </c>
      <c r="I50" s="86">
        <f t="shared" si="6"/>
        <v>0</v>
      </c>
      <c r="J50" s="471">
        <f t="shared" si="4"/>
        <v>0</v>
      </c>
    </row>
    <row r="51" spans="1:10">
      <c r="A51" s="425" t="s">
        <v>221</v>
      </c>
      <c r="B51" s="27">
        <f>折疊車!E51</f>
        <v>0</v>
      </c>
      <c r="C51" s="545">
        <v>0</v>
      </c>
      <c r="D51" s="474">
        <f t="shared" si="0"/>
        <v>0</v>
      </c>
      <c r="E51" s="493">
        <f>折疊車!G51</f>
        <v>0</v>
      </c>
      <c r="F51" s="545">
        <v>0</v>
      </c>
      <c r="G51" s="474">
        <f t="shared" si="1"/>
        <v>0</v>
      </c>
      <c r="H51" s="85">
        <f t="shared" si="5"/>
        <v>0</v>
      </c>
      <c r="I51" s="86">
        <f t="shared" si="6"/>
        <v>0</v>
      </c>
      <c r="J51" s="471">
        <f t="shared" si="4"/>
        <v>0</v>
      </c>
    </row>
    <row r="52" spans="1:10">
      <c r="A52" s="426" t="s">
        <v>22</v>
      </c>
      <c r="B52" s="27">
        <f>折疊車!E52</f>
        <v>0</v>
      </c>
      <c r="C52" s="545">
        <v>0</v>
      </c>
      <c r="D52" s="474">
        <f t="shared" si="0"/>
        <v>0</v>
      </c>
      <c r="E52" s="493">
        <f>折疊車!G52</f>
        <v>0</v>
      </c>
      <c r="F52" s="545">
        <v>0</v>
      </c>
      <c r="G52" s="474">
        <f t="shared" si="1"/>
        <v>0</v>
      </c>
      <c r="H52" s="85">
        <f t="shared" si="5"/>
        <v>0</v>
      </c>
      <c r="I52" s="86">
        <f t="shared" si="6"/>
        <v>0</v>
      </c>
      <c r="J52" s="471">
        <f t="shared" si="4"/>
        <v>0</v>
      </c>
    </row>
    <row r="53" spans="1:10">
      <c r="A53" s="425" t="s">
        <v>222</v>
      </c>
      <c r="B53" s="27">
        <f>折疊車!E53</f>
        <v>0</v>
      </c>
      <c r="C53" s="545">
        <v>0</v>
      </c>
      <c r="D53" s="474">
        <f t="shared" si="0"/>
        <v>0</v>
      </c>
      <c r="E53" s="493">
        <f>折疊車!G53</f>
        <v>0</v>
      </c>
      <c r="F53" s="545">
        <v>0</v>
      </c>
      <c r="G53" s="474">
        <f t="shared" si="1"/>
        <v>0</v>
      </c>
      <c r="H53" s="85">
        <f t="shared" si="5"/>
        <v>0</v>
      </c>
      <c r="I53" s="86">
        <f t="shared" si="6"/>
        <v>0</v>
      </c>
      <c r="J53" s="471">
        <f t="shared" si="4"/>
        <v>0</v>
      </c>
    </row>
    <row r="54" spans="1:10">
      <c r="A54" s="426" t="s">
        <v>223</v>
      </c>
      <c r="B54" s="27">
        <f>折疊車!E54</f>
        <v>0</v>
      </c>
      <c r="C54" s="545">
        <v>43</v>
      </c>
      <c r="D54" s="474">
        <f t="shared" si="0"/>
        <v>-1</v>
      </c>
      <c r="E54" s="493">
        <f>折疊車!G54</f>
        <v>0</v>
      </c>
      <c r="F54" s="545">
        <v>29985</v>
      </c>
      <c r="G54" s="474">
        <f t="shared" si="1"/>
        <v>-1</v>
      </c>
      <c r="H54" s="85">
        <f t="shared" si="5"/>
        <v>0</v>
      </c>
      <c r="I54" s="86">
        <f t="shared" si="6"/>
        <v>697.32558139534888</v>
      </c>
      <c r="J54" s="471">
        <f t="shared" si="4"/>
        <v>-1</v>
      </c>
    </row>
    <row r="55" spans="1:10">
      <c r="A55" s="426" t="s">
        <v>23</v>
      </c>
      <c r="B55" s="27">
        <f>折疊車!E55</f>
        <v>0</v>
      </c>
      <c r="C55" s="545">
        <v>0</v>
      </c>
      <c r="D55" s="474">
        <f t="shared" si="0"/>
        <v>0</v>
      </c>
      <c r="E55" s="493">
        <f>折疊車!G55</f>
        <v>0</v>
      </c>
      <c r="F55" s="545">
        <v>0</v>
      </c>
      <c r="G55" s="474">
        <f t="shared" si="1"/>
        <v>0</v>
      </c>
      <c r="H55" s="85">
        <f t="shared" si="5"/>
        <v>0</v>
      </c>
      <c r="I55" s="86">
        <f t="shared" si="6"/>
        <v>0</v>
      </c>
      <c r="J55" s="471">
        <f t="shared" si="4"/>
        <v>0</v>
      </c>
    </row>
    <row r="56" spans="1:10">
      <c r="A56" s="426" t="s">
        <v>224</v>
      </c>
      <c r="B56" s="27">
        <f>折疊車!E56</f>
        <v>1617</v>
      </c>
      <c r="C56" s="545">
        <v>3196</v>
      </c>
      <c r="D56" s="474">
        <f t="shared" si="0"/>
        <v>-0.49405506883604505</v>
      </c>
      <c r="E56" s="493">
        <f>折疊車!G56</f>
        <v>1313459</v>
      </c>
      <c r="F56" s="545">
        <v>2056250</v>
      </c>
      <c r="G56" s="474">
        <f t="shared" si="1"/>
        <v>-0.36123574468085107</v>
      </c>
      <c r="H56" s="85">
        <f t="shared" si="5"/>
        <v>812.28138528138527</v>
      </c>
      <c r="I56" s="86">
        <f t="shared" si="6"/>
        <v>643.38235294117646</v>
      </c>
      <c r="J56" s="471">
        <f t="shared" si="4"/>
        <v>0.2625173531230674</v>
      </c>
    </row>
    <row r="57" spans="1:10">
      <c r="A57" s="428" t="s">
        <v>225</v>
      </c>
      <c r="B57" s="27">
        <f>折疊車!E57</f>
        <v>705</v>
      </c>
      <c r="C57" s="545">
        <v>2095</v>
      </c>
      <c r="D57" s="474">
        <f t="shared" si="0"/>
        <v>-0.66348448687350836</v>
      </c>
      <c r="E57" s="493">
        <f>折疊車!G57</f>
        <v>640845</v>
      </c>
      <c r="F57" s="545">
        <v>1773882</v>
      </c>
      <c r="G57" s="474">
        <f t="shared" si="1"/>
        <v>-0.6387330160630752</v>
      </c>
      <c r="H57" s="85">
        <f t="shared" si="5"/>
        <v>909</v>
      </c>
      <c r="I57" s="86">
        <f t="shared" si="6"/>
        <v>846.72171837708834</v>
      </c>
      <c r="J57" s="471">
        <f t="shared" si="4"/>
        <v>7.3552243046606222E-2</v>
      </c>
    </row>
    <row r="58" spans="1:10">
      <c r="A58" s="285" t="s">
        <v>381</v>
      </c>
      <c r="B58" s="27">
        <f>折疊車!E58</f>
        <v>172</v>
      </c>
      <c r="C58" s="545">
        <v>310</v>
      </c>
      <c r="D58" s="474">
        <f t="shared" si="0"/>
        <v>-0.44516129032258067</v>
      </c>
      <c r="E58" s="493">
        <f>折疊車!G58</f>
        <v>173183</v>
      </c>
      <c r="F58" s="545">
        <v>308636</v>
      </c>
      <c r="G58" s="474">
        <f t="shared" si="1"/>
        <v>-0.4388762166435542</v>
      </c>
      <c r="H58" s="85">
        <f t="shared" si="5"/>
        <v>1006.8779069767442</v>
      </c>
      <c r="I58" s="86">
        <f t="shared" si="6"/>
        <v>995.6</v>
      </c>
      <c r="J58" s="471">
        <f t="shared" si="4"/>
        <v>1.1327749072663856E-2</v>
      </c>
    </row>
    <row r="59" spans="1:10">
      <c r="A59" s="426" t="s">
        <v>24</v>
      </c>
      <c r="B59" s="27">
        <f>折疊車!E59</f>
        <v>0</v>
      </c>
      <c r="C59" s="545">
        <v>820</v>
      </c>
      <c r="D59" s="474">
        <f t="shared" si="0"/>
        <v>-1</v>
      </c>
      <c r="E59" s="493">
        <f>折疊車!G59</f>
        <v>0</v>
      </c>
      <c r="F59" s="545">
        <v>366327</v>
      </c>
      <c r="G59" s="474">
        <f t="shared" si="1"/>
        <v>-1</v>
      </c>
      <c r="H59" s="85">
        <f t="shared" si="5"/>
        <v>0</v>
      </c>
      <c r="I59" s="86">
        <f t="shared" si="6"/>
        <v>446.74024390243903</v>
      </c>
      <c r="J59" s="471">
        <f t="shared" si="4"/>
        <v>-1</v>
      </c>
    </row>
    <row r="60" spans="1:10">
      <c r="A60" s="426" t="s">
        <v>25</v>
      </c>
      <c r="B60" s="27">
        <f>折疊車!E60</f>
        <v>0</v>
      </c>
      <c r="C60" s="545">
        <v>0</v>
      </c>
      <c r="D60" s="474">
        <f t="shared" si="0"/>
        <v>0</v>
      </c>
      <c r="E60" s="493">
        <f>折疊車!G60</f>
        <v>0</v>
      </c>
      <c r="F60" s="545">
        <v>0</v>
      </c>
      <c r="G60" s="474">
        <f t="shared" si="1"/>
        <v>0</v>
      </c>
      <c r="H60" s="85">
        <f t="shared" si="5"/>
        <v>0</v>
      </c>
      <c r="I60" s="86">
        <f t="shared" si="6"/>
        <v>0</v>
      </c>
      <c r="J60" s="471">
        <f t="shared" si="4"/>
        <v>0</v>
      </c>
    </row>
    <row r="61" spans="1:10">
      <c r="A61" s="426" t="s">
        <v>26</v>
      </c>
      <c r="B61" s="27">
        <f>折疊車!E61</f>
        <v>0</v>
      </c>
      <c r="C61" s="545">
        <v>0</v>
      </c>
      <c r="D61" s="474">
        <f t="shared" si="0"/>
        <v>0</v>
      </c>
      <c r="E61" s="493">
        <f>折疊車!G61</f>
        <v>0</v>
      </c>
      <c r="F61" s="545">
        <v>0</v>
      </c>
      <c r="G61" s="474">
        <f t="shared" si="1"/>
        <v>0</v>
      </c>
      <c r="H61" s="85">
        <f t="shared" si="5"/>
        <v>0</v>
      </c>
      <c r="I61" s="86">
        <f t="shared" si="6"/>
        <v>0</v>
      </c>
      <c r="J61" s="471">
        <f t="shared" si="4"/>
        <v>0</v>
      </c>
    </row>
    <row r="62" spans="1:10">
      <c r="A62" s="285" t="s">
        <v>226</v>
      </c>
      <c r="B62" s="27">
        <f>折疊車!E62</f>
        <v>0</v>
      </c>
      <c r="C62" s="545">
        <v>0</v>
      </c>
      <c r="D62" s="474">
        <f t="shared" si="0"/>
        <v>0</v>
      </c>
      <c r="E62" s="493">
        <f>折疊車!G62</f>
        <v>0</v>
      </c>
      <c r="F62" s="545">
        <v>0</v>
      </c>
      <c r="G62" s="474">
        <f t="shared" si="1"/>
        <v>0</v>
      </c>
      <c r="H62" s="85">
        <f t="shared" si="5"/>
        <v>0</v>
      </c>
      <c r="I62" s="86">
        <f t="shared" si="6"/>
        <v>0</v>
      </c>
      <c r="J62" s="471">
        <f t="shared" si="4"/>
        <v>0</v>
      </c>
    </row>
    <row r="63" spans="1:10">
      <c r="A63" s="426" t="s">
        <v>27</v>
      </c>
      <c r="B63" s="27">
        <f>折疊車!E63</f>
        <v>0</v>
      </c>
      <c r="C63" s="545">
        <v>0</v>
      </c>
      <c r="D63" s="474">
        <f t="shared" si="0"/>
        <v>0</v>
      </c>
      <c r="E63" s="493">
        <f>折疊車!G63</f>
        <v>0</v>
      </c>
      <c r="F63" s="545">
        <v>0</v>
      </c>
      <c r="G63" s="474">
        <f t="shared" si="1"/>
        <v>0</v>
      </c>
      <c r="H63" s="85">
        <f t="shared" si="5"/>
        <v>0</v>
      </c>
      <c r="I63" s="86">
        <f t="shared" si="6"/>
        <v>0</v>
      </c>
      <c r="J63" s="471">
        <f t="shared" si="4"/>
        <v>0</v>
      </c>
    </row>
    <row r="64" spans="1:10">
      <c r="A64" s="285" t="s">
        <v>227</v>
      </c>
      <c r="B64" s="27">
        <f>折疊車!E64</f>
        <v>0</v>
      </c>
      <c r="C64" s="545">
        <v>0</v>
      </c>
      <c r="D64" s="474">
        <f t="shared" si="0"/>
        <v>0</v>
      </c>
      <c r="E64" s="493">
        <f>折疊車!G64</f>
        <v>0</v>
      </c>
      <c r="F64" s="545">
        <v>0</v>
      </c>
      <c r="G64" s="474">
        <f t="shared" si="1"/>
        <v>0</v>
      </c>
      <c r="H64" s="85">
        <f t="shared" si="5"/>
        <v>0</v>
      </c>
      <c r="I64" s="86">
        <f t="shared" si="6"/>
        <v>0</v>
      </c>
      <c r="J64" s="471">
        <f t="shared" si="4"/>
        <v>0</v>
      </c>
    </row>
    <row r="65" spans="1:10">
      <c r="A65" s="426" t="s">
        <v>28</v>
      </c>
      <c r="B65" s="27">
        <f>折疊車!E65</f>
        <v>0</v>
      </c>
      <c r="C65" s="545">
        <v>0</v>
      </c>
      <c r="D65" s="474">
        <f t="shared" si="0"/>
        <v>0</v>
      </c>
      <c r="E65" s="493">
        <f>折疊車!G65</f>
        <v>0</v>
      </c>
      <c r="F65" s="545">
        <v>0</v>
      </c>
      <c r="G65" s="474">
        <f t="shared" si="1"/>
        <v>0</v>
      </c>
      <c r="H65" s="85">
        <f t="shared" si="5"/>
        <v>0</v>
      </c>
      <c r="I65" s="86">
        <f t="shared" si="6"/>
        <v>0</v>
      </c>
      <c r="J65" s="471">
        <f t="shared" si="4"/>
        <v>0</v>
      </c>
    </row>
    <row r="66" spans="1:10">
      <c r="A66" s="285" t="s">
        <v>228</v>
      </c>
      <c r="B66" s="27">
        <f>折疊車!E66</f>
        <v>8</v>
      </c>
      <c r="C66" s="545">
        <v>5</v>
      </c>
      <c r="D66" s="474">
        <f t="shared" si="0"/>
        <v>0.6</v>
      </c>
      <c r="E66" s="493">
        <f>折疊車!G66</f>
        <v>3578</v>
      </c>
      <c r="F66" s="545">
        <v>261</v>
      </c>
      <c r="G66" s="474">
        <f t="shared" si="1"/>
        <v>12.708812260536398</v>
      </c>
      <c r="H66" s="85">
        <f t="shared" si="5"/>
        <v>447.25</v>
      </c>
      <c r="I66" s="86">
        <f t="shared" si="6"/>
        <v>52.2</v>
      </c>
      <c r="J66" s="471">
        <f t="shared" si="4"/>
        <v>7.5680076628352486</v>
      </c>
    </row>
    <row r="67" spans="1:10">
      <c r="A67" s="30" t="s">
        <v>29</v>
      </c>
      <c r="B67" s="27">
        <f>B68-B47-B41-B12-B7</f>
        <v>21</v>
      </c>
      <c r="C67" s="534">
        <v>9</v>
      </c>
      <c r="D67" s="84">
        <f t="shared" si="0"/>
        <v>1.3333333333333333</v>
      </c>
      <c r="E67" s="493">
        <f>E68-E47-E41-E12-E7</f>
        <v>14246</v>
      </c>
      <c r="F67" s="534">
        <v>3786</v>
      </c>
      <c r="G67" s="474">
        <f t="shared" si="1"/>
        <v>2.762810353935552</v>
      </c>
      <c r="H67" s="85">
        <f t="shared" si="5"/>
        <v>678.38095238095241</v>
      </c>
      <c r="I67" s="86">
        <f t="shared" si="6"/>
        <v>420.66666666666669</v>
      </c>
      <c r="J67" s="471">
        <f t="shared" si="4"/>
        <v>0.61263300882952232</v>
      </c>
    </row>
    <row r="68" spans="1:10">
      <c r="A68" s="32" t="s">
        <v>400</v>
      </c>
      <c r="B68" s="33">
        <f>折疊車!E68</f>
        <v>3461</v>
      </c>
      <c r="C68" s="545">
        <v>9374</v>
      </c>
      <c r="D68" s="474">
        <f t="shared" si="0"/>
        <v>-0.63078728397695749</v>
      </c>
      <c r="E68" s="493">
        <f>折疊車!G68</f>
        <v>2652226</v>
      </c>
      <c r="F68" s="545">
        <v>6540001</v>
      </c>
      <c r="G68" s="474">
        <f t="shared" si="1"/>
        <v>-0.59446091827814707</v>
      </c>
      <c r="H68" s="85">
        <f t="shared" ref="H68" si="7">E68/B68</f>
        <v>766.31782721756713</v>
      </c>
      <c r="I68" s="86">
        <f>F68/C68</f>
        <v>697.67452528269678</v>
      </c>
      <c r="J68" s="471">
        <f t="shared" si="4"/>
        <v>9.8388717729167741E-2</v>
      </c>
    </row>
    <row r="69" spans="1:10">
      <c r="A69" s="38"/>
      <c r="B69" s="39"/>
      <c r="C69" s="148"/>
      <c r="D69" s="208"/>
      <c r="E69" s="495"/>
      <c r="F69" s="148"/>
      <c r="G69" s="208"/>
    </row>
    <row r="70" spans="1:10" ht="12.75" customHeight="1">
      <c r="A70" s="54" t="s">
        <v>54</v>
      </c>
      <c r="B70" s="13"/>
      <c r="E70" s="496"/>
      <c r="G70" s="59" t="s">
        <v>116</v>
      </c>
    </row>
  </sheetData>
  <phoneticPr fontId="3" type="noConversion"/>
  <conditionalFormatting sqref="D4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G4">
    <cfRule type="cellIs" dxfId="35" priority="1" operator="greaterThanOrEqual">
      <formula>0</formula>
    </cfRule>
    <cfRule type="cellIs" dxfId="34" priority="2" operator="lessThan">
      <formula>0</formula>
    </cfRule>
  </conditionalFormatting>
  <conditionalFormatting sqref="J1:J3 J6:J1048576">
    <cfRule type="cellIs" dxfId="33" priority="5" operator="greaterThanOrEqual">
      <formula>0</formula>
    </cfRule>
    <cfRule type="cellIs" dxfId="32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7" customWidth="1"/>
    <col min="4" max="4" width="10.75" style="298" customWidth="1"/>
    <col min="5" max="5" width="13.625" style="5" customWidth="1"/>
    <col min="6" max="6" width="14.25" style="297" customWidth="1"/>
    <col min="7" max="7" width="11" style="298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504</v>
      </c>
      <c r="B1" s="127"/>
      <c r="C1" s="295"/>
      <c r="D1" s="296"/>
      <c r="E1" s="127"/>
      <c r="F1" s="295"/>
      <c r="G1" s="296"/>
      <c r="I1"/>
      <c r="J1"/>
      <c r="K1"/>
      <c r="L1"/>
      <c r="M1"/>
      <c r="N1"/>
      <c r="O1"/>
      <c r="P1"/>
    </row>
    <row r="2" spans="1:16" ht="7.5" customHeight="1">
      <c r="I2"/>
      <c r="J2"/>
      <c r="K2"/>
      <c r="L2"/>
      <c r="M2"/>
      <c r="N2"/>
      <c r="O2"/>
      <c r="P2"/>
    </row>
    <row r="3" spans="1:16" s="120" customFormat="1" ht="18" customHeight="1">
      <c r="A3" s="130" t="s">
        <v>416</v>
      </c>
      <c r="B3" s="131"/>
      <c r="C3" s="132"/>
      <c r="D3" s="133"/>
      <c r="E3" s="131"/>
      <c r="F3" s="134"/>
      <c r="G3" s="135"/>
      <c r="I3"/>
      <c r="J3"/>
      <c r="K3"/>
      <c r="L3"/>
      <c r="M3"/>
      <c r="N3"/>
      <c r="O3"/>
      <c r="P3"/>
    </row>
    <row r="4" spans="1:16" ht="18" customHeight="1">
      <c r="A4" s="136" t="s">
        <v>450</v>
      </c>
      <c r="B4" s="67"/>
      <c r="C4" s="299"/>
      <c r="D4" s="300"/>
      <c r="E4" s="67"/>
      <c r="F4" s="301"/>
      <c r="G4" s="140"/>
      <c r="I4"/>
      <c r="J4"/>
      <c r="K4"/>
      <c r="L4"/>
      <c r="M4"/>
      <c r="N4"/>
      <c r="O4"/>
      <c r="P4"/>
    </row>
    <row r="5" spans="1:16" ht="18" customHeight="1">
      <c r="A5" s="76" t="s">
        <v>49</v>
      </c>
      <c r="B5" s="141" t="s">
        <v>50</v>
      </c>
      <c r="C5" s="142"/>
      <c r="D5" s="143"/>
      <c r="E5" s="144" t="s">
        <v>51</v>
      </c>
      <c r="F5" s="142"/>
      <c r="G5" s="143"/>
      <c r="I5"/>
      <c r="J5"/>
      <c r="K5"/>
      <c r="L5"/>
      <c r="M5"/>
      <c r="N5"/>
      <c r="O5"/>
      <c r="P5"/>
    </row>
    <row r="6" spans="1:16" ht="18" customHeight="1">
      <c r="A6" s="92"/>
      <c r="B6" s="30" t="s">
        <v>442</v>
      </c>
      <c r="C6" s="145" t="s">
        <v>443</v>
      </c>
      <c r="D6" s="302" t="s">
        <v>58</v>
      </c>
      <c r="E6" s="30" t="s">
        <v>442</v>
      </c>
      <c r="F6" s="145" t="s">
        <v>443</v>
      </c>
      <c r="G6" s="302" t="s">
        <v>58</v>
      </c>
      <c r="I6" s="455"/>
      <c r="J6" s="455"/>
      <c r="K6" s="455"/>
      <c r="L6" s="455"/>
    </row>
    <row r="7" spans="1:16" ht="18" customHeight="1">
      <c r="A7" s="31">
        <v>1</v>
      </c>
      <c r="B7" s="358">
        <v>31838</v>
      </c>
      <c r="C7" s="89">
        <v>102575</v>
      </c>
      <c r="D7" s="471">
        <f t="shared" ref="D7:D19" si="0">(B7-C7)/C7</f>
        <v>-0.68961247867414088</v>
      </c>
      <c r="E7" s="33">
        <v>61174971</v>
      </c>
      <c r="F7" s="89">
        <v>157168031</v>
      </c>
      <c r="G7" s="471">
        <f t="shared" ref="G7:G19" si="1">(E7-F7)/F7</f>
        <v>-0.61076708405159064</v>
      </c>
      <c r="I7" s="455"/>
      <c r="J7" s="455"/>
    </row>
    <row r="8" spans="1:16" ht="18" customHeight="1">
      <c r="A8" s="31">
        <v>2</v>
      </c>
      <c r="B8" s="358">
        <v>35076</v>
      </c>
      <c r="C8" s="89">
        <v>68335</v>
      </c>
      <c r="D8" s="471">
        <f t="shared" si="0"/>
        <v>-0.48670520231213871</v>
      </c>
      <c r="E8" s="358">
        <v>62026650</v>
      </c>
      <c r="F8" s="89">
        <v>114935015</v>
      </c>
      <c r="G8" s="471">
        <f t="shared" si="1"/>
        <v>-0.46033286722936434</v>
      </c>
      <c r="I8" s="455"/>
      <c r="J8" s="455"/>
      <c r="K8" s="455"/>
      <c r="L8" s="455"/>
    </row>
    <row r="9" spans="1:16" ht="18" customHeight="1">
      <c r="A9" s="31">
        <v>3</v>
      </c>
      <c r="B9" s="358">
        <v>32952</v>
      </c>
      <c r="C9" s="89">
        <v>67324</v>
      </c>
      <c r="D9" s="471">
        <f t="shared" si="0"/>
        <v>-0.51054601627948426</v>
      </c>
      <c r="E9" s="352">
        <v>59290687</v>
      </c>
      <c r="F9" s="89">
        <v>108657809</v>
      </c>
      <c r="G9" s="471">
        <f t="shared" si="1"/>
        <v>-0.4543357026460933</v>
      </c>
      <c r="J9" s="455"/>
      <c r="K9" s="455"/>
    </row>
    <row r="10" spans="1:16" ht="18" customHeight="1">
      <c r="A10" s="31">
        <v>4</v>
      </c>
      <c r="B10" s="359">
        <v>30803</v>
      </c>
      <c r="C10" s="89">
        <v>78722</v>
      </c>
      <c r="D10" s="471">
        <f t="shared" si="0"/>
        <v>-0.60871166891085082</v>
      </c>
      <c r="E10" s="359">
        <v>53645109</v>
      </c>
      <c r="F10" s="89">
        <v>135497637</v>
      </c>
      <c r="G10" s="471">
        <f t="shared" si="1"/>
        <v>-0.60408823218075747</v>
      </c>
    </row>
    <row r="11" spans="1:16" ht="18" customHeight="1">
      <c r="A11" s="31">
        <v>5</v>
      </c>
      <c r="B11" s="358">
        <v>32671</v>
      </c>
      <c r="C11" s="89">
        <v>383679</v>
      </c>
      <c r="D11" s="471">
        <f t="shared" si="0"/>
        <v>-0.91484808915786375</v>
      </c>
      <c r="E11" s="358">
        <v>61360549</v>
      </c>
      <c r="F11" s="89">
        <v>633042627</v>
      </c>
      <c r="G11" s="471">
        <f t="shared" si="1"/>
        <v>-0.90307043099010775</v>
      </c>
    </row>
    <row r="12" spans="1:16" ht="18" customHeight="1">
      <c r="A12" s="31">
        <v>6</v>
      </c>
      <c r="B12" s="358">
        <v>41304</v>
      </c>
      <c r="C12" s="89">
        <v>63099</v>
      </c>
      <c r="D12" s="471">
        <f t="shared" si="0"/>
        <v>-0.34540959444682168</v>
      </c>
      <c r="E12" s="358">
        <v>72243125</v>
      </c>
      <c r="F12" s="89">
        <v>106973248</v>
      </c>
      <c r="G12" s="471">
        <f t="shared" si="1"/>
        <v>-0.32466176029356425</v>
      </c>
      <c r="J12" s="455"/>
      <c r="K12" s="455"/>
    </row>
    <row r="13" spans="1:16" ht="18" customHeight="1">
      <c r="A13" s="31">
        <v>7</v>
      </c>
      <c r="B13" s="360">
        <v>26785</v>
      </c>
      <c r="C13" s="89">
        <v>50927</v>
      </c>
      <c r="D13" s="471">
        <f t="shared" si="0"/>
        <v>-0.47405109274058949</v>
      </c>
      <c r="E13" s="360">
        <v>53256117</v>
      </c>
      <c r="F13" s="89">
        <v>88792506</v>
      </c>
      <c r="G13" s="471">
        <f t="shared" si="1"/>
        <v>-0.4002183359933551</v>
      </c>
    </row>
    <row r="14" spans="1:16" ht="18" customHeight="1">
      <c r="A14" s="31">
        <v>8</v>
      </c>
      <c r="B14" s="358">
        <v>29765</v>
      </c>
      <c r="C14" s="89">
        <v>44985</v>
      </c>
      <c r="D14" s="471">
        <f t="shared" si="0"/>
        <v>-0.33833500055574078</v>
      </c>
      <c r="E14" s="358">
        <v>56910930</v>
      </c>
      <c r="F14" s="89">
        <v>90712357</v>
      </c>
      <c r="G14" s="471">
        <f t="shared" si="1"/>
        <v>-0.37262207837902395</v>
      </c>
      <c r="J14" s="455"/>
      <c r="K14" s="455"/>
    </row>
    <row r="15" spans="1:16" ht="18" customHeight="1">
      <c r="A15" s="31">
        <v>9</v>
      </c>
      <c r="B15" s="27">
        <v>19759</v>
      </c>
      <c r="C15" s="89">
        <v>39289</v>
      </c>
      <c r="D15" s="471">
        <f t="shared" si="0"/>
        <v>-0.49708569828705235</v>
      </c>
      <c r="E15" s="27">
        <v>40283509</v>
      </c>
      <c r="F15" s="89">
        <v>79224306</v>
      </c>
      <c r="G15" s="471">
        <f t="shared" si="1"/>
        <v>-0.49152588348328352</v>
      </c>
    </row>
    <row r="16" spans="1:16" ht="18" customHeight="1">
      <c r="A16" s="31">
        <v>10</v>
      </c>
      <c r="B16" s="27">
        <v>24487</v>
      </c>
      <c r="C16" s="89">
        <v>28734</v>
      </c>
      <c r="D16" s="471">
        <f t="shared" si="0"/>
        <v>-0.14780399526693117</v>
      </c>
      <c r="E16" s="27">
        <v>48507216</v>
      </c>
      <c r="F16" s="89">
        <v>58393920</v>
      </c>
      <c r="G16" s="471">
        <f t="shared" si="1"/>
        <v>-0.16931050355927466</v>
      </c>
    </row>
    <row r="17" spans="1:18" ht="18" customHeight="1">
      <c r="A17" s="31">
        <v>11</v>
      </c>
      <c r="B17" s="27"/>
      <c r="C17" s="89"/>
      <c r="D17" s="471"/>
      <c r="E17" s="27"/>
      <c r="F17" s="89"/>
      <c r="G17" s="471"/>
    </row>
    <row r="18" spans="1:18" ht="18" customHeight="1">
      <c r="A18" s="31">
        <v>12</v>
      </c>
      <c r="B18" s="27"/>
      <c r="C18" s="89"/>
      <c r="D18" s="471"/>
      <c r="E18" s="27"/>
      <c r="F18" s="89"/>
      <c r="G18" s="471"/>
      <c r="I18" s="456"/>
      <c r="J18" s="456"/>
      <c r="K18" s="456"/>
      <c r="L18" s="456"/>
      <c r="M18"/>
      <c r="N18"/>
      <c r="O18"/>
      <c r="P18"/>
      <c r="Q18"/>
      <c r="R18"/>
    </row>
    <row r="19" spans="1:18" s="113" customFormat="1" ht="18" customHeight="1">
      <c r="A19" s="32" t="s">
        <v>48</v>
      </c>
      <c r="B19" s="33">
        <f>SUM(B7:B18)</f>
        <v>305440</v>
      </c>
      <c r="C19" s="89">
        <f>SUM(C7:C18)</f>
        <v>927669</v>
      </c>
      <c r="D19" s="471">
        <f t="shared" si="0"/>
        <v>-0.67074462981947225</v>
      </c>
      <c r="E19" s="33">
        <f>SUM(E7:E18)</f>
        <v>568698863</v>
      </c>
      <c r="F19" s="89">
        <f>SUM(F7:F18)</f>
        <v>1573397456</v>
      </c>
      <c r="G19" s="471">
        <f t="shared" si="1"/>
        <v>-0.63855358934811957</v>
      </c>
      <c r="H19" s="5"/>
      <c r="I19" s="456"/>
      <c r="J19" s="456"/>
      <c r="K19" s="456"/>
      <c r="L19" s="456"/>
      <c r="M19"/>
      <c r="N19"/>
      <c r="O19"/>
      <c r="P19"/>
      <c r="Q19"/>
      <c r="R19"/>
    </row>
    <row r="20" spans="1:18" s="113" customFormat="1" ht="9" customHeight="1">
      <c r="A20" s="38"/>
      <c r="B20" s="39"/>
      <c r="C20" s="457"/>
      <c r="D20" s="303"/>
      <c r="E20" s="39"/>
      <c r="F20" s="457"/>
      <c r="G20" s="303"/>
      <c r="H20" s="5"/>
      <c r="I20" s="456"/>
      <c r="J20" s="456"/>
      <c r="K20"/>
      <c r="L20"/>
      <c r="M20"/>
      <c r="N20"/>
      <c r="O20"/>
      <c r="P20"/>
      <c r="Q20"/>
      <c r="R20"/>
    </row>
    <row r="21" spans="1:18" s="113" customFormat="1" ht="8.25" customHeight="1">
      <c r="A21" s="38"/>
      <c r="B21" s="39"/>
      <c r="C21" s="457"/>
      <c r="D21" s="303"/>
      <c r="E21" s="39"/>
      <c r="F21" s="457"/>
      <c r="G21" s="303"/>
      <c r="H21" s="5"/>
      <c r="I21" s="456"/>
      <c r="J21" s="456"/>
      <c r="K21" s="456"/>
      <c r="L21" s="456"/>
      <c r="M21"/>
      <c r="N21"/>
      <c r="O21"/>
      <c r="P21"/>
      <c r="Q21"/>
      <c r="R21"/>
    </row>
    <row r="22" spans="1:18" ht="18" customHeight="1">
      <c r="A22" s="1" t="s">
        <v>476</v>
      </c>
      <c r="B22" s="127"/>
      <c r="C22" s="295"/>
      <c r="D22" s="296"/>
      <c r="E22" s="127"/>
      <c r="F22" s="295"/>
      <c r="G22" s="296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7"/>
      <c r="C23" s="295"/>
      <c r="D23" s="296"/>
      <c r="E23" s="127"/>
      <c r="F23" s="295"/>
      <c r="G23" s="296"/>
      <c r="I23"/>
      <c r="J23"/>
      <c r="K23"/>
      <c r="L23"/>
      <c r="M23"/>
      <c r="N23"/>
      <c r="O23"/>
      <c r="P23"/>
      <c r="Q23"/>
      <c r="R23"/>
    </row>
    <row r="24" spans="1:18" s="120" customFormat="1" ht="18" customHeight="1">
      <c r="A24" s="150" t="s">
        <v>414</v>
      </c>
      <c r="B24" s="151"/>
      <c r="C24" s="152"/>
      <c r="D24" s="153"/>
      <c r="E24" s="151"/>
      <c r="F24" s="154"/>
      <c r="G24" s="155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6" t="s">
        <v>444</v>
      </c>
      <c r="B25" s="156"/>
      <c r="C25" s="304"/>
      <c r="D25" s="305"/>
      <c r="E25" s="156"/>
      <c r="F25" s="306"/>
      <c r="G25" s="160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49</v>
      </c>
      <c r="B26" s="161" t="s">
        <v>50</v>
      </c>
      <c r="C26" s="162"/>
      <c r="D26" s="163"/>
      <c r="E26" s="164" t="s">
        <v>51</v>
      </c>
      <c r="F26" s="162"/>
      <c r="G26" s="163"/>
    </row>
    <row r="27" spans="1:18" ht="18" customHeight="1">
      <c r="A27" s="92"/>
      <c r="B27" s="30" t="s">
        <v>442</v>
      </c>
      <c r="C27" s="145" t="s">
        <v>443</v>
      </c>
      <c r="D27" s="302" t="s">
        <v>410</v>
      </c>
      <c r="E27" s="30" t="s">
        <v>442</v>
      </c>
      <c r="F27" s="145" t="s">
        <v>443</v>
      </c>
      <c r="G27" s="302" t="s">
        <v>411</v>
      </c>
    </row>
    <row r="28" spans="1:18" ht="18" customHeight="1">
      <c r="A28" s="31">
        <v>1</v>
      </c>
      <c r="B28" s="358">
        <v>11</v>
      </c>
      <c r="C28" s="89">
        <v>661</v>
      </c>
      <c r="D28" s="471">
        <f t="shared" ref="D28:D37" si="2">(B28-C28)/C28</f>
        <v>-0.98335854765506803</v>
      </c>
      <c r="E28" s="358">
        <v>15617</v>
      </c>
      <c r="F28" s="89">
        <v>457222</v>
      </c>
      <c r="G28" s="471">
        <f t="shared" ref="G28:G37" si="3">(E28-F28)/F28</f>
        <v>-0.96584372580497002</v>
      </c>
    </row>
    <row r="29" spans="1:18" ht="18" customHeight="1">
      <c r="A29" s="31">
        <v>2</v>
      </c>
      <c r="B29" s="358">
        <v>106</v>
      </c>
      <c r="C29" s="89">
        <v>306</v>
      </c>
      <c r="D29" s="471">
        <f t="shared" si="2"/>
        <v>-0.65359477124183007</v>
      </c>
      <c r="E29" s="358">
        <v>42589</v>
      </c>
      <c r="F29" s="89">
        <v>343954</v>
      </c>
      <c r="G29" s="471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326</v>
      </c>
      <c r="C30" s="89">
        <v>1748</v>
      </c>
      <c r="D30" s="471">
        <f t="shared" si="2"/>
        <v>-0.81350114416475972</v>
      </c>
      <c r="E30" s="358">
        <v>166330</v>
      </c>
      <c r="F30" s="89">
        <v>1134184</v>
      </c>
      <c r="G30" s="471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686</v>
      </c>
      <c r="C31" s="89">
        <v>413</v>
      </c>
      <c r="D31" s="471">
        <f t="shared" si="2"/>
        <v>0.66101694915254239</v>
      </c>
      <c r="E31" s="359">
        <v>422430</v>
      </c>
      <c r="F31" s="89">
        <v>387680</v>
      </c>
      <c r="G31" s="471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254</v>
      </c>
      <c r="C32" s="89">
        <v>2715</v>
      </c>
      <c r="D32" s="471">
        <f t="shared" si="2"/>
        <v>-0.9064456721915285</v>
      </c>
      <c r="E32" s="358">
        <v>229365</v>
      </c>
      <c r="F32" s="89">
        <v>1301531</v>
      </c>
      <c r="G32" s="471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352</v>
      </c>
      <c r="C33" s="89">
        <v>947</v>
      </c>
      <c r="D33" s="471">
        <f t="shared" si="2"/>
        <v>-0.62829989440337908</v>
      </c>
      <c r="E33" s="358">
        <v>331158</v>
      </c>
      <c r="F33" s="89">
        <v>961015</v>
      </c>
      <c r="G33" s="471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542</v>
      </c>
      <c r="C34" s="89">
        <v>670</v>
      </c>
      <c r="D34" s="471">
        <f t="shared" si="2"/>
        <v>-0.19104477611940299</v>
      </c>
      <c r="E34" s="358">
        <v>426123</v>
      </c>
      <c r="F34" s="89">
        <v>485378</v>
      </c>
      <c r="G34" s="471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928</v>
      </c>
      <c r="C35" s="89">
        <v>994</v>
      </c>
      <c r="D35" s="471">
        <f t="shared" si="2"/>
        <v>-6.6398390342052319E-2</v>
      </c>
      <c r="E35" s="358">
        <v>790058</v>
      </c>
      <c r="F35" s="89">
        <v>648641</v>
      </c>
      <c r="G35" s="471">
        <f t="shared" si="3"/>
        <v>0.21802044582442368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146</v>
      </c>
      <c r="C36" s="89">
        <v>915</v>
      </c>
      <c r="D36" s="471">
        <f t="shared" si="2"/>
        <v>-0.84043715846994538</v>
      </c>
      <c r="E36" s="27">
        <v>123492</v>
      </c>
      <c r="F36" s="89">
        <v>818658</v>
      </c>
      <c r="G36" s="471">
        <f t="shared" si="3"/>
        <v>-0.84915312621387684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110</v>
      </c>
      <c r="C37" s="89">
        <v>5</v>
      </c>
      <c r="D37" s="471">
        <f t="shared" si="2"/>
        <v>21</v>
      </c>
      <c r="E37" s="27">
        <v>105064</v>
      </c>
      <c r="F37" s="89">
        <v>1738</v>
      </c>
      <c r="G37" s="471">
        <f t="shared" si="3"/>
        <v>59.451093210586883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471"/>
      <c r="E38" s="27"/>
      <c r="F38" s="89"/>
      <c r="G38" s="47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9"/>
      <c r="D39" s="471"/>
      <c r="E39" s="27"/>
      <c r="F39" s="89"/>
      <c r="G39" s="471"/>
      <c r="I39" s="456"/>
      <c r="J39" s="456"/>
      <c r="K39"/>
      <c r="L39"/>
      <c r="M39"/>
      <c r="N39"/>
      <c r="O39"/>
      <c r="P39"/>
    </row>
    <row r="40" spans="1:16" s="113" customFormat="1" ht="18" customHeight="1">
      <c r="A40" s="32" t="s">
        <v>48</v>
      </c>
      <c r="B40" s="33">
        <f>SUM(B28:B39)</f>
        <v>3461</v>
      </c>
      <c r="C40" s="89">
        <f>SUM(C28:C39)</f>
        <v>9374</v>
      </c>
      <c r="D40" s="471">
        <f t="shared" ref="D40" si="4">(B40-C40)/C40</f>
        <v>-0.63078728397695749</v>
      </c>
      <c r="E40" s="33">
        <f>SUM(E28:E39)</f>
        <v>2652226</v>
      </c>
      <c r="F40" s="89">
        <f>SUM(F28:F39)</f>
        <v>6540001</v>
      </c>
      <c r="G40" s="471">
        <f t="shared" ref="G40" si="5">(E40-F40)/F40</f>
        <v>-0.59446091827814707</v>
      </c>
      <c r="H40" s="5"/>
      <c r="I40"/>
      <c r="J40"/>
      <c r="K40"/>
      <c r="L40"/>
      <c r="M40"/>
      <c r="N40"/>
      <c r="O40"/>
      <c r="P40"/>
    </row>
    <row r="41" spans="1:16" s="113" customFormat="1" ht="6.75" customHeight="1">
      <c r="A41" s="38"/>
      <c r="B41" s="39"/>
      <c r="C41" s="457"/>
      <c r="D41" s="303"/>
      <c r="E41" s="39"/>
      <c r="F41" s="457"/>
      <c r="G41" s="303"/>
      <c r="H41" s="5"/>
      <c r="I41" s="456"/>
      <c r="J41" s="456"/>
      <c r="K41" s="456"/>
      <c r="L41" s="456"/>
      <c r="M41"/>
      <c r="N41"/>
      <c r="O41"/>
      <c r="P41"/>
    </row>
    <row r="42" spans="1:16" s="13" customFormat="1">
      <c r="A42" s="513" t="s">
        <v>477</v>
      </c>
      <c r="C42" s="166"/>
      <c r="D42" s="167"/>
      <c r="F42" s="166"/>
      <c r="G42" s="167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1" priority="35" operator="lessThan">
      <formula>0</formula>
    </cfRule>
  </conditionalFormatting>
  <conditionalFormatting sqref="B28:B35">
    <cfRule type="cellIs" dxfId="30" priority="5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E30 E32:E35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1" customWidth="1"/>
    <col min="4" max="4" width="16.625" style="311" customWidth="1"/>
    <col min="5" max="5" width="2.375" style="311" customWidth="1"/>
    <col min="6" max="6" width="17.125" style="311" customWidth="1"/>
    <col min="7" max="7" width="19" style="311" customWidth="1"/>
    <col min="8" max="8" width="2.125" style="311" customWidth="1"/>
    <col min="9" max="9" width="15.625" style="311" customWidth="1"/>
    <col min="10" max="10" width="17.875" style="311" customWidth="1"/>
    <col min="11" max="11" width="2.5" style="311" customWidth="1"/>
    <col min="12" max="12" width="17.125" style="311" customWidth="1"/>
    <col min="13" max="13" width="18.5" style="311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8" customFormat="1" ht="18" customHeight="1">
      <c r="A1" s="1" t="s">
        <v>505</v>
      </c>
      <c r="B1" s="1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308" customFormat="1">
      <c r="C2" s="309"/>
      <c r="D2" s="309"/>
      <c r="E2" s="309"/>
      <c r="F2" s="309"/>
      <c r="G2" s="309"/>
      <c r="H2" s="309"/>
      <c r="I2" s="309"/>
      <c r="J2" s="309"/>
      <c r="K2" s="309"/>
      <c r="L2" s="5"/>
      <c r="M2" s="309" t="s">
        <v>59</v>
      </c>
    </row>
    <row r="3" spans="1:13" s="308" customFormat="1">
      <c r="A3" s="310"/>
      <c r="B3" s="310"/>
      <c r="C3" s="309"/>
      <c r="D3" s="309"/>
      <c r="E3" s="309"/>
      <c r="F3" s="309"/>
      <c r="G3" s="309"/>
      <c r="H3" s="309"/>
      <c r="I3" s="309"/>
      <c r="J3" s="309"/>
      <c r="K3" s="309"/>
      <c r="L3" s="5"/>
      <c r="M3" s="309" t="s">
        <v>60</v>
      </c>
    </row>
    <row r="4" spans="1:13" ht="5.25" customHeight="1">
      <c r="M4" s="5"/>
    </row>
    <row r="5" spans="1:13" s="308" customFormat="1">
      <c r="A5" s="312" t="s">
        <v>61</v>
      </c>
      <c r="B5" s="313"/>
      <c r="C5" s="509" t="s">
        <v>506</v>
      </c>
      <c r="D5" s="508" t="s">
        <v>507</v>
      </c>
      <c r="E5" s="313"/>
      <c r="F5" s="314" t="s">
        <v>508</v>
      </c>
      <c r="G5" s="315" t="s">
        <v>509</v>
      </c>
      <c r="H5" s="313"/>
      <c r="I5" s="509" t="s">
        <v>510</v>
      </c>
      <c r="J5" s="508" t="s">
        <v>511</v>
      </c>
      <c r="K5" s="313"/>
      <c r="L5" s="314" t="s">
        <v>512</v>
      </c>
      <c r="M5" s="315" t="s">
        <v>513</v>
      </c>
    </row>
    <row r="6" spans="1:13">
      <c r="A6" s="316">
        <v>85121010001</v>
      </c>
      <c r="B6" s="452"/>
      <c r="C6" s="451"/>
      <c r="D6" s="317"/>
      <c r="E6" s="451"/>
      <c r="F6" s="451"/>
      <c r="G6" s="317"/>
      <c r="H6" s="451"/>
      <c r="I6" s="451"/>
      <c r="J6" s="317"/>
      <c r="K6" s="451"/>
      <c r="L6" s="451"/>
      <c r="M6" s="317"/>
    </row>
    <row r="7" spans="1:13">
      <c r="A7" s="318" t="s">
        <v>62</v>
      </c>
      <c r="B7" s="308"/>
      <c r="C7" s="440">
        <v>5473</v>
      </c>
      <c r="D7" s="440">
        <v>561365</v>
      </c>
      <c r="F7" s="440">
        <v>88777</v>
      </c>
      <c r="G7" s="440">
        <v>9409110</v>
      </c>
      <c r="I7" s="440">
        <v>1373</v>
      </c>
      <c r="J7" s="440">
        <v>55048</v>
      </c>
      <c r="L7" s="440">
        <v>33960</v>
      </c>
      <c r="M7" s="440">
        <v>1840595</v>
      </c>
    </row>
    <row r="8" spans="1:13">
      <c r="A8" s="318" t="s">
        <v>63</v>
      </c>
      <c r="B8" s="13" t="s">
        <v>64</v>
      </c>
      <c r="C8" s="440">
        <v>49243</v>
      </c>
      <c r="D8" s="511" t="s">
        <v>393</v>
      </c>
      <c r="E8" s="13" t="s">
        <v>64</v>
      </c>
      <c r="F8" s="440">
        <v>809398</v>
      </c>
      <c r="G8" s="439" t="s">
        <v>392</v>
      </c>
      <c r="H8" s="13" t="s">
        <v>64</v>
      </c>
      <c r="I8" s="440">
        <v>23775</v>
      </c>
      <c r="J8" s="511" t="s">
        <v>393</v>
      </c>
      <c r="K8" s="311" t="s">
        <v>64</v>
      </c>
      <c r="L8" s="440">
        <v>469908</v>
      </c>
      <c r="M8" s="439" t="s">
        <v>392</v>
      </c>
    </row>
    <row r="9" spans="1:13">
      <c r="A9" s="320">
        <v>85121020009</v>
      </c>
      <c r="B9" s="450"/>
      <c r="C9" s="448"/>
      <c r="D9" s="445"/>
      <c r="E9" s="449"/>
      <c r="F9" s="445"/>
      <c r="G9" s="441"/>
      <c r="H9" s="449"/>
      <c r="I9" s="448"/>
      <c r="J9" s="448"/>
      <c r="K9" s="449"/>
      <c r="L9" s="448"/>
      <c r="M9" s="448"/>
    </row>
    <row r="10" spans="1:13">
      <c r="A10" s="318" t="s">
        <v>65</v>
      </c>
      <c r="B10" s="308"/>
      <c r="C10" s="440">
        <v>3904</v>
      </c>
      <c r="D10" s="440">
        <v>667303</v>
      </c>
      <c r="F10" s="440">
        <v>41330</v>
      </c>
      <c r="G10" s="440">
        <v>6593645</v>
      </c>
      <c r="I10" s="440">
        <v>1257</v>
      </c>
      <c r="J10" s="440">
        <v>120100</v>
      </c>
      <c r="L10" s="440">
        <v>22947</v>
      </c>
      <c r="M10" s="440">
        <v>1444710</v>
      </c>
    </row>
    <row r="11" spans="1:13">
      <c r="A11" s="318" t="s">
        <v>66</v>
      </c>
      <c r="B11" s="13" t="s">
        <v>64</v>
      </c>
      <c r="C11" s="440">
        <v>37839</v>
      </c>
      <c r="D11" s="511" t="s">
        <v>393</v>
      </c>
      <c r="E11" s="13" t="s">
        <v>64</v>
      </c>
      <c r="F11" s="440">
        <v>423456</v>
      </c>
      <c r="G11" s="439" t="s">
        <v>392</v>
      </c>
      <c r="H11" s="13" t="s">
        <v>64</v>
      </c>
      <c r="I11" s="440">
        <v>23507</v>
      </c>
      <c r="J11" s="511" t="s">
        <v>392</v>
      </c>
      <c r="K11" s="440">
        <v>111572</v>
      </c>
      <c r="L11" s="440">
        <v>400531</v>
      </c>
      <c r="M11" s="439" t="s">
        <v>392</v>
      </c>
    </row>
    <row r="12" spans="1:13">
      <c r="A12" s="320">
        <v>87149120007</v>
      </c>
      <c r="B12" s="444"/>
      <c r="C12" s="441"/>
      <c r="D12" s="445"/>
      <c r="E12" s="443"/>
      <c r="F12" s="445"/>
      <c r="G12" s="441"/>
      <c r="H12" s="443"/>
      <c r="I12" s="445"/>
      <c r="J12" s="441"/>
      <c r="K12" s="443"/>
      <c r="L12" s="448"/>
      <c r="M12" s="448"/>
    </row>
    <row r="13" spans="1:13">
      <c r="A13" s="318" t="s">
        <v>68</v>
      </c>
      <c r="B13" s="308"/>
      <c r="C13" s="440">
        <f>VLOOKUP(A12,[12]進出口值表查詢結果!$A$3:$E$19,4,0)</f>
        <v>736696</v>
      </c>
      <c r="D13" s="440">
        <f>VLOOKUP(A12,[12]進出口值表查詢結果!$A$3:$E$19,3,0)</f>
        <v>45222722</v>
      </c>
      <c r="F13" s="440">
        <f>VLOOKUP(A12,[13]進出口值表查詢結果!$A$10:$E$26,4,0)</f>
        <v>6577226</v>
      </c>
      <c r="G13" s="440">
        <f>VLOOKUP(A12,[13]進出口值表查詢結果!$A$10:$E$26,3,0)</f>
        <v>425890104</v>
      </c>
      <c r="I13" s="440">
        <f>VLOOKUP(A12,[14]進出口值表查詢結果!$A$10:$E$26,4,0)</f>
        <v>325141</v>
      </c>
      <c r="J13" s="440">
        <f>VLOOKUP(A12,[14]進出口值表查詢結果!$A$10:$E$26,3,0)</f>
        <v>23864255</v>
      </c>
      <c r="L13" s="440">
        <f>VLOOKUP(A12,[15]進出口值表查詢結果!$A$10:$E$26,4,0)</f>
        <v>3370590</v>
      </c>
      <c r="M13" s="440">
        <f>VLOOKUP(A12,[15]進出口值表查詢結果!$A$10:$E$26,3,0)</f>
        <v>255161956</v>
      </c>
    </row>
    <row r="14" spans="1:13">
      <c r="A14" s="318" t="s">
        <v>69</v>
      </c>
      <c r="B14" s="13" t="s">
        <v>64</v>
      </c>
      <c r="C14" s="440"/>
      <c r="D14" s="511"/>
      <c r="E14" s="13" t="s">
        <v>64</v>
      </c>
      <c r="F14" s="440">
        <v>0</v>
      </c>
      <c r="G14" s="439"/>
      <c r="I14" s="440"/>
      <c r="J14" s="439"/>
      <c r="L14" s="440"/>
      <c r="M14" s="439"/>
    </row>
    <row r="15" spans="1:13">
      <c r="A15" s="321">
        <v>87149200108</v>
      </c>
      <c r="B15" s="444"/>
      <c r="C15" s="445"/>
      <c r="D15" s="441"/>
      <c r="E15" s="443"/>
      <c r="F15" s="445"/>
      <c r="G15" s="441"/>
      <c r="H15" s="443"/>
      <c r="I15" s="445"/>
      <c r="J15" s="441"/>
      <c r="K15" s="443"/>
      <c r="L15" s="445"/>
      <c r="M15" s="441"/>
    </row>
    <row r="16" spans="1:13">
      <c r="A16" s="318" t="s">
        <v>70</v>
      </c>
      <c r="B16" s="308"/>
      <c r="C16" s="440">
        <f>VLOOKUP(A15,[12]進出口值表查詢結果!$A$3:$E$19,4,0)</f>
        <v>89130</v>
      </c>
      <c r="D16" s="440">
        <f>VLOOKUP(A15,[12]進出口值表查詢結果!$A$3:$E$19,3,0)</f>
        <v>3513537</v>
      </c>
      <c r="F16" s="440">
        <f>VLOOKUP(A15,[13]進出口值表查詢結果!$A$10:$E$26,4,0)</f>
        <v>959845</v>
      </c>
      <c r="G16" s="440">
        <f>VLOOKUP(A15,[13]進出口值表查詢結果!$A$10:$E$26,3,0)</f>
        <v>33808884</v>
      </c>
      <c r="I16" s="440">
        <f>VLOOKUP(A15,[14]進出口值表查詢結果!$A$10:$E$26,4,0)</f>
        <v>51109</v>
      </c>
      <c r="J16" s="440">
        <f>VLOOKUP(A15,[14]進出口值表查詢結果!$A$10:$E$26,3,0)</f>
        <v>4462765</v>
      </c>
      <c r="L16" s="440">
        <f>VLOOKUP(A15,[15]進出口值表查詢結果!$A$10:$E$26,4,0)</f>
        <v>519309</v>
      </c>
      <c r="M16" s="440">
        <f>VLOOKUP(A15,[15]進出口值表查詢結果!$A$10:$E$26,3,0)</f>
        <v>53675855</v>
      </c>
    </row>
    <row r="17" spans="1:13">
      <c r="A17" s="318"/>
      <c r="B17" s="13" t="s">
        <v>64</v>
      </c>
      <c r="C17" s="440">
        <f>VLOOKUP(A15,[12]進出口值表查詢結果!$A$3:$E$19,5,0)</f>
        <v>179867</v>
      </c>
      <c r="D17" s="511" t="s">
        <v>151</v>
      </c>
      <c r="E17" s="13" t="s">
        <v>64</v>
      </c>
      <c r="F17" s="440">
        <f>VLOOKUP(A15,[13]進出口值表查詢結果!$A$10:$E$26,5,0)</f>
        <v>1810472</v>
      </c>
      <c r="G17" s="439" t="s">
        <v>67</v>
      </c>
      <c r="H17" s="13" t="s">
        <v>64</v>
      </c>
      <c r="I17" s="440">
        <f>VLOOKUP(A15,[14]進出口值表查詢結果!$A$10:$E$26,5,0)</f>
        <v>108974</v>
      </c>
      <c r="J17" s="511" t="s">
        <v>67</v>
      </c>
      <c r="K17" s="311" t="s">
        <v>64</v>
      </c>
      <c r="L17" s="440">
        <f>VLOOKUP(A15,[15]進出口值表查詢結果!$A$10:$E$26,5,0)</f>
        <v>1117958</v>
      </c>
      <c r="M17" s="439" t="s">
        <v>67</v>
      </c>
    </row>
    <row r="18" spans="1:13">
      <c r="A18" s="321">
        <v>87149200206</v>
      </c>
      <c r="B18" s="444"/>
      <c r="C18" s="445"/>
      <c r="D18" s="441"/>
      <c r="E18" s="443"/>
      <c r="F18" s="445"/>
      <c r="G18" s="441"/>
      <c r="H18" s="443"/>
      <c r="I18" s="442"/>
      <c r="J18" s="441"/>
      <c r="K18" s="443"/>
      <c r="L18" s="442"/>
      <c r="M18" s="441"/>
    </row>
    <row r="19" spans="1:13">
      <c r="A19" s="318" t="s">
        <v>55</v>
      </c>
      <c r="B19" s="308"/>
      <c r="C19" s="440">
        <f>VLOOKUP(A18,[12]進出口值表查詢結果!$A$3:$E$19,4,0)</f>
        <v>82822</v>
      </c>
      <c r="D19" s="440">
        <f>VLOOKUP(A18,[12]進出口值表查詢結果!$A$3:$E$19,3,0)</f>
        <v>1518756</v>
      </c>
      <c r="F19" s="440">
        <f>VLOOKUP(A18,[13]進出口值表查詢結果!$A$10:$E$26,4,0)</f>
        <v>818875</v>
      </c>
      <c r="G19" s="440">
        <f>VLOOKUP(A18,[13]進出口值表查詢結果!$A$10:$E$26,3,0)</f>
        <v>12684047</v>
      </c>
      <c r="I19" s="440">
        <f>VLOOKUP(A18,[14]進出口值表查詢結果!$A$10:$E$26,4,0)</f>
        <v>8524</v>
      </c>
      <c r="J19" s="440">
        <f>VLOOKUP(A18,[14]進出口值表查詢結果!$A$10:$E$26,3,0)</f>
        <v>857077</v>
      </c>
      <c r="L19" s="440">
        <f>VLOOKUP(A18,[15]進出口值表查詢結果!$A$10:$E$26,4,0)</f>
        <v>106769</v>
      </c>
      <c r="M19" s="440">
        <f>VLOOKUP(A18,[15]進出口值表查詢結果!$A$10:$E$26,3,0)</f>
        <v>9650682</v>
      </c>
    </row>
    <row r="20" spans="1:13">
      <c r="A20" s="318"/>
      <c r="B20" s="13" t="s">
        <v>64</v>
      </c>
      <c r="C20" s="440">
        <f>VLOOKUP(A18,[12]進出口值表查詢結果!$A$3:$E$19,5,0)</f>
        <v>13518954</v>
      </c>
      <c r="D20" s="511" t="s">
        <v>151</v>
      </c>
      <c r="E20" s="13" t="s">
        <v>64</v>
      </c>
      <c r="F20" s="440">
        <f>VLOOKUP(A18,[13]進出口值表查詢結果!$A$10:$E$26,5,0)</f>
        <v>124685381</v>
      </c>
      <c r="G20" s="439" t="s">
        <v>67</v>
      </c>
      <c r="H20" s="13" t="s">
        <v>64</v>
      </c>
      <c r="I20" s="440">
        <f>VLOOKUP(A18,[14]進出口值表查詢結果!$A$10:$E$26,5,0)</f>
        <v>1647892</v>
      </c>
      <c r="J20" s="511" t="s">
        <v>67</v>
      </c>
      <c r="K20" s="311" t="s">
        <v>64</v>
      </c>
      <c r="L20" s="440">
        <f>VLOOKUP(A18,[15]進出口值表查詢結果!$A$10:$E$26,5,0)</f>
        <v>18968077</v>
      </c>
      <c r="M20" s="439" t="s">
        <v>67</v>
      </c>
    </row>
    <row r="21" spans="1:13">
      <c r="A21" s="321">
        <v>87149200304</v>
      </c>
      <c r="B21" s="444"/>
      <c r="C21" s="445"/>
      <c r="D21" s="441"/>
      <c r="E21" s="443"/>
      <c r="F21" s="445"/>
      <c r="G21" s="441"/>
      <c r="H21" s="443"/>
      <c r="I21" s="442"/>
      <c r="J21" s="441"/>
      <c r="K21" s="443"/>
      <c r="L21" s="442"/>
      <c r="M21" s="441"/>
    </row>
    <row r="22" spans="1:13">
      <c r="A22" s="318" t="s">
        <v>56</v>
      </c>
      <c r="B22" s="308"/>
      <c r="C22" s="440">
        <f>VLOOKUP(A21,[12]進出口值表查詢結果!$A$3:$E$19,4,0)</f>
        <v>56662</v>
      </c>
      <c r="D22" s="440">
        <f>VLOOKUP(A21,[12]進出口值表查詢結果!$A$3:$E$19,3,0)</f>
        <v>7091563</v>
      </c>
      <c r="E22" s="311">
        <f>[16]二全年出口類別合計驗算!U18</f>
        <v>0</v>
      </c>
      <c r="F22" s="440">
        <f>VLOOKUP(A21,[13]進出口值表查詢結果!$A$10:$E$26,4,0)</f>
        <v>498642</v>
      </c>
      <c r="G22" s="440">
        <f>VLOOKUP(A21,[13]進出口值表查詢結果!$A$10:$E$26,3,0)</f>
        <v>60884591</v>
      </c>
      <c r="I22" s="440">
        <f>VLOOKUP(A21,[14]進出口值表查詢結果!$A$10:$E$26,4,0)</f>
        <v>15114</v>
      </c>
      <c r="J22" s="440">
        <f>VLOOKUP(A21,[14]進出口值表查詢結果!$A$10:$E$26,3,0)</f>
        <v>506253</v>
      </c>
      <c r="L22" s="440">
        <f>VLOOKUP(A21,[15]進出口值表查詢結果!$A$10:$E$26,4,0)</f>
        <v>135159</v>
      </c>
      <c r="M22" s="440">
        <f>VLOOKUP(A21,[15]進出口值表查詢結果!$A$10:$E$26,3,0)</f>
        <v>4240535</v>
      </c>
    </row>
    <row r="23" spans="1:13">
      <c r="A23" s="321">
        <v>87149310007</v>
      </c>
      <c r="B23" s="444"/>
      <c r="C23" s="445"/>
      <c r="D23" s="441"/>
      <c r="E23" s="443"/>
      <c r="F23" s="445"/>
      <c r="G23" s="441"/>
      <c r="H23" s="443"/>
      <c r="I23" s="442"/>
      <c r="J23" s="441"/>
      <c r="K23" s="443"/>
      <c r="L23" s="442"/>
      <c r="M23" s="441"/>
    </row>
    <row r="24" spans="1:13">
      <c r="A24" s="318" t="s">
        <v>71</v>
      </c>
      <c r="B24" s="308"/>
      <c r="C24" s="440">
        <f>VLOOKUP(A23,[12]進出口值表查詢結果!$A$3:$E$19,4,0)</f>
        <v>60098</v>
      </c>
      <c r="D24" s="440">
        <f>VLOOKUP(A23,[12]進出口值表查詢結果!$A$3:$E$19,3,0)</f>
        <v>4771187</v>
      </c>
      <c r="F24" s="440">
        <f>VLOOKUP(A23,[13]進出口值表查詢結果!$A$10:$E$26,4,0)</f>
        <v>571504</v>
      </c>
      <c r="G24" s="440">
        <f>VLOOKUP(A23,[13]進出口值表查詢結果!$A$10:$E$26,3,0)</f>
        <v>37680730</v>
      </c>
      <c r="I24" s="440">
        <f>VLOOKUP(A23,[14]進出口值表查詢結果!$A$10:$E$26,4,0)</f>
        <v>46731</v>
      </c>
      <c r="J24" s="440">
        <f>VLOOKUP(A23,[14]進出口值表查詢結果!$A$10:$E$26,3,0)</f>
        <v>2220581</v>
      </c>
      <c r="L24" s="440">
        <f>VLOOKUP(A23,[15]進出口值表查詢結果!$A$10:$E$26,4,0)</f>
        <v>600997</v>
      </c>
      <c r="M24" s="440">
        <f>VLOOKUP(A23,[15]進出口值表查詢結果!$A$10:$E$26,3,0)</f>
        <v>24456370</v>
      </c>
    </row>
    <row r="25" spans="1:13">
      <c r="A25" s="318" t="s">
        <v>72</v>
      </c>
      <c r="B25" s="308"/>
      <c r="C25" s="440"/>
      <c r="D25" s="439"/>
      <c r="F25" s="440"/>
      <c r="G25" s="439"/>
      <c r="I25" s="440"/>
      <c r="J25" s="439"/>
      <c r="L25" s="440"/>
      <c r="M25" s="439"/>
    </row>
    <row r="26" spans="1:13">
      <c r="A26" s="318" t="s">
        <v>73</v>
      </c>
      <c r="B26" s="308"/>
      <c r="C26" s="440"/>
      <c r="D26" s="439"/>
      <c r="F26" s="440"/>
      <c r="G26" s="439"/>
      <c r="I26" s="440"/>
      <c r="J26" s="439"/>
      <c r="L26" s="440"/>
      <c r="M26" s="439"/>
    </row>
    <row r="27" spans="1:13">
      <c r="A27" s="321">
        <v>87149320103</v>
      </c>
      <c r="B27" s="444"/>
      <c r="C27" s="445"/>
      <c r="D27" s="441"/>
      <c r="E27" s="443"/>
      <c r="F27" s="445"/>
      <c r="G27" s="441"/>
      <c r="H27" s="443"/>
      <c r="I27" s="442"/>
      <c r="J27" s="441"/>
      <c r="K27" s="443"/>
      <c r="L27" s="442"/>
      <c r="M27" s="441"/>
    </row>
    <row r="28" spans="1:13">
      <c r="A28" s="318" t="s">
        <v>406</v>
      </c>
      <c r="B28" s="308"/>
      <c r="C28" s="440">
        <f>VLOOKUP(A27,[12]進出口值表查詢結果!$A$3:$E$19,4,0)</f>
        <v>654</v>
      </c>
      <c r="D28" s="440">
        <f>VLOOKUP(A27,[12]進出口值表查詢結果!$A$3:$E$19,3,0)</f>
        <v>48890</v>
      </c>
      <c r="F28" s="440">
        <f>VLOOKUP(A27,[13]進出口值表查詢結果!$A$10:$E$26,4,0)</f>
        <v>16604</v>
      </c>
      <c r="G28" s="440">
        <f>VLOOKUP(A27,[13]進出口值表查詢結果!$A$10:$E$26,3,0)</f>
        <v>563289</v>
      </c>
      <c r="I28" s="440">
        <f>VLOOKUP(A27,[14]進出口值表查詢結果!$A$10:$E$26,4,0)</f>
        <v>1225</v>
      </c>
      <c r="J28" s="440">
        <f>VLOOKUP(A27,[14]進出口值表查詢結果!$A$10:$E$26,3,0)</f>
        <v>54142</v>
      </c>
      <c r="L28" s="440">
        <f>VLOOKUP(A27,[15]進出口值表查詢結果!$A$10:$E$26,4,0)</f>
        <v>9496</v>
      </c>
      <c r="M28" s="440">
        <f>VLOOKUP(A27,[15]進出口值表查詢結果!$A$10:$E$26,3,0)</f>
        <v>408964</v>
      </c>
    </row>
    <row r="29" spans="1:13">
      <c r="A29" s="321">
        <v>87149410006</v>
      </c>
      <c r="B29" s="444"/>
      <c r="C29" s="445"/>
      <c r="D29" s="441"/>
      <c r="E29" s="443"/>
      <c r="F29" s="445"/>
      <c r="G29" s="441"/>
      <c r="H29" s="443"/>
      <c r="I29" s="442"/>
      <c r="J29" s="441"/>
      <c r="K29" s="443"/>
      <c r="L29" s="442"/>
      <c r="M29" s="441"/>
    </row>
    <row r="30" spans="1:13">
      <c r="A30" s="318" t="s">
        <v>74</v>
      </c>
      <c r="B30" s="308"/>
      <c r="C30" s="440">
        <f>VLOOKUP(A29,[12]進出口值表查詢結果!$A$3:$E$19,4,0)</f>
        <v>3142</v>
      </c>
      <c r="D30" s="440">
        <f>VLOOKUP(A29,[12]進出口值表查詢結果!$A$3:$E$19,3,0)</f>
        <v>107376</v>
      </c>
      <c r="F30" s="440">
        <f>VLOOKUP(A29,[13]進出口值表查詢結果!$A$10:$E$26,4,0)</f>
        <v>63853</v>
      </c>
      <c r="G30" s="440">
        <f>VLOOKUP(A29,[13]進出口值表查詢結果!$A$10:$E$26,3,0)</f>
        <v>1569305</v>
      </c>
      <c r="I30" s="440">
        <f>VLOOKUP(A29,[14]進出口值表查詢結果!$A$10:$E$26,4,0)</f>
        <v>3681</v>
      </c>
      <c r="J30" s="440">
        <f>VLOOKUP(A29,[14]進出口值表查詢結果!$A$10:$E$26,3,0)</f>
        <v>186027</v>
      </c>
      <c r="L30" s="440">
        <f>VLOOKUP(A29,[15]進出口值表查詢結果!$A$10:$E$26,4,0)</f>
        <v>21580</v>
      </c>
      <c r="M30" s="440">
        <f>VLOOKUP(A29,[15]進出口值表查詢結果!$A$10:$E$26,3,0)</f>
        <v>524082</v>
      </c>
    </row>
    <row r="31" spans="1:13">
      <c r="A31" s="318" t="s">
        <v>75</v>
      </c>
      <c r="B31" s="308"/>
      <c r="C31" s="440"/>
      <c r="D31" s="511"/>
      <c r="F31" s="440"/>
      <c r="G31" s="439"/>
      <c r="I31" s="440"/>
      <c r="J31" s="439"/>
      <c r="L31" s="440"/>
      <c r="M31" s="439"/>
    </row>
    <row r="32" spans="1:13">
      <c r="A32" s="321">
        <v>87149490009</v>
      </c>
      <c r="B32" s="444"/>
      <c r="C32" s="445"/>
      <c r="D32" s="441"/>
      <c r="E32" s="443"/>
      <c r="F32" s="445"/>
      <c r="G32" s="441"/>
      <c r="H32" s="443"/>
      <c r="I32" s="442"/>
      <c r="J32" s="441"/>
      <c r="K32" s="443"/>
      <c r="L32" s="442"/>
      <c r="M32" s="441"/>
    </row>
    <row r="33" spans="1:13">
      <c r="A33" s="318" t="s">
        <v>76</v>
      </c>
      <c r="B33" s="308"/>
      <c r="C33" s="440">
        <f>VLOOKUP(A32,[12]進出口值表查詢結果!$A$3:$E$19,4,0)</f>
        <v>310474</v>
      </c>
      <c r="D33" s="440">
        <f>VLOOKUP(A32,[12]進出口值表查詢結果!$A$3:$E$19,3,0)</f>
        <v>15076775</v>
      </c>
      <c r="F33" s="440">
        <f>VLOOKUP(A32,[13]進出口值表查詢結果!$A$10:$E$26,4,0)</f>
        <v>3030096</v>
      </c>
      <c r="G33" s="440">
        <f>VLOOKUP(A32,[13]進出口值表查詢結果!$A$10:$E$26,3,0)</f>
        <v>134006795</v>
      </c>
      <c r="I33" s="440">
        <f>VLOOKUP(A32,[14]進出口值表查詢結果!$A$10:$E$26,4,0)</f>
        <v>132407</v>
      </c>
      <c r="J33" s="440">
        <f>VLOOKUP(A32,[14]進出口值表查詢結果!$A$10:$E$26,3,0)</f>
        <v>7181207</v>
      </c>
      <c r="L33" s="440">
        <f>VLOOKUP(A32,[15]進出口值表查詢結果!$A$10:$E$26,4,0)</f>
        <v>1184641</v>
      </c>
      <c r="M33" s="440">
        <f>VLOOKUP(A32,[15]進出口值表查詢結果!$A$10:$E$26,3,0)</f>
        <v>74404094</v>
      </c>
    </row>
    <row r="34" spans="1:13">
      <c r="A34" s="318" t="s">
        <v>77</v>
      </c>
      <c r="B34" s="308"/>
      <c r="C34" s="440"/>
      <c r="D34" s="439"/>
      <c r="F34" s="440"/>
      <c r="G34" s="439"/>
      <c r="I34" s="440"/>
      <c r="J34" s="511"/>
      <c r="L34" s="440"/>
      <c r="M34" s="439"/>
    </row>
    <row r="35" spans="1:13">
      <c r="A35" s="321">
        <v>87149500007</v>
      </c>
      <c r="B35" s="444"/>
      <c r="C35" s="442"/>
      <c r="D35" s="441"/>
      <c r="E35" s="443"/>
      <c r="F35" s="442"/>
      <c r="G35" s="441"/>
      <c r="H35" s="443"/>
      <c r="I35" s="442"/>
      <c r="J35" s="441"/>
      <c r="K35" s="443"/>
      <c r="L35" s="442"/>
      <c r="M35" s="441"/>
    </row>
    <row r="36" spans="1:13">
      <c r="A36" s="318" t="s">
        <v>78</v>
      </c>
      <c r="B36" s="308"/>
      <c r="C36" s="440">
        <f>VLOOKUP(A35,[12]進出口值表查詢結果!$A$3:$E$19,4,0)</f>
        <v>114769</v>
      </c>
      <c r="D36" s="440">
        <f>VLOOKUP(A35,[12]進出口值表查詢結果!$A$3:$E$19,3,0)</f>
        <v>2338287</v>
      </c>
      <c r="F36" s="440">
        <f>VLOOKUP(A35,[13]進出口值表查詢結果!$A$10:$E$26,4,0)</f>
        <v>994572</v>
      </c>
      <c r="G36" s="440">
        <f>VLOOKUP(A35,[13]進出口值表查詢結果!$A$10:$E$26,3,0)</f>
        <v>21640118</v>
      </c>
      <c r="I36" s="440">
        <f>VLOOKUP(A35,[14]進出口值表查詢結果!$A$10:$E$26,4,0)</f>
        <v>36555</v>
      </c>
      <c r="J36" s="440">
        <f>VLOOKUP(A35,[14]進出口值表查詢結果!$A$10:$E$26,3,0)</f>
        <v>719009</v>
      </c>
      <c r="L36" s="440">
        <f>VLOOKUP(A35,[15]進出口值表查詢結果!$A$10:$E$26,4,0)</f>
        <v>459741</v>
      </c>
      <c r="M36" s="440">
        <f>VLOOKUP(A35,[15]進出口值表查詢結果!$A$10:$E$26,3,0)</f>
        <v>8484709</v>
      </c>
    </row>
    <row r="37" spans="1:13">
      <c r="A37" s="321">
        <v>87149610004</v>
      </c>
      <c r="B37" s="444"/>
      <c r="C37" s="442"/>
      <c r="D37" s="441"/>
      <c r="E37" s="443"/>
      <c r="F37" s="442"/>
      <c r="G37" s="441"/>
      <c r="H37" s="443"/>
      <c r="I37" s="442"/>
      <c r="J37" s="441"/>
      <c r="K37" s="443"/>
      <c r="L37" s="442"/>
      <c r="M37" s="441"/>
    </row>
    <row r="38" spans="1:13">
      <c r="A38" s="318" t="s">
        <v>79</v>
      </c>
      <c r="B38" s="308"/>
      <c r="C38" s="440">
        <f>VLOOKUP(A37,[12]進出口值表查詢結果!$A$3:$E$19,4,0)</f>
        <v>123821</v>
      </c>
      <c r="D38" s="440">
        <f>VLOOKUP(A37,[12]進出口值表查詢結果!$A$3:$E$19,3,0)</f>
        <v>2846297</v>
      </c>
      <c r="F38" s="440">
        <f>VLOOKUP(A37,[13]進出口值表查詢結果!$A$10:$E$26,4,0)</f>
        <v>1251074</v>
      </c>
      <c r="G38" s="440">
        <f>VLOOKUP(A37,[13]進出口值表查詢結果!$A$10:$E$26,3,0)</f>
        <v>30906794</v>
      </c>
      <c r="I38" s="440">
        <f>VLOOKUP(A37,[14]進出口值表查詢結果!$A$10:$E$26,4,0)</f>
        <v>16181</v>
      </c>
      <c r="J38" s="440">
        <f>VLOOKUP(A37,[14]進出口值表查詢結果!$A$10:$E$26,3,0)</f>
        <v>379203</v>
      </c>
      <c r="L38" s="440">
        <f>VLOOKUP(A37,[15]進出口值表查詢結果!$A$10:$E$26,4,0)</f>
        <v>193999</v>
      </c>
      <c r="M38" s="440">
        <f>VLOOKUP(A37,[15]進出口值表查詢結果!$A$10:$E$26,3,0)</f>
        <v>3315306</v>
      </c>
    </row>
    <row r="39" spans="1:13">
      <c r="A39" s="321">
        <v>87149620002</v>
      </c>
      <c r="B39" s="444"/>
      <c r="C39" s="445"/>
      <c r="D39" s="441"/>
      <c r="E39" s="443"/>
      <c r="F39" s="445"/>
      <c r="G39" s="441"/>
      <c r="H39" s="443"/>
      <c r="I39" s="442"/>
      <c r="J39" s="441"/>
      <c r="K39" s="443"/>
      <c r="L39" s="442"/>
      <c r="M39" s="441"/>
    </row>
    <row r="40" spans="1:13">
      <c r="A40" s="318" t="s">
        <v>80</v>
      </c>
      <c r="B40" s="308"/>
      <c r="C40" s="440">
        <f>VLOOKUP(A39,[12]進出口值表查詢結果!$A$3:$E$19,4,0)</f>
        <v>147618</v>
      </c>
      <c r="D40" s="440">
        <f>VLOOKUP(A39,[12]進出口值表查詢結果!$A$3:$E$19,3,0)</f>
        <v>6715127</v>
      </c>
      <c r="F40" s="440">
        <f>VLOOKUP(A39,[13]進出口值表查詢結果!$A$10:$E$26,4,0)</f>
        <v>1317811</v>
      </c>
      <c r="G40" s="440">
        <f>VLOOKUP(A39,[13]進出口值表查詢結果!$A$10:$E$26,3,0)</f>
        <v>68534848</v>
      </c>
      <c r="I40" s="440">
        <f>VLOOKUP(A39,[14]進出口值表查詢結果!$A$10:$E$26,4,0)</f>
        <v>87494</v>
      </c>
      <c r="J40" s="440">
        <f>VLOOKUP(A39,[14]進出口值表查詢結果!$A$10:$E$26,3,0)</f>
        <v>3168247</v>
      </c>
      <c r="L40" s="440">
        <f>VLOOKUP(A39,[15]進出口值表查詢結果!$A$10:$E$26,4,0)</f>
        <v>902905</v>
      </c>
      <c r="M40" s="440">
        <f>VLOOKUP(A39,[15]進出口值表查詢結果!$A$10:$E$26,3,0)</f>
        <v>27599626</v>
      </c>
    </row>
    <row r="41" spans="1:13">
      <c r="A41" s="318" t="s">
        <v>75</v>
      </c>
      <c r="B41" s="308"/>
      <c r="C41" s="440"/>
      <c r="D41" s="440"/>
      <c r="F41" s="440"/>
      <c r="G41" s="440"/>
      <c r="I41" s="440"/>
      <c r="J41" s="440"/>
      <c r="L41" s="440"/>
      <c r="M41" s="440"/>
    </row>
    <row r="42" spans="1:13">
      <c r="A42" s="321">
        <v>73151100209</v>
      </c>
      <c r="B42" s="444"/>
      <c r="C42" s="441"/>
      <c r="D42" s="445"/>
      <c r="E42" s="443"/>
      <c r="F42" s="442"/>
      <c r="G42" s="441"/>
      <c r="H42" s="443"/>
      <c r="I42" s="442"/>
      <c r="J42" s="441"/>
      <c r="K42" s="443"/>
      <c r="L42" s="442"/>
      <c r="M42" s="441"/>
    </row>
    <row r="43" spans="1:13">
      <c r="A43" s="318" t="s">
        <v>81</v>
      </c>
      <c r="B43" s="308"/>
      <c r="C43" s="440">
        <v>114492</v>
      </c>
      <c r="D43" s="440">
        <v>3446135</v>
      </c>
      <c r="F43" s="440">
        <v>794602</v>
      </c>
      <c r="G43" s="440">
        <v>19515573</v>
      </c>
      <c r="I43" s="440">
        <v>78947</v>
      </c>
      <c r="J43" s="440">
        <v>745985</v>
      </c>
      <c r="L43" s="440">
        <v>746708</v>
      </c>
      <c r="M43" s="440">
        <v>7894714</v>
      </c>
    </row>
    <row r="44" spans="1:13">
      <c r="A44" s="318" t="s">
        <v>82</v>
      </c>
      <c r="B44" s="308"/>
      <c r="C44" s="440"/>
      <c r="D44" s="439"/>
      <c r="F44" s="440"/>
      <c r="G44" s="439"/>
      <c r="I44" s="440"/>
      <c r="J44" s="439"/>
      <c r="L44" s="440"/>
      <c r="M44" s="439"/>
    </row>
    <row r="45" spans="1:13">
      <c r="A45" s="321">
        <v>87149990111</v>
      </c>
      <c r="B45" s="444"/>
      <c r="C45" s="445"/>
      <c r="D45" s="441"/>
      <c r="E45" s="443"/>
      <c r="F45" s="445"/>
      <c r="G45" s="441"/>
      <c r="H45" s="443"/>
      <c r="I45" s="442"/>
      <c r="J45" s="441"/>
      <c r="K45" s="443"/>
      <c r="L45" s="442"/>
      <c r="M45" s="441"/>
    </row>
    <row r="46" spans="1:13">
      <c r="A46" s="322" t="s">
        <v>83</v>
      </c>
      <c r="B46" s="310"/>
      <c r="C46" s="440">
        <f>VLOOKUP(A45,[12]進出口值表查詢結果!$A$3:$E$19,4,0)</f>
        <v>60977</v>
      </c>
      <c r="D46" s="440">
        <f>VLOOKUP(A45,[12]進出口值表查詢結果!$A$3:$E$19,3,0)</f>
        <v>7046611</v>
      </c>
      <c r="F46" s="440">
        <f>VLOOKUP(A45,[13]進出口值表查詢結果!$A$10:$E$26,4,0)</f>
        <v>531066</v>
      </c>
      <c r="G46" s="440">
        <f>VLOOKUP(A45,[13]進出口值表查詢結果!$A$10:$E$26,3,0)</f>
        <v>65371820</v>
      </c>
      <c r="I46" s="440">
        <f>VLOOKUP(A45,[14]進出口值表查詢結果!$A$10:$E$26,4,0)</f>
        <v>55062</v>
      </c>
      <c r="J46" s="440">
        <f>VLOOKUP(A45,[14]進出口值表查詢結果!$A$10:$E$26,3,0)</f>
        <v>2598717</v>
      </c>
      <c r="L46" s="440">
        <f>VLOOKUP(A45,[15]進出口值表查詢結果!$A$10:$E$26,4,0)</f>
        <v>284214</v>
      </c>
      <c r="M46" s="440">
        <f>VLOOKUP(A45,[15]進出口值表查詢結果!$A$10:$E$26,3,0)</f>
        <v>23858703</v>
      </c>
    </row>
    <row r="47" spans="1:13">
      <c r="A47" s="318" t="s">
        <v>84</v>
      </c>
      <c r="B47" s="308"/>
      <c r="C47" s="440"/>
      <c r="D47" s="439"/>
      <c r="F47" s="440"/>
      <c r="G47" s="439"/>
      <c r="I47" s="440"/>
      <c r="J47" s="439"/>
      <c r="L47" s="440"/>
      <c r="M47" s="439"/>
    </row>
    <row r="48" spans="1:13">
      <c r="A48" s="321">
        <v>87149320906</v>
      </c>
      <c r="B48" s="444"/>
      <c r="C48" s="445"/>
      <c r="D48" s="441"/>
      <c r="E48" s="443"/>
      <c r="F48" s="445"/>
      <c r="G48" s="441"/>
      <c r="H48" s="443"/>
      <c r="I48" s="442"/>
      <c r="J48" s="441"/>
      <c r="K48" s="443"/>
      <c r="L48" s="442"/>
      <c r="M48" s="441"/>
    </row>
    <row r="49" spans="1:13">
      <c r="A49" s="318" t="s">
        <v>407</v>
      </c>
      <c r="B49" s="308"/>
      <c r="C49" s="440">
        <f>VLOOKUP(A48,[12]進出口值表查詢結果!$A$3:$E$19,4,0)</f>
        <v>156648</v>
      </c>
      <c r="D49" s="440">
        <f>VLOOKUP(A48,[12]進出口值表查詢結果!$A$3:$E$19,3,0)</f>
        <v>5504937</v>
      </c>
      <c r="F49" s="440">
        <f>VLOOKUP(A48,[13]進出口值表查詢結果!$A$10:$E$26,4,0)</f>
        <v>1226557</v>
      </c>
      <c r="G49" s="440">
        <f>VLOOKUP(A48,[13]進出口值表查詢結果!$A$10:$E$26,3,0)</f>
        <v>50666223</v>
      </c>
      <c r="I49" s="440">
        <f>VLOOKUP(A48,[14]進出口值表查詢結果!$A$10:$E$26,4,0)</f>
        <v>53036</v>
      </c>
      <c r="J49" s="440">
        <f>VLOOKUP(A48,[14]進出口值表查詢結果!$A$10:$E$26,3,0)</f>
        <v>2176747</v>
      </c>
      <c r="L49" s="440">
        <f>VLOOKUP(A48,[15]進出口值表查詢結果!$A$10:$E$26,4,0)</f>
        <v>325727</v>
      </c>
      <c r="M49" s="440">
        <f>VLOOKUP(A48,[15]進出口值表查詢結果!$A$10:$E$26,3,0)</f>
        <v>12506859</v>
      </c>
    </row>
    <row r="50" spans="1:13">
      <c r="A50" s="321">
        <v>87149990139</v>
      </c>
      <c r="B50" s="444"/>
      <c r="C50" s="445"/>
      <c r="D50" s="441"/>
      <c r="E50" s="443"/>
      <c r="F50" s="445"/>
      <c r="G50" s="441"/>
      <c r="H50" s="443"/>
      <c r="I50" s="442"/>
      <c r="J50" s="441"/>
      <c r="K50" s="443"/>
      <c r="L50" s="442"/>
      <c r="M50" s="441"/>
    </row>
    <row r="51" spans="1:13">
      <c r="A51" s="318" t="s">
        <v>85</v>
      </c>
      <c r="B51" s="308"/>
      <c r="C51" s="440">
        <f>VLOOKUP(A50,[12]進出口值表查詢結果!$A$3:$E$19,4,0)</f>
        <v>4944</v>
      </c>
      <c r="D51" s="440">
        <f>VLOOKUP(A50,[12]進出口值表查詢結果!$A$3:$E$19,3,0)</f>
        <v>145107</v>
      </c>
      <c r="F51" s="440">
        <f>VLOOKUP(A50,[13]進出口值表查詢結果!$A$10:$E$26,4,0)</f>
        <v>109291</v>
      </c>
      <c r="G51" s="440">
        <f>VLOOKUP(A50,[13]進出口值表查詢結果!$A$10:$E$26,3,0)</f>
        <v>2079822</v>
      </c>
      <c r="I51" s="440">
        <f>VLOOKUP(A50,[14]進出口值表查詢結果!$A$10:$E$26,4,0)</f>
        <v>7462</v>
      </c>
      <c r="J51" s="440">
        <f>VLOOKUP(A50,[14]進出口值表查詢結果!$A$10:$E$26,3,0)</f>
        <v>104846</v>
      </c>
      <c r="L51" s="440">
        <f>VLOOKUP(A50,[15]進出口值表查詢結果!$A$10:$E$26,4,0)</f>
        <v>68990</v>
      </c>
      <c r="M51" s="440">
        <f>VLOOKUP(A50,[15]進出口值表查詢結果!$A$10:$E$26,3,0)</f>
        <v>807250</v>
      </c>
    </row>
    <row r="52" spans="1:13">
      <c r="A52" s="321">
        <v>87149990148</v>
      </c>
      <c r="B52" s="444"/>
      <c r="C52" s="445"/>
      <c r="D52" s="441"/>
      <c r="E52" s="443"/>
      <c r="F52" s="445"/>
      <c r="G52" s="441"/>
      <c r="H52" s="443"/>
      <c r="I52" s="442"/>
      <c r="J52" s="441"/>
      <c r="K52" s="443"/>
      <c r="L52" s="442"/>
      <c r="M52" s="441"/>
    </row>
    <row r="53" spans="1:13">
      <c r="A53" s="323" t="s">
        <v>86</v>
      </c>
      <c r="B53" s="447"/>
      <c r="C53" s="440">
        <f>VLOOKUP(A52,[12]進出口值表查詢結果!$A$3:$E$19,4,0)</f>
        <v>53145</v>
      </c>
      <c r="D53" s="440">
        <f>VLOOKUP(A52,[12]進出口值表查詢結果!$A$3:$E$19,3,0)</f>
        <v>1852743</v>
      </c>
      <c r="F53" s="440">
        <f>VLOOKUP(A52,[13]進出口值表查詢結果!$A$10:$E$26,4,0)</f>
        <v>474893</v>
      </c>
      <c r="G53" s="440">
        <f>VLOOKUP(A52,[13]進出口值表查詢結果!$A$10:$E$26,3,0)</f>
        <v>16849121</v>
      </c>
      <c r="I53" s="440">
        <f>VLOOKUP(A52,[14]進出口值表查詢結果!$A$10:$E$26,4,0)</f>
        <v>10704</v>
      </c>
      <c r="J53" s="440">
        <f>VLOOKUP(A52,[14]進出口值表查詢結果!$A$10:$E$26,3,0)</f>
        <v>389109</v>
      </c>
      <c r="L53" s="440">
        <f>VLOOKUP(A52,[15]進出口值表查詢結果!$A$10:$E$26,4,0)</f>
        <v>126909</v>
      </c>
      <c r="M53" s="440">
        <f>VLOOKUP(A52,[15]進出口值表查詢結果!$A$10:$E$26,3,0)</f>
        <v>4006217</v>
      </c>
    </row>
    <row r="54" spans="1:13">
      <c r="A54" s="318" t="s">
        <v>87</v>
      </c>
      <c r="B54" s="308"/>
      <c r="C54" s="440"/>
      <c r="D54" s="439"/>
      <c r="F54" s="440"/>
      <c r="G54" s="439"/>
      <c r="I54" s="440"/>
      <c r="J54" s="446"/>
      <c r="L54" s="440"/>
      <c r="M54" s="439"/>
    </row>
    <row r="55" spans="1:13">
      <c r="A55" s="321">
        <v>87149990157</v>
      </c>
      <c r="B55" s="444"/>
      <c r="C55" s="445"/>
      <c r="D55" s="441"/>
      <c r="E55" s="443"/>
      <c r="F55" s="445"/>
      <c r="G55" s="441"/>
      <c r="H55" s="443"/>
      <c r="I55" s="442"/>
      <c r="J55" s="441"/>
      <c r="K55" s="443"/>
      <c r="L55" s="442"/>
      <c r="M55" s="441"/>
    </row>
    <row r="56" spans="1:13">
      <c r="A56" s="318" t="s">
        <v>88</v>
      </c>
      <c r="B56" s="308"/>
      <c r="C56" s="440">
        <f>VLOOKUP(A55,[12]進出口值表查詢結果!$A$3:$E$19,4,0)</f>
        <v>141384</v>
      </c>
      <c r="D56" s="440">
        <f>VLOOKUP(A55,[12]進出口值表查詢結果!$A$3:$E$19,3,0)</f>
        <v>5769995</v>
      </c>
      <c r="F56" s="440">
        <f>VLOOKUP(A55,[13]進出口值表查詢結果!$A$10:$E$26,4,0)</f>
        <v>974184</v>
      </c>
      <c r="G56" s="440">
        <f>VLOOKUP(A55,[13]進出口值表查詢結果!$A$10:$E$26,3,0)</f>
        <v>42048492</v>
      </c>
      <c r="I56" s="440">
        <f>VLOOKUP(A55,[14]進出口值表查詢結果!$A$10:$E$26,4,0)</f>
        <v>29411</v>
      </c>
      <c r="J56" s="440">
        <f>VLOOKUP(A55,[14]進出口值表查詢結果!$A$10:$E$26,3,0)</f>
        <v>1352329</v>
      </c>
      <c r="L56" s="440">
        <f>VLOOKUP(A55,[15]進出口值表查詢結果!$A$10:$E$26,4,0)</f>
        <v>270988</v>
      </c>
      <c r="M56" s="440">
        <f>VLOOKUP(A55,[15]進出口值表查詢結果!$A$10:$E$26,3,0)</f>
        <v>12091894</v>
      </c>
    </row>
    <row r="57" spans="1:13">
      <c r="A57" s="318" t="s">
        <v>89</v>
      </c>
      <c r="B57" s="308"/>
      <c r="C57" s="440"/>
      <c r="D57" s="511"/>
      <c r="F57" s="440"/>
      <c r="G57" s="439"/>
      <c r="I57" s="440"/>
      <c r="J57" s="440"/>
      <c r="L57" s="440"/>
      <c r="M57" s="439"/>
    </row>
    <row r="58" spans="1:13">
      <c r="A58" s="321">
        <v>87149990166</v>
      </c>
      <c r="B58" s="444"/>
      <c r="C58" s="445"/>
      <c r="D58" s="441"/>
      <c r="E58" s="443"/>
      <c r="F58" s="445"/>
      <c r="G58" s="441"/>
      <c r="H58" s="443"/>
      <c r="I58" s="442"/>
      <c r="J58" s="442"/>
      <c r="K58" s="443"/>
      <c r="L58" s="442"/>
      <c r="M58" s="441"/>
    </row>
    <row r="59" spans="1:13">
      <c r="A59" s="318" t="s">
        <v>86</v>
      </c>
      <c r="B59" s="308"/>
      <c r="C59" s="440">
        <f>VLOOKUP(A58,[12]進出口值表查詢結果!$A$3:$E$19,4,0)</f>
        <v>109375</v>
      </c>
      <c r="D59" s="440">
        <f>VLOOKUP(A58,[12]進出口值表查詢結果!$A$3:$E$19,3,0)</f>
        <v>3545177</v>
      </c>
      <c r="F59" s="440">
        <f>VLOOKUP(A58,[13]進出口值表查詢結果!$A$10:$E$26,4,0)</f>
        <v>1000917</v>
      </c>
      <c r="G59" s="440">
        <f>VLOOKUP(A58,[13]進出口值表查詢結果!$A$10:$E$26,3,0)</f>
        <v>35716898</v>
      </c>
      <c r="I59" s="440">
        <f>VLOOKUP(A58,[14]進出口值表查詢結果!$A$10:$E$26,4,0)</f>
        <v>34142</v>
      </c>
      <c r="J59" s="440">
        <f>VLOOKUP(A58,[14]進出口值表查詢結果!$A$10:$E$26,3,0)</f>
        <v>1937125</v>
      </c>
      <c r="L59" s="440">
        <f>VLOOKUP(A58,[15]進出口值表查詢結果!$A$10:$E$26,4,0)</f>
        <v>313281</v>
      </c>
      <c r="M59" s="440">
        <f>VLOOKUP(A58,[15]進出口值表查詢結果!$A$10:$E$26,3,0)</f>
        <v>22844495</v>
      </c>
    </row>
    <row r="60" spans="1:13">
      <c r="A60" s="321">
        <v>40115000008</v>
      </c>
      <c r="B60" s="444"/>
      <c r="C60" s="442"/>
      <c r="D60" s="442"/>
      <c r="E60" s="443"/>
      <c r="F60" s="442"/>
      <c r="G60" s="442"/>
      <c r="H60" s="443"/>
      <c r="I60" s="442"/>
      <c r="J60" s="442"/>
      <c r="K60" s="443"/>
      <c r="L60" s="442"/>
      <c r="M60" s="441"/>
    </row>
    <row r="61" spans="1:13">
      <c r="A61" s="318" t="s">
        <v>90</v>
      </c>
      <c r="B61" s="308"/>
      <c r="C61" s="440">
        <v>304273</v>
      </c>
      <c r="D61" s="440">
        <v>5213662</v>
      </c>
      <c r="F61" s="440">
        <v>3286551</v>
      </c>
      <c r="G61" s="440">
        <v>56589905</v>
      </c>
      <c r="I61" s="440">
        <v>107619</v>
      </c>
      <c r="J61" s="440">
        <v>1904427</v>
      </c>
      <c r="L61" s="440">
        <v>1279914</v>
      </c>
      <c r="M61" s="440">
        <v>15610281</v>
      </c>
    </row>
    <row r="62" spans="1:13">
      <c r="A62" s="318" t="s">
        <v>91</v>
      </c>
      <c r="B62" s="308" t="s">
        <v>64</v>
      </c>
      <c r="C62" s="440">
        <v>433607</v>
      </c>
      <c r="D62" s="439" t="s">
        <v>67</v>
      </c>
      <c r="E62" s="13" t="s">
        <v>64</v>
      </c>
      <c r="F62" s="440">
        <v>4719877</v>
      </c>
      <c r="G62" s="439" t="s">
        <v>67</v>
      </c>
      <c r="H62" s="13" t="s">
        <v>64</v>
      </c>
      <c r="I62" s="440">
        <v>176000</v>
      </c>
      <c r="J62" s="511" t="s">
        <v>67</v>
      </c>
      <c r="K62" s="311" t="s">
        <v>64</v>
      </c>
      <c r="L62" s="440">
        <v>1905841</v>
      </c>
      <c r="M62" s="439" t="s">
        <v>67</v>
      </c>
    </row>
    <row r="63" spans="1:13">
      <c r="A63" s="321">
        <v>40132000003</v>
      </c>
      <c r="B63" s="444"/>
      <c r="C63" s="442"/>
      <c r="D63" s="442"/>
      <c r="E63" s="443"/>
      <c r="F63" s="442"/>
      <c r="G63" s="442"/>
      <c r="H63" s="443"/>
      <c r="I63" s="442"/>
      <c r="J63" s="442"/>
      <c r="K63" s="443"/>
      <c r="L63" s="442"/>
      <c r="M63" s="441"/>
    </row>
    <row r="64" spans="1:13">
      <c r="A64" s="318" t="s">
        <v>92</v>
      </c>
      <c r="B64" s="308"/>
      <c r="C64" s="440">
        <v>22112</v>
      </c>
      <c r="D64" s="440">
        <v>293713</v>
      </c>
      <c r="F64" s="440">
        <v>402802</v>
      </c>
      <c r="G64" s="440">
        <v>4394108</v>
      </c>
      <c r="I64" s="440">
        <v>19150</v>
      </c>
      <c r="J64" s="440">
        <v>121462</v>
      </c>
      <c r="L64" s="440">
        <v>257182</v>
      </c>
      <c r="M64" s="440">
        <v>1656329</v>
      </c>
    </row>
    <row r="65" spans="1:13">
      <c r="A65" s="318" t="s">
        <v>93</v>
      </c>
      <c r="B65" s="308" t="s">
        <v>64</v>
      </c>
      <c r="C65" s="440">
        <v>127223</v>
      </c>
      <c r="D65" s="439" t="s">
        <v>67</v>
      </c>
      <c r="E65" s="13" t="s">
        <v>64</v>
      </c>
      <c r="F65" s="440">
        <v>2326771</v>
      </c>
      <c r="G65" s="439" t="s">
        <v>67</v>
      </c>
      <c r="H65" s="13" t="s">
        <v>64</v>
      </c>
      <c r="I65" s="440">
        <v>124420</v>
      </c>
      <c r="J65" s="511" t="s">
        <v>67</v>
      </c>
      <c r="K65" s="311" t="s">
        <v>64</v>
      </c>
      <c r="L65" s="440">
        <v>1364997</v>
      </c>
      <c r="M65" s="439" t="s">
        <v>67</v>
      </c>
    </row>
    <row r="66" spans="1:13">
      <c r="A66" s="318"/>
      <c r="B66" s="308"/>
      <c r="D66" s="319"/>
      <c r="G66" s="319"/>
      <c r="J66" s="319"/>
      <c r="M66" s="319"/>
    </row>
    <row r="67" spans="1:13">
      <c r="A67" s="312" t="s">
        <v>94</v>
      </c>
      <c r="B67" s="324"/>
      <c r="C67" s="325">
        <f>SUM(C6:C66)-C65-C62-C20-C17-C11-C8-C14</f>
        <v>2702613</v>
      </c>
      <c r="D67" s="326">
        <f>SUM(D6:D66)</f>
        <v>123297265</v>
      </c>
      <c r="E67" s="325"/>
      <c r="F67" s="325">
        <f>SUM(F6:F66)-F65-F62-F20-F17-F11-F8-F14</f>
        <v>25031072</v>
      </c>
      <c r="G67" s="326">
        <f>SUM(G6:G66)</f>
        <v>1137404222</v>
      </c>
      <c r="H67" s="325"/>
      <c r="I67" s="325">
        <f>SUM(I6:I66)-I65-I62-I20-I17-I11-I8</f>
        <v>1122325</v>
      </c>
      <c r="J67" s="326">
        <f>SUM(J6:J66)</f>
        <v>55104661</v>
      </c>
      <c r="K67" s="325"/>
      <c r="L67" s="325">
        <f>SUM(L6:L66)-L65-L62-L20-L17-L11-L8</f>
        <v>11236006</v>
      </c>
      <c r="M67" s="326">
        <f>SUM(M6:M66)</f>
        <v>566484226</v>
      </c>
    </row>
    <row r="68" spans="1:13" ht="8.25" customHeight="1">
      <c r="G68" s="5"/>
    </row>
    <row r="69" spans="1:13">
      <c r="A69" s="54" t="s">
        <v>31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1" customWidth="1"/>
    <col min="3" max="3" width="17.25" style="350" customWidth="1"/>
    <col min="4" max="4" width="15.75" style="351" customWidth="1"/>
    <col min="5" max="5" width="16.75" style="311" customWidth="1"/>
    <col min="6" max="6" width="17.125" customWidth="1"/>
    <col min="7" max="7" width="14.875" style="35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8" customFormat="1" ht="21">
      <c r="A1" s="327" t="s">
        <v>514</v>
      </c>
      <c r="B1" s="328"/>
      <c r="C1" s="329"/>
      <c r="D1" s="330"/>
      <c r="E1" s="328"/>
      <c r="F1" s="329"/>
      <c r="G1" s="330"/>
    </row>
    <row r="2" spans="1:7" s="308" customFormat="1" ht="10.5" customHeight="1">
      <c r="B2" s="309"/>
      <c r="C2" s="331"/>
      <c r="D2" s="332"/>
      <c r="E2" s="309"/>
      <c r="F2" s="331"/>
      <c r="G2" s="332"/>
    </row>
    <row r="3" spans="1:7" s="308" customFormat="1" ht="11.25" customHeight="1">
      <c r="A3" s="310"/>
      <c r="B3" s="309"/>
      <c r="C3" s="331"/>
      <c r="D3" s="332"/>
      <c r="E3" s="309"/>
      <c r="F3" s="331"/>
      <c r="G3" s="332"/>
    </row>
    <row r="4" spans="1:7">
      <c r="A4" s="42" t="s">
        <v>95</v>
      </c>
      <c r="B4" s="483" t="s">
        <v>446</v>
      </c>
      <c r="C4" s="70" t="s">
        <v>463</v>
      </c>
      <c r="D4" s="333" t="s">
        <v>36</v>
      </c>
      <c r="E4" s="72" t="s">
        <v>446</v>
      </c>
      <c r="F4" s="539" t="s">
        <v>515</v>
      </c>
      <c r="G4" s="200" t="s">
        <v>36</v>
      </c>
    </row>
    <row r="5" spans="1:7" s="308" customFormat="1" ht="18" customHeight="1">
      <c r="A5" s="46"/>
      <c r="B5" s="76" t="s">
        <v>96</v>
      </c>
      <c r="C5" s="75" t="s">
        <v>464</v>
      </c>
      <c r="D5" s="201" t="s">
        <v>1</v>
      </c>
      <c r="E5" s="76" t="s">
        <v>33</v>
      </c>
      <c r="F5" s="579" t="s">
        <v>33</v>
      </c>
      <c r="G5" s="201" t="s">
        <v>1</v>
      </c>
    </row>
    <row r="6" spans="1:7">
      <c r="A6" s="334">
        <v>85121010001</v>
      </c>
      <c r="B6" s="335"/>
      <c r="C6" s="336"/>
      <c r="D6" s="337"/>
      <c r="E6" s="335"/>
      <c r="F6" s="336"/>
      <c r="G6" s="338"/>
    </row>
    <row r="7" spans="1:7">
      <c r="A7" s="318" t="s">
        <v>62</v>
      </c>
      <c r="B7" s="339">
        <f>零件!F7</f>
        <v>88777</v>
      </c>
      <c r="C7" s="573">
        <v>76715</v>
      </c>
      <c r="D7" s="472">
        <f>(B7-C7)/C7</f>
        <v>0.15723131069543114</v>
      </c>
      <c r="E7" s="339">
        <f>零件!G7</f>
        <v>9409110</v>
      </c>
      <c r="F7" s="573">
        <v>8873877</v>
      </c>
      <c r="G7" s="472">
        <f>(E7-F7)/F7</f>
        <v>6.0315575706086526E-2</v>
      </c>
    </row>
    <row r="8" spans="1:7">
      <c r="A8" s="318" t="s">
        <v>63</v>
      </c>
      <c r="B8" s="339"/>
      <c r="C8" s="574"/>
      <c r="D8" s="340"/>
      <c r="E8" s="341"/>
      <c r="F8" s="573"/>
      <c r="G8" s="341"/>
    </row>
    <row r="9" spans="1:7">
      <c r="A9" s="320">
        <v>85121020009</v>
      </c>
      <c r="B9" s="342"/>
      <c r="C9" s="575"/>
      <c r="D9" s="343"/>
      <c r="E9" s="342"/>
      <c r="F9" s="580"/>
      <c r="G9" s="342"/>
    </row>
    <row r="10" spans="1:7">
      <c r="A10" s="318" t="s">
        <v>65</v>
      </c>
      <c r="B10" s="339">
        <f>零件!F10</f>
        <v>41330</v>
      </c>
      <c r="C10" s="573">
        <v>31639</v>
      </c>
      <c r="D10" s="473">
        <f>(B10-C10)/C10</f>
        <v>0.30629918771136888</v>
      </c>
      <c r="E10" s="339">
        <f>零件!G10</f>
        <v>6593645</v>
      </c>
      <c r="F10" s="573">
        <v>5550778</v>
      </c>
      <c r="G10" s="473">
        <f>(E10-F10)/F10</f>
        <v>0.18787762724432502</v>
      </c>
    </row>
    <row r="11" spans="1:7">
      <c r="A11" s="318" t="s">
        <v>66</v>
      </c>
      <c r="B11" s="339"/>
      <c r="C11" s="574"/>
      <c r="D11" s="344"/>
      <c r="E11" s="341"/>
      <c r="F11" s="573"/>
      <c r="G11" s="341"/>
    </row>
    <row r="12" spans="1:7">
      <c r="A12" s="321">
        <v>87149120007</v>
      </c>
      <c r="B12" s="342"/>
      <c r="C12" s="576"/>
      <c r="D12" s="345"/>
      <c r="E12" s="346"/>
      <c r="F12" s="581"/>
      <c r="G12" s="346"/>
    </row>
    <row r="13" spans="1:7">
      <c r="A13" s="318" t="s">
        <v>68</v>
      </c>
      <c r="B13" s="339">
        <f>零件!F13</f>
        <v>6577226</v>
      </c>
      <c r="C13" s="573">
        <v>9415985</v>
      </c>
      <c r="D13" s="472">
        <f>(B13-C13)/C13</f>
        <v>-0.30148295690785404</v>
      </c>
      <c r="E13" s="339">
        <f>零件!G13</f>
        <v>425890104</v>
      </c>
      <c r="F13" s="573">
        <f>VLOOKUP(A12,[17]進出口值表查詢結果!$A$3:$D$19,3,0)</f>
        <v>611803454</v>
      </c>
      <c r="G13" s="473">
        <f>(E13-F13)/F13</f>
        <v>-0.30387757503572382</v>
      </c>
    </row>
    <row r="14" spans="1:7">
      <c r="A14" s="318" t="s">
        <v>69</v>
      </c>
      <c r="B14" s="344"/>
      <c r="C14" s="574"/>
      <c r="D14" s="339"/>
      <c r="E14" s="341"/>
      <c r="F14" s="573"/>
      <c r="G14" s="341"/>
    </row>
    <row r="15" spans="1:7">
      <c r="A15" s="321">
        <v>87149200108</v>
      </c>
      <c r="B15" s="342"/>
      <c r="C15" s="576"/>
      <c r="D15" s="345"/>
      <c r="E15" s="346"/>
      <c r="F15" s="581"/>
      <c r="G15" s="346"/>
    </row>
    <row r="16" spans="1:7">
      <c r="A16" s="318" t="s">
        <v>70</v>
      </c>
      <c r="B16" s="339">
        <f>零件!F16</f>
        <v>959845</v>
      </c>
      <c r="C16" s="573">
        <v>1371095</v>
      </c>
      <c r="D16" s="473">
        <f>(B16-C16)/C16</f>
        <v>-0.29994274649094338</v>
      </c>
      <c r="E16" s="339">
        <f>零件!G16</f>
        <v>33808884</v>
      </c>
      <c r="F16" s="573">
        <f>VLOOKUP(A15,[17]進出口值表查詢結果!$A$3:$D$19,3,0)</f>
        <v>30412258</v>
      </c>
      <c r="G16" s="472">
        <f>(E16-F16)/F16</f>
        <v>0.11168608394680855</v>
      </c>
    </row>
    <row r="17" spans="1:7">
      <c r="A17" s="318"/>
      <c r="B17" s="339"/>
      <c r="C17" s="574"/>
      <c r="D17" s="339"/>
      <c r="E17" s="341"/>
      <c r="F17" s="573"/>
      <c r="G17" s="341"/>
    </row>
    <row r="18" spans="1:7">
      <c r="A18" s="321">
        <v>87149200206</v>
      </c>
      <c r="B18" s="342"/>
      <c r="C18" s="576"/>
      <c r="D18" s="345"/>
      <c r="E18" s="346"/>
      <c r="F18" s="581"/>
      <c r="G18" s="346"/>
    </row>
    <row r="19" spans="1:7">
      <c r="A19" s="318" t="s">
        <v>55</v>
      </c>
      <c r="B19" s="339">
        <f>零件!F19</f>
        <v>818875</v>
      </c>
      <c r="C19" s="573">
        <v>662058</v>
      </c>
      <c r="D19" s="473">
        <f>(B19-C19)/C19</f>
        <v>0.23686293345900208</v>
      </c>
      <c r="E19" s="339">
        <f>零件!G19</f>
        <v>12684047</v>
      </c>
      <c r="F19" s="573">
        <f>VLOOKUP(A18,[17]進出口值表查詢結果!$A$3:$D$19,3,0)</f>
        <v>8558109</v>
      </c>
      <c r="G19" s="473">
        <f>(E19-F19)/F19</f>
        <v>0.48210860600162958</v>
      </c>
    </row>
    <row r="20" spans="1:7">
      <c r="A20" s="318"/>
      <c r="B20" s="339"/>
      <c r="C20" s="574"/>
      <c r="D20" s="339"/>
      <c r="E20" s="341"/>
      <c r="F20" s="573"/>
      <c r="G20" s="341"/>
    </row>
    <row r="21" spans="1:7">
      <c r="A21" s="321">
        <v>87149200304</v>
      </c>
      <c r="B21" s="342"/>
      <c r="C21" s="576"/>
      <c r="D21" s="345"/>
      <c r="E21" s="346"/>
      <c r="F21" s="581"/>
      <c r="G21" s="346"/>
    </row>
    <row r="22" spans="1:7">
      <c r="A22" s="318" t="s">
        <v>56</v>
      </c>
      <c r="B22" s="339">
        <f>零件!F22</f>
        <v>498642</v>
      </c>
      <c r="C22" s="573">
        <v>588847</v>
      </c>
      <c r="D22" s="472">
        <f>(B22-C22)/C22</f>
        <v>-0.15318919855242533</v>
      </c>
      <c r="E22" s="339">
        <f>零件!G22</f>
        <v>60884591</v>
      </c>
      <c r="F22" s="573">
        <f>VLOOKUP(A21,[17]進出口值表查詢結果!$A$3:$D$19,3,0)</f>
        <v>70923080</v>
      </c>
      <c r="G22" s="473">
        <f>(E22-F22)/F22</f>
        <v>-0.14154051121299299</v>
      </c>
    </row>
    <row r="23" spans="1:7">
      <c r="A23" s="321">
        <v>87149310007</v>
      </c>
      <c r="B23" s="342"/>
      <c r="C23" s="576"/>
      <c r="D23" s="345"/>
      <c r="E23" s="346"/>
      <c r="F23" s="581"/>
      <c r="G23" s="346"/>
    </row>
    <row r="24" spans="1:7">
      <c r="A24" s="318" t="s">
        <v>71</v>
      </c>
      <c r="B24" s="339">
        <f>零件!F24</f>
        <v>571504</v>
      </c>
      <c r="C24" s="573">
        <v>778101</v>
      </c>
      <c r="D24" s="473">
        <f>(B24-C24)/C24</f>
        <v>-0.26551437409796413</v>
      </c>
      <c r="E24" s="339">
        <f>零件!G24</f>
        <v>37680730</v>
      </c>
      <c r="F24" s="573">
        <f>VLOOKUP(A23,[17]進出口值表查詢結果!$A$3:$D$19,3,0)</f>
        <v>41645195</v>
      </c>
      <c r="G24" s="473">
        <f>(E24-F24)/F24</f>
        <v>-9.5196216514294149E-2</v>
      </c>
    </row>
    <row r="25" spans="1:7">
      <c r="A25" s="318" t="s">
        <v>97</v>
      </c>
      <c r="B25" s="339"/>
      <c r="C25" s="574"/>
      <c r="D25" s="339"/>
      <c r="E25" s="341"/>
      <c r="F25" s="573"/>
      <c r="G25" s="341"/>
    </row>
    <row r="26" spans="1:7">
      <c r="A26" s="321">
        <v>87149320103</v>
      </c>
      <c r="B26" s="342"/>
      <c r="C26" s="576"/>
      <c r="D26" s="345"/>
      <c r="E26" s="346"/>
      <c r="F26" s="581"/>
      <c r="G26" s="346"/>
    </row>
    <row r="27" spans="1:7">
      <c r="A27" s="318" t="s">
        <v>406</v>
      </c>
      <c r="B27" s="339">
        <f>零件!F28</f>
        <v>16604</v>
      </c>
      <c r="C27" s="573">
        <v>18533</v>
      </c>
      <c r="D27" s="473">
        <f>(B27-C27)/C27</f>
        <v>-0.10408460583823451</v>
      </c>
      <c r="E27" s="339">
        <f>零件!G28</f>
        <v>563289</v>
      </c>
      <c r="F27" s="573">
        <f>VLOOKUP(A26,[17]進出口值表查詢結果!$A$3:$D$19,3,0)</f>
        <v>658265</v>
      </c>
      <c r="G27" s="473">
        <f>(E27-F27)/F27</f>
        <v>-0.14428231791147941</v>
      </c>
    </row>
    <row r="28" spans="1:7">
      <c r="A28" s="321">
        <v>87149410006</v>
      </c>
      <c r="B28" s="342"/>
      <c r="C28" s="576"/>
      <c r="D28" s="345"/>
      <c r="E28" s="346"/>
      <c r="F28" s="581"/>
      <c r="G28" s="346"/>
    </row>
    <row r="29" spans="1:7">
      <c r="A29" s="318" t="s">
        <v>74</v>
      </c>
      <c r="B29" s="339">
        <f>零件!F30</f>
        <v>63853</v>
      </c>
      <c r="C29" s="573">
        <v>156566</v>
      </c>
      <c r="D29" s="473">
        <f>(B29-C29)/C29</f>
        <v>-0.59216560428190024</v>
      </c>
      <c r="E29" s="339">
        <f>零件!G30</f>
        <v>1569305</v>
      </c>
      <c r="F29" s="573">
        <f>VLOOKUP(A28,[17]進出口值表查詢結果!$A$3:$D$19,3,0)</f>
        <v>4206155</v>
      </c>
      <c r="G29" s="472">
        <f>(E29-F29)/F29</f>
        <v>-0.62690271756509208</v>
      </c>
    </row>
    <row r="30" spans="1:7">
      <c r="A30" s="318" t="s">
        <v>75</v>
      </c>
      <c r="B30" s="339"/>
      <c r="C30" s="574"/>
      <c r="D30" s="339"/>
      <c r="E30" s="341"/>
      <c r="F30" s="573"/>
      <c r="G30" s="341"/>
    </row>
    <row r="31" spans="1:7">
      <c r="A31" s="321">
        <v>87149490009</v>
      </c>
      <c r="B31" s="342"/>
      <c r="C31" s="576"/>
      <c r="D31" s="345"/>
      <c r="E31" s="346"/>
      <c r="F31" s="581"/>
      <c r="G31" s="346"/>
    </row>
    <row r="32" spans="1:7">
      <c r="A32" s="318" t="s">
        <v>76</v>
      </c>
      <c r="B32" s="339">
        <f>零件!F33</f>
        <v>3030096</v>
      </c>
      <c r="C32" s="573">
        <v>3124502</v>
      </c>
      <c r="D32" s="472">
        <f>(B32-C32)/C32</f>
        <v>-3.0214735020172814E-2</v>
      </c>
      <c r="E32" s="339">
        <f>零件!G33</f>
        <v>134006795</v>
      </c>
      <c r="F32" s="573">
        <f>VLOOKUP(A31,[17]進出口值表查詢結果!$A$3:$D$19,3,0)</f>
        <v>161428445</v>
      </c>
      <c r="G32" s="473">
        <f>(E32-F32)/F32</f>
        <v>-0.16986876135739273</v>
      </c>
    </row>
    <row r="33" spans="1:7">
      <c r="A33" s="318" t="s">
        <v>77</v>
      </c>
      <c r="B33" s="339"/>
      <c r="C33" s="574"/>
      <c r="D33" s="339"/>
      <c r="E33" s="341"/>
      <c r="F33" s="573"/>
      <c r="G33" s="341"/>
    </row>
    <row r="34" spans="1:7">
      <c r="A34" s="321">
        <v>87149500007</v>
      </c>
      <c r="B34" s="345"/>
      <c r="C34" s="576"/>
      <c r="D34" s="345"/>
      <c r="E34" s="346"/>
      <c r="F34" s="581"/>
      <c r="G34" s="346"/>
    </row>
    <row r="35" spans="1:7">
      <c r="A35" s="318" t="s">
        <v>78</v>
      </c>
      <c r="B35" s="510">
        <f>零件!F36</f>
        <v>994572</v>
      </c>
      <c r="C35" s="573">
        <v>1126313</v>
      </c>
      <c r="D35" s="473">
        <f>(B35-C35)/C35</f>
        <v>-0.11696659809484575</v>
      </c>
      <c r="E35" s="510">
        <f>零件!G36</f>
        <v>21640118</v>
      </c>
      <c r="F35" s="573">
        <f>VLOOKUP(A34,[17]進出口值表查詢結果!$A$3:$D$19,3,0)</f>
        <v>28699039</v>
      </c>
      <c r="G35" s="473">
        <f>(E35-F35)/F35</f>
        <v>-0.24596367146649056</v>
      </c>
    </row>
    <row r="36" spans="1:7">
      <c r="A36" s="321">
        <v>87149610004</v>
      </c>
      <c r="B36" s="345"/>
      <c r="C36" s="576"/>
      <c r="D36" s="345"/>
      <c r="E36" s="346"/>
      <c r="F36" s="581"/>
      <c r="G36" s="346"/>
    </row>
    <row r="37" spans="1:7">
      <c r="A37" s="318" t="s">
        <v>79</v>
      </c>
      <c r="B37" s="339">
        <f>零件!F38</f>
        <v>1251074</v>
      </c>
      <c r="C37" s="573">
        <v>1586636</v>
      </c>
      <c r="D37" s="473">
        <f>(B37-C37)/C37</f>
        <v>-0.21149274313705224</v>
      </c>
      <c r="E37" s="339">
        <f>零件!G38</f>
        <v>30906794</v>
      </c>
      <c r="F37" s="573">
        <f>VLOOKUP(A36,[17]進出口值表查詢結果!$A$3:$D$19,3,0)</f>
        <v>39341917</v>
      </c>
      <c r="G37" s="473">
        <f>(E37-F37)/F37</f>
        <v>-0.21440549020526886</v>
      </c>
    </row>
    <row r="38" spans="1:7">
      <c r="A38" s="321">
        <v>87149620002</v>
      </c>
      <c r="B38" s="342"/>
      <c r="C38" s="576"/>
      <c r="D38" s="345"/>
      <c r="E38" s="346"/>
      <c r="F38" s="581"/>
      <c r="G38" s="346"/>
    </row>
    <row r="39" spans="1:7">
      <c r="A39" s="318" t="s">
        <v>80</v>
      </c>
      <c r="B39" s="339">
        <f>零件!F40</f>
        <v>1317811</v>
      </c>
      <c r="C39" s="573">
        <v>1536852</v>
      </c>
      <c r="D39" s="472">
        <f>(B39-C39)/C39</f>
        <v>-0.14252576045058341</v>
      </c>
      <c r="E39" s="339">
        <f>零件!G40</f>
        <v>68534848</v>
      </c>
      <c r="F39" s="573">
        <f>VLOOKUP(A38,[17]進出口值表查詢結果!$A$3:$D$19,3,0)</f>
        <v>81560270</v>
      </c>
      <c r="G39" s="472">
        <f>(E39-F39)/F39</f>
        <v>-0.15970302697624714</v>
      </c>
    </row>
    <row r="40" spans="1:7">
      <c r="A40" s="318" t="s">
        <v>75</v>
      </c>
      <c r="B40" s="339"/>
      <c r="C40" s="573"/>
      <c r="D40" s="339"/>
      <c r="E40" s="341"/>
      <c r="F40" s="573"/>
      <c r="G40" s="341"/>
    </row>
    <row r="41" spans="1:7">
      <c r="A41" s="321">
        <v>73151100209</v>
      </c>
      <c r="B41" s="342"/>
      <c r="C41" s="342"/>
      <c r="D41" s="345"/>
      <c r="E41" s="346"/>
      <c r="F41" s="346"/>
      <c r="G41" s="346"/>
    </row>
    <row r="42" spans="1:7">
      <c r="A42" s="318" t="s">
        <v>81</v>
      </c>
      <c r="B42" s="339">
        <f>零件!F43</f>
        <v>794602</v>
      </c>
      <c r="C42" s="573">
        <v>1063764</v>
      </c>
      <c r="D42" s="473">
        <f>(B42-C42)/C42</f>
        <v>-0.25302792724702095</v>
      </c>
      <c r="E42" s="339">
        <f>零件!G43</f>
        <v>19515573</v>
      </c>
      <c r="F42" s="573">
        <v>28211546</v>
      </c>
      <c r="G42" s="473">
        <f>(E42-F42)/F42</f>
        <v>-0.30824163269889571</v>
      </c>
    </row>
    <row r="43" spans="1:7">
      <c r="A43" s="318" t="s">
        <v>82</v>
      </c>
      <c r="B43" s="339"/>
      <c r="C43" s="574"/>
      <c r="D43" s="339"/>
      <c r="E43" s="341"/>
      <c r="F43" s="573"/>
      <c r="G43" s="341"/>
    </row>
    <row r="44" spans="1:7">
      <c r="A44" s="321">
        <v>87149990111</v>
      </c>
      <c r="B44" s="342"/>
      <c r="C44" s="576"/>
      <c r="D44" s="345"/>
      <c r="E44" s="346"/>
      <c r="F44" s="581"/>
      <c r="G44" s="346"/>
    </row>
    <row r="45" spans="1:7">
      <c r="A45" s="322" t="s">
        <v>83</v>
      </c>
      <c r="B45" s="339">
        <f>零件!F46</f>
        <v>531066</v>
      </c>
      <c r="C45" s="573">
        <v>790401</v>
      </c>
      <c r="D45" s="472">
        <f>(B45-C45)/C45</f>
        <v>-0.32810560715383708</v>
      </c>
      <c r="E45" s="339">
        <f>零件!G46</f>
        <v>65371820</v>
      </c>
      <c r="F45" s="573">
        <f>VLOOKUP(A44,[17]進出口值表查詢結果!$A$3:$D$19,3,0)</f>
        <v>89904280</v>
      </c>
      <c r="G45" s="472">
        <f>(E45-F45)/F45</f>
        <v>-0.27287310459524283</v>
      </c>
    </row>
    <row r="46" spans="1:7">
      <c r="A46" s="318" t="s">
        <v>84</v>
      </c>
      <c r="B46" s="339"/>
      <c r="C46" s="574"/>
      <c r="D46" s="339"/>
      <c r="E46" s="341"/>
      <c r="F46" s="573"/>
      <c r="G46" s="341"/>
    </row>
    <row r="47" spans="1:7">
      <c r="A47" s="321">
        <v>87149320906</v>
      </c>
      <c r="B47" s="342"/>
      <c r="C47" s="576"/>
      <c r="D47" s="345"/>
      <c r="E47" s="346"/>
      <c r="F47" s="581"/>
      <c r="G47" s="346"/>
    </row>
    <row r="48" spans="1:7">
      <c r="A48" s="318" t="s">
        <v>409</v>
      </c>
      <c r="B48" s="339">
        <f>零件!F49</f>
        <v>1226557</v>
      </c>
      <c r="C48" s="573">
        <v>1730651</v>
      </c>
      <c r="D48" s="473">
        <f>(B48-C48)/C48</f>
        <v>-0.29127420837592327</v>
      </c>
      <c r="E48" s="339">
        <f>零件!G49</f>
        <v>50666223</v>
      </c>
      <c r="F48" s="573">
        <f>VLOOKUP(A47,[17]進出口值表查詢結果!$A$3:$D$19,3,0)</f>
        <v>86752928</v>
      </c>
      <c r="G48" s="473">
        <f>(E48-F48)/F48</f>
        <v>-0.41597103212470249</v>
      </c>
    </row>
    <row r="49" spans="1:7">
      <c r="A49" s="321">
        <v>87149990139</v>
      </c>
      <c r="B49" s="342"/>
      <c r="C49" s="576"/>
      <c r="D49" s="345"/>
      <c r="E49" s="346"/>
      <c r="F49" s="581"/>
      <c r="G49" s="346"/>
    </row>
    <row r="50" spans="1:7">
      <c r="A50" s="318" t="s">
        <v>85</v>
      </c>
      <c r="B50" s="339">
        <f>零件!F51</f>
        <v>109291</v>
      </c>
      <c r="C50" s="573">
        <v>171058</v>
      </c>
      <c r="D50" s="473">
        <f>(B50-C50)/C50</f>
        <v>-0.36108805200575245</v>
      </c>
      <c r="E50" s="339">
        <f>零件!G51</f>
        <v>2079822</v>
      </c>
      <c r="F50" s="573">
        <f>VLOOKUP(A49,[17]進出口值表查詢結果!$A$3:$D$19,3,0)</f>
        <v>3242738</v>
      </c>
      <c r="G50" s="473">
        <f>(E50-F50)/F50</f>
        <v>-0.3586216339402073</v>
      </c>
    </row>
    <row r="51" spans="1:7">
      <c r="A51" s="321">
        <v>87149990148</v>
      </c>
      <c r="B51" s="342"/>
      <c r="C51" s="576"/>
      <c r="D51" s="345"/>
      <c r="E51" s="346"/>
      <c r="F51" s="581"/>
      <c r="G51" s="346"/>
    </row>
    <row r="52" spans="1:7">
      <c r="A52" s="323" t="s">
        <v>86</v>
      </c>
      <c r="B52" s="339">
        <f>零件!F53</f>
        <v>474893</v>
      </c>
      <c r="C52" s="573">
        <v>641282</v>
      </c>
      <c r="D52" s="473">
        <f>(B52-C52)/C52</f>
        <v>-0.25946307552683529</v>
      </c>
      <c r="E52" s="339">
        <f>零件!G53</f>
        <v>16849121</v>
      </c>
      <c r="F52" s="573">
        <f>VLOOKUP(A51,[17]進出口值表查詢結果!$A$3:$D$19,3,0)</f>
        <v>24760200</v>
      </c>
      <c r="G52" s="473">
        <f>(E52-F52)/F52</f>
        <v>-0.3195078795809404</v>
      </c>
    </row>
    <row r="53" spans="1:7">
      <c r="A53" s="318" t="s">
        <v>87</v>
      </c>
      <c r="B53" s="339"/>
      <c r="C53" s="574"/>
      <c r="D53" s="339"/>
      <c r="E53" s="341"/>
      <c r="F53" s="573"/>
      <c r="G53" s="341"/>
    </row>
    <row r="54" spans="1:7">
      <c r="A54" s="321">
        <v>87149990157</v>
      </c>
      <c r="B54" s="342"/>
      <c r="C54" s="576"/>
      <c r="D54" s="345"/>
      <c r="E54" s="346"/>
      <c r="F54" s="581"/>
      <c r="G54" s="346"/>
    </row>
    <row r="55" spans="1:7">
      <c r="A55" s="318" t="s">
        <v>88</v>
      </c>
      <c r="B55" s="339">
        <f>零件!F56</f>
        <v>974184</v>
      </c>
      <c r="C55" s="573">
        <v>1161489</v>
      </c>
      <c r="D55" s="473">
        <f>(B55-C55)/C55</f>
        <v>-0.16126282728463207</v>
      </c>
      <c r="E55" s="339">
        <f>零件!G56</f>
        <v>42048492</v>
      </c>
      <c r="F55" s="573">
        <f>VLOOKUP(A54,[17]進出口值表查詢結果!$A$3:$D$19,3,0)</f>
        <v>51527500</v>
      </c>
      <c r="G55" s="473">
        <f>(E55-F55)/F55</f>
        <v>-0.18396017660472563</v>
      </c>
    </row>
    <row r="56" spans="1:7">
      <c r="A56" s="318" t="s">
        <v>89</v>
      </c>
      <c r="B56" s="339"/>
      <c r="C56" s="574"/>
      <c r="D56" s="339"/>
      <c r="E56" s="341"/>
      <c r="F56" s="573"/>
      <c r="G56" s="341"/>
    </row>
    <row r="57" spans="1:7">
      <c r="A57" s="321">
        <v>87149990166</v>
      </c>
      <c r="B57" s="342"/>
      <c r="C57" s="576"/>
      <c r="D57" s="345"/>
      <c r="E57" s="346"/>
      <c r="F57" s="581"/>
      <c r="G57" s="346"/>
    </row>
    <row r="58" spans="1:7">
      <c r="A58" s="318" t="s">
        <v>86</v>
      </c>
      <c r="B58" s="339">
        <f>零件!F59</f>
        <v>1000917</v>
      </c>
      <c r="C58" s="573">
        <v>1268562</v>
      </c>
      <c r="D58" s="473">
        <f>(B58-C58)/C58</f>
        <v>-0.21098298703571444</v>
      </c>
      <c r="E58" s="339">
        <f>零件!G59</f>
        <v>35716898</v>
      </c>
      <c r="F58" s="573">
        <f>VLOOKUP(A57,[17]進出口值表查詢結果!$A$3:$D$19,3,0)</f>
        <v>43706262</v>
      </c>
      <c r="G58" s="473">
        <f>(E58-F58)/F58</f>
        <v>-0.18279678092809676</v>
      </c>
    </row>
    <row r="59" spans="1:7">
      <c r="A59" s="321">
        <v>40115000008</v>
      </c>
      <c r="B59" s="345"/>
      <c r="C59" s="347"/>
      <c r="D59" s="345"/>
      <c r="E59" s="346"/>
      <c r="F59" s="347"/>
      <c r="G59" s="346"/>
    </row>
    <row r="60" spans="1:7">
      <c r="A60" s="318" t="s">
        <v>90</v>
      </c>
      <c r="B60" s="339">
        <f>零件!F61</f>
        <v>3286551</v>
      </c>
      <c r="C60" s="573">
        <v>3695172</v>
      </c>
      <c r="D60" s="473">
        <f>(B60-C60)/C60</f>
        <v>-0.11058240320071705</v>
      </c>
      <c r="E60" s="339">
        <f>零件!G61</f>
        <v>56589905</v>
      </c>
      <c r="F60" s="573">
        <v>65461514</v>
      </c>
      <c r="G60" s="473">
        <f>(E60-F60)/F60</f>
        <v>-0.13552404241673971</v>
      </c>
    </row>
    <row r="61" spans="1:7">
      <c r="A61" s="318" t="s">
        <v>91</v>
      </c>
      <c r="B61" s="339"/>
      <c r="C61" s="573"/>
      <c r="D61" s="340"/>
      <c r="E61" s="341"/>
      <c r="F61" s="573"/>
      <c r="G61" s="341"/>
    </row>
    <row r="62" spans="1:7">
      <c r="A62" s="321">
        <v>40132000003</v>
      </c>
      <c r="B62" s="345"/>
      <c r="C62" s="347"/>
      <c r="D62" s="345"/>
      <c r="E62" s="346"/>
      <c r="F62" s="347"/>
      <c r="G62" s="346"/>
    </row>
    <row r="63" spans="1:7">
      <c r="A63" s="318" t="s">
        <v>92</v>
      </c>
      <c r="B63" s="339">
        <f>零件!F64</f>
        <v>402802</v>
      </c>
      <c r="C63" s="573">
        <v>499900</v>
      </c>
      <c r="D63" s="473">
        <f>(B63-C63)/C63</f>
        <v>-0.19423484696939389</v>
      </c>
      <c r="E63" s="339">
        <f>零件!G64</f>
        <v>4394108</v>
      </c>
      <c r="F63" s="573">
        <v>5100818</v>
      </c>
      <c r="G63" s="473">
        <f>(E63-F63)/F63</f>
        <v>-0.13854836616401525</v>
      </c>
    </row>
    <row r="64" spans="1:7">
      <c r="A64" s="318" t="s">
        <v>93</v>
      </c>
      <c r="B64" s="339"/>
      <c r="C64" s="574"/>
      <c r="D64" s="340"/>
      <c r="E64" s="341"/>
      <c r="F64" s="573"/>
      <c r="G64" s="341"/>
    </row>
    <row r="65" spans="1:7">
      <c r="A65" s="348" t="s">
        <v>94</v>
      </c>
      <c r="B65" s="349">
        <f>SUM(B6:B64)-B64-B61-B20-B17-B11-B8</f>
        <v>25031072</v>
      </c>
      <c r="C65" s="577">
        <v>31496121</v>
      </c>
      <c r="D65" s="471">
        <f>(B65-C65)/C65</f>
        <v>-0.20526492770331939</v>
      </c>
      <c r="E65" s="424">
        <f>SUM(E7:E64)</f>
        <v>1137404222</v>
      </c>
      <c r="F65" s="546">
        <f>SUM(F6:F64)</f>
        <v>1492328628</v>
      </c>
      <c r="G65" s="474">
        <f>(E65-F65)/F65</f>
        <v>-0.23783260559416139</v>
      </c>
    </row>
    <row r="66" spans="1:7">
      <c r="E66" s="5"/>
      <c r="F66" s="572"/>
    </row>
    <row r="67" spans="1:7">
      <c r="A67" s="54" t="s">
        <v>31</v>
      </c>
      <c r="F67" s="582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11" customWidth="1"/>
    <col min="3" max="3" width="14.5" customWidth="1"/>
    <col min="4" max="4" width="15.75" style="351" customWidth="1"/>
    <col min="5" max="5" width="16.75" style="311" customWidth="1"/>
    <col min="6" max="6" width="16.75" customWidth="1"/>
    <col min="7" max="7" width="14.875" style="35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8" customFormat="1" ht="21">
      <c r="A1" s="327" t="s">
        <v>516</v>
      </c>
      <c r="B1" s="328"/>
      <c r="C1" s="329"/>
      <c r="D1" s="330"/>
      <c r="E1" s="328"/>
      <c r="F1" s="329"/>
      <c r="G1" s="330"/>
    </row>
    <row r="2" spans="1:7" s="308" customFormat="1" ht="9.75" customHeight="1">
      <c r="B2" s="309"/>
      <c r="C2" s="331"/>
      <c r="D2" s="332"/>
      <c r="E2" s="309"/>
      <c r="F2" s="331"/>
      <c r="G2" s="332"/>
    </row>
    <row r="3" spans="1:7" s="308" customFormat="1" ht="9.75" customHeight="1">
      <c r="A3" s="310"/>
      <c r="B3" s="309"/>
      <c r="C3" s="331"/>
      <c r="D3" s="332"/>
      <c r="E3" s="309"/>
      <c r="F3" s="331"/>
      <c r="G3" s="332"/>
    </row>
    <row r="4" spans="1:7">
      <c r="A4" s="482" t="s">
        <v>95</v>
      </c>
      <c r="B4" s="483" t="s">
        <v>446</v>
      </c>
      <c r="C4" s="539" t="s">
        <v>515</v>
      </c>
      <c r="D4" s="485" t="s">
        <v>36</v>
      </c>
      <c r="E4" s="484" t="s">
        <v>446</v>
      </c>
      <c r="F4" s="539" t="s">
        <v>515</v>
      </c>
      <c r="G4" s="200" t="s">
        <v>36</v>
      </c>
    </row>
    <row r="5" spans="1:7" s="308" customFormat="1" ht="18" customHeight="1">
      <c r="A5" s="46"/>
      <c r="B5" s="76" t="s">
        <v>96</v>
      </c>
      <c r="C5" s="579" t="s">
        <v>96</v>
      </c>
      <c r="D5" s="201" t="s">
        <v>1</v>
      </c>
      <c r="E5" s="76" t="s">
        <v>33</v>
      </c>
      <c r="F5" s="579" t="s">
        <v>33</v>
      </c>
      <c r="G5" s="201" t="s">
        <v>1</v>
      </c>
    </row>
    <row r="6" spans="1:7">
      <c r="A6" s="334">
        <v>85121010001</v>
      </c>
      <c r="B6" s="335"/>
      <c r="C6" s="336"/>
      <c r="D6" s="337"/>
      <c r="E6" s="335"/>
      <c r="F6" s="336"/>
      <c r="G6" s="338"/>
    </row>
    <row r="7" spans="1:7">
      <c r="A7" s="318" t="s">
        <v>62</v>
      </c>
      <c r="B7" s="339">
        <f>零件!L7</f>
        <v>33960</v>
      </c>
      <c r="C7" s="573">
        <v>35713</v>
      </c>
      <c r="D7" s="472">
        <f>(B7-C7)/C7</f>
        <v>-4.9085767087615154E-2</v>
      </c>
      <c r="E7" s="339">
        <f>零件!M7</f>
        <v>1840595</v>
      </c>
      <c r="F7" s="573">
        <v>2443689</v>
      </c>
      <c r="G7" s="472">
        <f>(E7-F7)/F7</f>
        <v>-0.24679654407741738</v>
      </c>
    </row>
    <row r="8" spans="1:7">
      <c r="A8" s="318" t="s">
        <v>63</v>
      </c>
      <c r="B8" s="339"/>
      <c r="C8" s="573"/>
      <c r="D8" s="340"/>
      <c r="E8" s="341"/>
      <c r="F8" s="573"/>
      <c r="G8" s="341"/>
    </row>
    <row r="9" spans="1:7">
      <c r="A9" s="320">
        <v>85121020009</v>
      </c>
      <c r="B9" s="342"/>
      <c r="C9" s="342"/>
      <c r="D9" s="343"/>
      <c r="E9" s="342"/>
      <c r="F9" s="342"/>
      <c r="G9" s="342"/>
    </row>
    <row r="10" spans="1:7">
      <c r="A10" s="318" t="s">
        <v>65</v>
      </c>
      <c r="B10" s="339">
        <f>零件!L10</f>
        <v>22947</v>
      </c>
      <c r="C10" s="573">
        <v>18632</v>
      </c>
      <c r="D10" s="472">
        <f>(B10-C10)/C10</f>
        <v>0.23159081150708458</v>
      </c>
      <c r="E10" s="339">
        <f>零件!M10</f>
        <v>1444710</v>
      </c>
      <c r="F10" s="573">
        <v>1610080</v>
      </c>
      <c r="G10" s="473">
        <f>(E10-F10)/F10</f>
        <v>-0.10270918215243963</v>
      </c>
    </row>
    <row r="11" spans="1:7">
      <c r="A11" s="318" t="s">
        <v>66</v>
      </c>
      <c r="B11" s="339"/>
      <c r="C11" s="574"/>
      <c r="D11" s="344"/>
      <c r="E11" s="341"/>
      <c r="F11" s="573"/>
      <c r="G11" s="341"/>
    </row>
    <row r="12" spans="1:7">
      <c r="A12" s="321">
        <v>87149120007</v>
      </c>
      <c r="B12" s="342"/>
      <c r="C12" s="576"/>
      <c r="D12" s="345"/>
      <c r="E12" s="346"/>
      <c r="F12" s="581"/>
      <c r="G12" s="346"/>
    </row>
    <row r="13" spans="1:7">
      <c r="A13" s="318" t="s">
        <v>68</v>
      </c>
      <c r="B13" s="339">
        <f>零件!L13</f>
        <v>3370590</v>
      </c>
      <c r="C13" s="573">
        <f>VLOOKUP(A12,[18]進出口值表查詢結果!$A$3:$D$19,4,0)</f>
        <v>5022868</v>
      </c>
      <c r="D13" s="472">
        <f>(B13-C13)/C13</f>
        <v>-0.32895110920693116</v>
      </c>
      <c r="E13" s="339">
        <f>零件!M13</f>
        <v>255161956</v>
      </c>
      <c r="F13" s="573">
        <f>VLOOKUP(A12,[18]進出口值表查詢結果!$A$3:$D$19,3,0)</f>
        <v>332811775</v>
      </c>
      <c r="G13" s="472">
        <f>(E13-F13)/F13</f>
        <v>-0.23331451839406825</v>
      </c>
    </row>
    <row r="14" spans="1:7">
      <c r="A14" s="318" t="s">
        <v>69</v>
      </c>
      <c r="B14" s="344"/>
      <c r="C14" s="583"/>
      <c r="D14" s="339"/>
      <c r="E14" s="341"/>
      <c r="F14" s="573"/>
      <c r="G14" s="341"/>
    </row>
    <row r="15" spans="1:7">
      <c r="A15" s="321">
        <v>87149200108</v>
      </c>
      <c r="B15" s="342"/>
      <c r="C15" s="576"/>
      <c r="D15" s="345"/>
      <c r="E15" s="346"/>
      <c r="F15" s="581"/>
      <c r="G15" s="346"/>
    </row>
    <row r="16" spans="1:7">
      <c r="A16" s="318" t="s">
        <v>70</v>
      </c>
      <c r="B16" s="339">
        <f>零件!L16</f>
        <v>519309</v>
      </c>
      <c r="C16" s="573">
        <f>VLOOKUP(A15,[18]進出口值表查詢結果!$A$3:$D$19,4,0)</f>
        <v>729320</v>
      </c>
      <c r="D16" s="472">
        <f>(B16-C16)/C16</f>
        <v>-0.28795453298963419</v>
      </c>
      <c r="E16" s="339">
        <f>零件!M16</f>
        <v>53675855</v>
      </c>
      <c r="F16" s="573">
        <f>VLOOKUP(A15,[18]進出口值表查詢結果!$A$3:$D$19,3,0)</f>
        <v>51161289</v>
      </c>
      <c r="G16" s="472">
        <f>(E16-F16)/F16</f>
        <v>4.9149778067554162E-2</v>
      </c>
    </row>
    <row r="17" spans="1:7">
      <c r="A17" s="318"/>
      <c r="B17" s="339"/>
      <c r="C17" s="574"/>
      <c r="D17" s="339"/>
      <c r="E17" s="341"/>
      <c r="F17" s="573"/>
      <c r="G17" s="341"/>
    </row>
    <row r="18" spans="1:7">
      <c r="A18" s="321">
        <v>87149200206</v>
      </c>
      <c r="B18" s="342"/>
      <c r="C18" s="576"/>
      <c r="D18" s="345"/>
      <c r="E18" s="346"/>
      <c r="F18" s="581"/>
      <c r="G18" s="346"/>
    </row>
    <row r="19" spans="1:7">
      <c r="A19" s="318" t="s">
        <v>55</v>
      </c>
      <c r="B19" s="339">
        <f>零件!L19</f>
        <v>106769</v>
      </c>
      <c r="C19" s="573">
        <f>VLOOKUP(A18,[18]進出口值表查詢結果!$A$3:$D$19,4,0)</f>
        <v>84767</v>
      </c>
      <c r="D19" s="472">
        <f>(B19-C19)/C19</f>
        <v>0.25955855462621069</v>
      </c>
      <c r="E19" s="339">
        <f>零件!M19</f>
        <v>9650682</v>
      </c>
      <c r="F19" s="573">
        <f>VLOOKUP(A18,[18]進出口值表查詢結果!$A$3:$D$19,3,0)</f>
        <v>6909500</v>
      </c>
      <c r="G19" s="473">
        <f>(E19-F19)/F19</f>
        <v>0.3967265359287937</v>
      </c>
    </row>
    <row r="20" spans="1:7">
      <c r="A20" s="318"/>
      <c r="B20" s="339"/>
      <c r="C20" s="574"/>
      <c r="D20" s="339"/>
      <c r="E20" s="341"/>
      <c r="F20" s="573"/>
      <c r="G20" s="341"/>
    </row>
    <row r="21" spans="1:7">
      <c r="A21" s="321">
        <v>87149200304</v>
      </c>
      <c r="B21" s="342"/>
      <c r="C21" s="576"/>
      <c r="D21" s="345"/>
      <c r="E21" s="346"/>
      <c r="F21" s="581"/>
      <c r="G21" s="346"/>
    </row>
    <row r="22" spans="1:7">
      <c r="A22" s="318" t="s">
        <v>56</v>
      </c>
      <c r="B22" s="339">
        <f>零件!L22</f>
        <v>135159</v>
      </c>
      <c r="C22" s="573">
        <f>VLOOKUP(A21,[18]進出口值表查詢結果!$A$3:$D$19,4,0)</f>
        <v>180082</v>
      </c>
      <c r="D22" s="473">
        <f>(B22-C22)/C22</f>
        <v>-0.24945857998023122</v>
      </c>
      <c r="E22" s="339">
        <f>零件!M22</f>
        <v>4240535</v>
      </c>
      <c r="F22" s="573">
        <f>VLOOKUP(A21,[18]進出口值表查詢結果!$A$3:$D$19,3,0)</f>
        <v>7216139</v>
      </c>
      <c r="G22" s="472">
        <f>(E22-F22)/F22</f>
        <v>-0.41235403032009221</v>
      </c>
    </row>
    <row r="23" spans="1:7">
      <c r="A23" s="321">
        <v>87149310007</v>
      </c>
      <c r="B23" s="342"/>
      <c r="C23" s="576"/>
      <c r="D23" s="345"/>
      <c r="E23" s="346"/>
      <c r="F23" s="581"/>
      <c r="G23" s="346"/>
    </row>
    <row r="24" spans="1:7">
      <c r="A24" s="318" t="s">
        <v>71</v>
      </c>
      <c r="B24" s="339">
        <f>零件!L24</f>
        <v>600997</v>
      </c>
      <c r="C24" s="573">
        <f>VLOOKUP(A23,[18]進出口值表查詢結果!$A$3:$D$19,4,0)</f>
        <v>919051</v>
      </c>
      <c r="D24" s="473">
        <f>(B24-C24)/C24</f>
        <v>-0.34606784607165436</v>
      </c>
      <c r="E24" s="339">
        <f>零件!M24</f>
        <v>24456370</v>
      </c>
      <c r="F24" s="573">
        <f>VLOOKUP(A23,[18]進出口值表查詢結果!$A$3:$D$19,3,0)</f>
        <v>34937504</v>
      </c>
      <c r="G24" s="473">
        <f>(E24-F24)/F24</f>
        <v>-0.29999664543866672</v>
      </c>
    </row>
    <row r="25" spans="1:7">
      <c r="A25" s="318" t="s">
        <v>97</v>
      </c>
      <c r="B25" s="339"/>
      <c r="C25" s="574"/>
      <c r="D25" s="339"/>
      <c r="E25" s="341"/>
      <c r="F25" s="573"/>
      <c r="G25" s="341"/>
    </row>
    <row r="26" spans="1:7">
      <c r="A26" s="321">
        <v>87149320103</v>
      </c>
      <c r="B26" s="342"/>
      <c r="C26" s="576"/>
      <c r="D26" s="345"/>
      <c r="E26" s="346"/>
      <c r="F26" s="581"/>
      <c r="G26" s="346"/>
    </row>
    <row r="27" spans="1:7" ht="33.75" customHeight="1">
      <c r="A27" s="512" t="s">
        <v>406</v>
      </c>
      <c r="B27" s="339">
        <f>零件!L28</f>
        <v>9496</v>
      </c>
      <c r="C27" s="573">
        <f>VLOOKUP(A26,[18]進出口值表查詢結果!$A$3:$D$19,4,0)</f>
        <v>79270</v>
      </c>
      <c r="D27" s="473">
        <f>(B27-C27)/C27</f>
        <v>-0.88020688785164625</v>
      </c>
      <c r="E27" s="339">
        <f>零件!M28</f>
        <v>408964</v>
      </c>
      <c r="F27" s="573">
        <f>VLOOKUP(A26,[18]進出口值表查詢結果!$A$3:$D$19,3,0)</f>
        <v>4200672</v>
      </c>
      <c r="G27" s="473">
        <f>(E27-F27)/F27</f>
        <v>-0.90264319613623722</v>
      </c>
    </row>
    <row r="28" spans="1:7">
      <c r="A28" s="321">
        <v>87149410006</v>
      </c>
      <c r="B28" s="342"/>
      <c r="C28" s="576"/>
      <c r="D28" s="345"/>
      <c r="E28" s="346"/>
      <c r="F28" s="581"/>
      <c r="G28" s="346"/>
    </row>
    <row r="29" spans="1:7">
      <c r="A29" s="318" t="s">
        <v>74</v>
      </c>
      <c r="B29" s="339">
        <f>零件!L30</f>
        <v>21580</v>
      </c>
      <c r="C29" s="573">
        <f>VLOOKUP(A28,[18]進出口值表查詢結果!$A$3:$D$19,4,0)</f>
        <v>53097</v>
      </c>
      <c r="D29" s="472">
        <f>(B29-C29)/C29</f>
        <v>-0.59357402489782851</v>
      </c>
      <c r="E29" s="339">
        <f>零件!M30</f>
        <v>524082</v>
      </c>
      <c r="F29" s="573">
        <f>VLOOKUP(A28,[18]進出口值表查詢結果!$A$3:$D$19,3,0)</f>
        <v>2975727</v>
      </c>
      <c r="G29" s="472">
        <f>(E29-F29)/F29</f>
        <v>-0.82388102134369179</v>
      </c>
    </row>
    <row r="30" spans="1:7">
      <c r="A30" s="318" t="s">
        <v>75</v>
      </c>
      <c r="B30" s="339"/>
      <c r="C30" s="574"/>
      <c r="D30" s="339"/>
      <c r="E30" s="341"/>
      <c r="F30" s="573"/>
      <c r="G30" s="341"/>
    </row>
    <row r="31" spans="1:7">
      <c r="A31" s="321">
        <v>87149490009</v>
      </c>
      <c r="B31" s="342"/>
      <c r="C31" s="576"/>
      <c r="D31" s="345"/>
      <c r="E31" s="346"/>
      <c r="F31" s="581"/>
      <c r="G31" s="346"/>
    </row>
    <row r="32" spans="1:7">
      <c r="A32" s="318" t="s">
        <v>76</v>
      </c>
      <c r="B32" s="339">
        <f>零件!L33</f>
        <v>1184641</v>
      </c>
      <c r="C32" s="573">
        <f>VLOOKUP(A31,[18]進出口值表查詢結果!$A$3:$D$19,4,0)</f>
        <v>1255477</v>
      </c>
      <c r="D32" s="472">
        <f>(B32-C32)/C32</f>
        <v>-5.6421583191089919E-2</v>
      </c>
      <c r="E32" s="339">
        <f>零件!M33</f>
        <v>74404094</v>
      </c>
      <c r="F32" s="573">
        <f>VLOOKUP(A31,[18]進出口值表查詢結果!$A$3:$D$19,3,0)</f>
        <v>95845718</v>
      </c>
      <c r="G32" s="472">
        <f>(E32-F32)/F32</f>
        <v>-0.22370977491138413</v>
      </c>
    </row>
    <row r="33" spans="1:7">
      <c r="A33" s="318" t="s">
        <v>77</v>
      </c>
      <c r="B33" s="339"/>
      <c r="C33" s="574"/>
      <c r="D33" s="339"/>
      <c r="E33" s="341"/>
      <c r="F33" s="573"/>
      <c r="G33" s="341"/>
    </row>
    <row r="34" spans="1:7">
      <c r="A34" s="321">
        <v>87149500007</v>
      </c>
      <c r="B34" s="345"/>
      <c r="C34" s="576"/>
      <c r="D34" s="345"/>
      <c r="E34" s="346"/>
      <c r="F34" s="581"/>
      <c r="G34" s="346"/>
    </row>
    <row r="35" spans="1:7">
      <c r="A35" s="318" t="s">
        <v>78</v>
      </c>
      <c r="B35" s="339">
        <f>零件!L36</f>
        <v>459741</v>
      </c>
      <c r="C35" s="573">
        <f>VLOOKUP(A34,[18]進出口值表查詢結果!$A$3:$D$19,4,0)</f>
        <v>538968</v>
      </c>
      <c r="D35" s="472">
        <f>(B35-C35)/C35</f>
        <v>-0.14699759540455093</v>
      </c>
      <c r="E35" s="339">
        <f>零件!M36</f>
        <v>8484709</v>
      </c>
      <c r="F35" s="573">
        <f>VLOOKUP(A34,[18]進出口值表查詢結果!$A$3:$D$19,3,0)</f>
        <v>9089870</v>
      </c>
      <c r="G35" s="472">
        <f>(E35-F35)/F35</f>
        <v>-6.6575319559025598E-2</v>
      </c>
    </row>
    <row r="36" spans="1:7">
      <c r="A36" s="321">
        <v>87149610004</v>
      </c>
      <c r="B36" s="345"/>
      <c r="C36" s="576"/>
      <c r="D36" s="345"/>
      <c r="E36" s="346"/>
      <c r="F36" s="581"/>
      <c r="G36" s="346"/>
    </row>
    <row r="37" spans="1:7">
      <c r="A37" s="318" t="s">
        <v>79</v>
      </c>
      <c r="B37" s="339">
        <f>零件!L38</f>
        <v>193999</v>
      </c>
      <c r="C37" s="573">
        <f>VLOOKUP(A36,[18]進出口值表查詢結果!$A$3:$D$19,4,0)</f>
        <v>205642</v>
      </c>
      <c r="D37" s="473">
        <f>(B37-C37)/C37</f>
        <v>-5.6617811536553819E-2</v>
      </c>
      <c r="E37" s="339">
        <f>零件!M38</f>
        <v>3315306</v>
      </c>
      <c r="F37" s="573">
        <f>VLOOKUP(A36,[18]進出口值表查詢結果!$A$3:$D$19,3,0)</f>
        <v>3760639</v>
      </c>
      <c r="G37" s="473">
        <f>(E37-F37)/F37</f>
        <v>-0.11841950264303487</v>
      </c>
    </row>
    <row r="38" spans="1:7">
      <c r="A38" s="321">
        <v>87149620002</v>
      </c>
      <c r="B38" s="342"/>
      <c r="C38" s="576"/>
      <c r="D38" s="345"/>
      <c r="E38" s="346"/>
      <c r="F38" s="581"/>
      <c r="G38" s="346"/>
    </row>
    <row r="39" spans="1:7">
      <c r="A39" s="318" t="s">
        <v>80</v>
      </c>
      <c r="B39" s="339">
        <f>零件!L40</f>
        <v>902905</v>
      </c>
      <c r="C39" s="573">
        <f>VLOOKUP(A38,[18]進出口值表查詢結果!$A$3:$D$19,4,0)</f>
        <v>1036323</v>
      </c>
      <c r="D39" s="473">
        <f>(B39-C39)/C39</f>
        <v>-0.12874171469705872</v>
      </c>
      <c r="E39" s="339">
        <f>零件!M40</f>
        <v>27599626</v>
      </c>
      <c r="F39" s="573">
        <f>VLOOKUP(A38,[18]進出口值表查詢結果!$A$3:$D$19,3,0)</f>
        <v>33734176</v>
      </c>
      <c r="G39" s="473">
        <f>(E39-F39)/F39</f>
        <v>-0.18184970636306635</v>
      </c>
    </row>
    <row r="40" spans="1:7">
      <c r="A40" s="318" t="s">
        <v>75</v>
      </c>
      <c r="B40" s="339"/>
      <c r="C40" s="573"/>
      <c r="D40" s="339"/>
      <c r="E40" s="341"/>
      <c r="F40" s="573"/>
      <c r="G40" s="341"/>
    </row>
    <row r="41" spans="1:7">
      <c r="A41" s="321">
        <v>73151100209</v>
      </c>
      <c r="B41" s="342"/>
      <c r="C41" s="345"/>
      <c r="D41" s="345"/>
      <c r="E41" s="346"/>
      <c r="F41" s="345"/>
      <c r="G41" s="346"/>
    </row>
    <row r="42" spans="1:7">
      <c r="A42" s="318" t="s">
        <v>81</v>
      </c>
      <c r="B42" s="339">
        <f>零件!L43</f>
        <v>746708</v>
      </c>
      <c r="C42" s="573">
        <v>656011</v>
      </c>
      <c r="D42" s="473">
        <f>(B42-C42)/C42</f>
        <v>0.138255303645823</v>
      </c>
      <c r="E42" s="339">
        <f>零件!M43</f>
        <v>7894714</v>
      </c>
      <c r="F42" s="573">
        <v>8728615</v>
      </c>
      <c r="G42" s="473">
        <f>(E42-F42)/F42</f>
        <v>-9.5536462543026585E-2</v>
      </c>
    </row>
    <row r="43" spans="1:7">
      <c r="A43" s="318" t="s">
        <v>82</v>
      </c>
      <c r="B43" s="339"/>
      <c r="C43" s="574"/>
      <c r="D43" s="339"/>
      <c r="E43" s="341"/>
      <c r="F43" s="573"/>
      <c r="G43" s="341"/>
    </row>
    <row r="44" spans="1:7">
      <c r="A44" s="321">
        <v>87149990111</v>
      </c>
      <c r="B44" s="342"/>
      <c r="C44" s="576"/>
      <c r="D44" s="345"/>
      <c r="E44" s="346"/>
      <c r="F44" s="581"/>
      <c r="G44" s="346"/>
    </row>
    <row r="45" spans="1:7">
      <c r="A45" s="322" t="s">
        <v>83</v>
      </c>
      <c r="B45" s="339">
        <f>零件!L46</f>
        <v>284214</v>
      </c>
      <c r="C45" s="573">
        <f>VLOOKUP(A44,[18]進出口值表查詢結果!$A$3:$D$19,4,0)</f>
        <v>496837</v>
      </c>
      <c r="D45" s="472">
        <f>(B45-C45)/C45</f>
        <v>-0.42795323214655911</v>
      </c>
      <c r="E45" s="339">
        <f>零件!M46</f>
        <v>23858703</v>
      </c>
      <c r="F45" s="573">
        <f>VLOOKUP(A44,[18]進出口值表查詢結果!$A$3:$D$19,3,0)</f>
        <v>50017564</v>
      </c>
      <c r="G45" s="472">
        <f>(E45-F45)/F45</f>
        <v>-0.5229935028423216</v>
      </c>
    </row>
    <row r="46" spans="1:7">
      <c r="A46" s="318" t="s">
        <v>84</v>
      </c>
      <c r="B46" s="339"/>
      <c r="C46" s="574"/>
      <c r="D46" s="339"/>
      <c r="E46" s="341"/>
      <c r="F46" s="573"/>
      <c r="G46" s="341"/>
    </row>
    <row r="47" spans="1:7">
      <c r="A47" s="321">
        <v>87149320906</v>
      </c>
      <c r="B47" s="342"/>
      <c r="C47" s="576"/>
      <c r="D47" s="345"/>
      <c r="E47" s="346"/>
      <c r="F47" s="581"/>
      <c r="G47" s="346"/>
    </row>
    <row r="48" spans="1:7">
      <c r="A48" s="318" t="s">
        <v>408</v>
      </c>
      <c r="B48" s="339">
        <f>零件!L49</f>
        <v>325727</v>
      </c>
      <c r="C48" s="573">
        <f>VLOOKUP(A47,[18]進出口值表查詢結果!$A$3:$D$19,4,0)</f>
        <v>398920</v>
      </c>
      <c r="D48" s="472">
        <f>(B48-C48)/C48</f>
        <v>-0.18347789030382031</v>
      </c>
      <c r="E48" s="339">
        <f>零件!M49</f>
        <v>12506859</v>
      </c>
      <c r="F48" s="573">
        <f>VLOOKUP(A47,[18]進出口值表查詢結果!$A$3:$D$19,3,0)</f>
        <v>15532051</v>
      </c>
      <c r="G48" s="472">
        <f>(E48-F48)/F48</f>
        <v>-0.19477092883612088</v>
      </c>
    </row>
    <row r="49" spans="1:7">
      <c r="A49" s="321">
        <v>87149990139</v>
      </c>
      <c r="B49" s="342"/>
      <c r="C49" s="576"/>
      <c r="D49" s="345"/>
      <c r="E49" s="346"/>
      <c r="F49" s="581"/>
      <c r="G49" s="346"/>
    </row>
    <row r="50" spans="1:7">
      <c r="A50" s="318" t="s">
        <v>85</v>
      </c>
      <c r="B50" s="339">
        <f>零件!L51</f>
        <v>68990</v>
      </c>
      <c r="C50" s="573">
        <f>VLOOKUP(A49,[18]進出口值表查詢結果!$A$3:$D$19,4,0)</f>
        <v>89672</v>
      </c>
      <c r="D50" s="473">
        <f>(B50-C50)/C50</f>
        <v>-0.23064055669551253</v>
      </c>
      <c r="E50" s="339">
        <f>零件!M51</f>
        <v>807250</v>
      </c>
      <c r="F50" s="573">
        <f>VLOOKUP(A49,[18]進出口值表查詢結果!$A$3:$D$19,3,0)</f>
        <v>1220089</v>
      </c>
      <c r="G50" s="473">
        <f>(E50-F50)/F50</f>
        <v>-0.33836793873233839</v>
      </c>
    </row>
    <row r="51" spans="1:7">
      <c r="A51" s="321">
        <v>87149990148</v>
      </c>
      <c r="B51" s="342"/>
      <c r="C51" s="576"/>
      <c r="D51" s="345"/>
      <c r="E51" s="346"/>
      <c r="F51" s="581"/>
      <c r="G51" s="346"/>
    </row>
    <row r="52" spans="1:7">
      <c r="A52" s="323" t="s">
        <v>86</v>
      </c>
      <c r="B52" s="339">
        <f>零件!L53</f>
        <v>126909</v>
      </c>
      <c r="C52" s="573">
        <f>VLOOKUP(A51,[18]進出口值表查詢結果!$A$3:$D$19,4,0)</f>
        <v>129604</v>
      </c>
      <c r="D52" s="472">
        <f>(B52-C52)/C52</f>
        <v>-2.0794111292861333E-2</v>
      </c>
      <c r="E52" s="339">
        <f>零件!M53</f>
        <v>4006217</v>
      </c>
      <c r="F52" s="573">
        <f>VLOOKUP(A51,[18]進出口值表查詢結果!$A$3:$D$19,3,0)</f>
        <v>3886960</v>
      </c>
      <c r="G52" s="472">
        <f>(E52-F52)/F52</f>
        <v>3.0681303640891597E-2</v>
      </c>
    </row>
    <row r="53" spans="1:7">
      <c r="A53" s="318" t="s">
        <v>87</v>
      </c>
      <c r="B53" s="339"/>
      <c r="C53" s="574"/>
      <c r="D53" s="339"/>
      <c r="E53" s="341"/>
      <c r="F53" s="573"/>
      <c r="G53" s="341"/>
    </row>
    <row r="54" spans="1:7">
      <c r="A54" s="321">
        <v>87149990157</v>
      </c>
      <c r="B54" s="342"/>
      <c r="C54" s="576"/>
      <c r="D54" s="345"/>
      <c r="E54" s="346"/>
      <c r="F54" s="581"/>
      <c r="G54" s="346"/>
    </row>
    <row r="55" spans="1:7">
      <c r="A55" s="318" t="s">
        <v>88</v>
      </c>
      <c r="B55" s="339">
        <f>零件!L56</f>
        <v>270988</v>
      </c>
      <c r="C55" s="573">
        <f>VLOOKUP(A54,[18]進出口值表查詢結果!$A$3:$D$19,4,0)</f>
        <v>308462</v>
      </c>
      <c r="D55" s="473">
        <f>(B55-C55)/C55</f>
        <v>-0.12148660126693077</v>
      </c>
      <c r="E55" s="339">
        <f>零件!M56</f>
        <v>12091894</v>
      </c>
      <c r="F55" s="573">
        <f>VLOOKUP(A54,[18]進出口值表查詢結果!$A$3:$D$19,3,0)</f>
        <v>11854066</v>
      </c>
      <c r="G55" s="473">
        <f>(E55-F55)/F55</f>
        <v>2.0062989357406986E-2</v>
      </c>
    </row>
    <row r="56" spans="1:7">
      <c r="A56" s="318" t="s">
        <v>89</v>
      </c>
      <c r="B56" s="339"/>
      <c r="C56" s="574"/>
      <c r="D56" s="339"/>
      <c r="E56" s="341"/>
      <c r="F56" s="573"/>
      <c r="G56" s="341"/>
    </row>
    <row r="57" spans="1:7">
      <c r="A57" s="321">
        <v>87149990166</v>
      </c>
      <c r="B57" s="342"/>
      <c r="C57" s="576"/>
      <c r="D57" s="345"/>
      <c r="E57" s="346"/>
      <c r="F57" s="581"/>
      <c r="G57" s="346"/>
    </row>
    <row r="58" spans="1:7">
      <c r="A58" s="318" t="s">
        <v>86</v>
      </c>
      <c r="B58" s="339">
        <f>零件!L59</f>
        <v>313281</v>
      </c>
      <c r="C58" s="573">
        <f>VLOOKUP(A57,[18]進出口值表查詢結果!$A$3:$D$19,4,0)</f>
        <v>342143</v>
      </c>
      <c r="D58" s="472">
        <f>(B58-C58)/C58</f>
        <v>-8.4356540978479763E-2</v>
      </c>
      <c r="E58" s="339">
        <f>零件!M59</f>
        <v>22844495</v>
      </c>
      <c r="F58" s="573">
        <f>VLOOKUP(A57,[19]進出口值表查詢結果!$A$3:$D$19,3,0)</f>
        <v>17306239</v>
      </c>
      <c r="G58" s="472">
        <f>(E58-F58)/F58</f>
        <v>0.32001499574806519</v>
      </c>
    </row>
    <row r="59" spans="1:7">
      <c r="A59" s="321">
        <v>40115000008</v>
      </c>
      <c r="B59" s="345"/>
      <c r="C59" s="345"/>
      <c r="D59" s="347"/>
      <c r="E59" s="346"/>
      <c r="F59" s="345"/>
      <c r="G59" s="346"/>
    </row>
    <row r="60" spans="1:7">
      <c r="A60" s="318" t="s">
        <v>90</v>
      </c>
      <c r="B60" s="339">
        <f>零件!L61</f>
        <v>1279914</v>
      </c>
      <c r="C60" s="573">
        <v>1702334</v>
      </c>
      <c r="D60" s="472">
        <f>(B60-C60)/C60</f>
        <v>-0.2481416690261723</v>
      </c>
      <c r="E60" s="339">
        <f>零件!M61</f>
        <v>15610281</v>
      </c>
      <c r="F60" s="573">
        <v>19157287</v>
      </c>
      <c r="G60" s="472">
        <f>(E60-F60)/F60</f>
        <v>-0.18515179106519625</v>
      </c>
    </row>
    <row r="61" spans="1:7">
      <c r="A61" s="318" t="s">
        <v>91</v>
      </c>
      <c r="B61" s="339"/>
      <c r="C61" s="573"/>
      <c r="D61" s="340"/>
      <c r="E61" s="341"/>
      <c r="F61" s="573"/>
      <c r="G61" s="475"/>
    </row>
    <row r="62" spans="1:7">
      <c r="A62" s="321">
        <v>40132000003</v>
      </c>
      <c r="B62" s="345"/>
      <c r="C62" s="345"/>
      <c r="D62" s="345"/>
      <c r="E62" s="346"/>
      <c r="F62" s="345"/>
      <c r="G62" s="346"/>
    </row>
    <row r="63" spans="1:7">
      <c r="A63" s="318" t="s">
        <v>92</v>
      </c>
      <c r="B63" s="339">
        <f>零件!L64</f>
        <v>257182</v>
      </c>
      <c r="C63" s="573">
        <v>317262</v>
      </c>
      <c r="D63" s="473">
        <f>(B63-C63)/C63</f>
        <v>-0.18937029962617646</v>
      </c>
      <c r="E63" s="339">
        <f>零件!M64</f>
        <v>1656329</v>
      </c>
      <c r="F63" s="573">
        <v>2106524</v>
      </c>
      <c r="G63" s="472">
        <f>(E63-F63)/F63</f>
        <v>-0.21371463130731005</v>
      </c>
    </row>
    <row r="64" spans="1:7">
      <c r="A64" s="318" t="s">
        <v>93</v>
      </c>
      <c r="B64" s="339"/>
      <c r="C64" s="574"/>
      <c r="D64" s="340"/>
      <c r="E64" s="341"/>
      <c r="F64" s="573"/>
      <c r="G64" s="341"/>
    </row>
    <row r="65" spans="1:7">
      <c r="A65" s="348" t="s">
        <v>94</v>
      </c>
      <c r="B65" s="349">
        <f>SUM(B6:B64)-B64-B61-B20-B17-B11-B8</f>
        <v>11236006</v>
      </c>
      <c r="C65" s="577">
        <f>SUM(C6:C64)</f>
        <v>14600455</v>
      </c>
      <c r="D65" s="471">
        <f>(B65-C65)/C65</f>
        <v>-0.23043453097865785</v>
      </c>
      <c r="E65" s="424">
        <f>SUM(E7:E64)</f>
        <v>566484226</v>
      </c>
      <c r="F65" s="546">
        <f>SUM(F6:F64)</f>
        <v>716506173</v>
      </c>
      <c r="G65" s="471">
        <f>(E65-F65)/F65</f>
        <v>-0.20937983879728556</v>
      </c>
    </row>
    <row r="66" spans="1:7">
      <c r="C66" s="39"/>
      <c r="E66" s="5"/>
      <c r="F66" s="572"/>
      <c r="G66" s="311"/>
    </row>
    <row r="67" spans="1:7">
      <c r="A67" s="54" t="s">
        <v>31</v>
      </c>
      <c r="C67" s="582"/>
      <c r="F67" s="582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G33" activeCellId="1" sqref="B33 G33"/>
    </sheetView>
  </sheetViews>
  <sheetFormatPr defaultColWidth="10" defaultRowHeight="16.5"/>
  <cols>
    <col min="1" max="1" width="3.75" style="548" customWidth="1"/>
    <col min="2" max="2" width="15.5" style="548" customWidth="1"/>
    <col min="3" max="3" width="17.75" style="553" customWidth="1"/>
    <col min="4" max="4" width="17.625" style="548" customWidth="1"/>
    <col min="5" max="5" width="17.875" style="553" customWidth="1"/>
    <col min="6" max="6" width="2.125" style="548" customWidth="1"/>
    <col min="7" max="7" width="17.375" style="548" customWidth="1"/>
    <col min="8" max="8" width="15.75" style="553" customWidth="1"/>
    <col min="9" max="9" width="14.875" style="548" customWidth="1"/>
    <col min="10" max="10" width="17.875" style="553" customWidth="1"/>
    <col min="11" max="258" width="10" style="548"/>
    <col min="259" max="259" width="23.25" style="548" customWidth="1"/>
    <col min="260" max="260" width="10" style="548"/>
    <col min="261" max="261" width="17.875" style="548" customWidth="1"/>
    <col min="262" max="262" width="2.125" style="548" customWidth="1"/>
    <col min="263" max="263" width="10" style="548"/>
    <col min="264" max="264" width="15.75" style="548" customWidth="1"/>
    <col min="265" max="265" width="10" style="548"/>
    <col min="266" max="266" width="17.875" style="548" customWidth="1"/>
    <col min="267" max="514" width="10" style="548"/>
    <col min="515" max="515" width="23.25" style="548" customWidth="1"/>
    <col min="516" max="516" width="10" style="548"/>
    <col min="517" max="517" width="17.875" style="548" customWidth="1"/>
    <col min="518" max="518" width="2.125" style="548" customWidth="1"/>
    <col min="519" max="519" width="10" style="548"/>
    <col min="520" max="520" width="15.75" style="548" customWidth="1"/>
    <col min="521" max="521" width="10" style="548"/>
    <col min="522" max="522" width="17.875" style="548" customWidth="1"/>
    <col min="523" max="770" width="10" style="548"/>
    <col min="771" max="771" width="23.25" style="548" customWidth="1"/>
    <col min="772" max="772" width="10" style="548"/>
    <col min="773" max="773" width="17.875" style="548" customWidth="1"/>
    <col min="774" max="774" width="2.125" style="548" customWidth="1"/>
    <col min="775" max="775" width="10" style="548"/>
    <col min="776" max="776" width="15.75" style="548" customWidth="1"/>
    <col min="777" max="777" width="10" style="548"/>
    <col min="778" max="778" width="17.875" style="548" customWidth="1"/>
    <col min="779" max="1026" width="10" style="548"/>
    <col min="1027" max="1027" width="23.25" style="548" customWidth="1"/>
    <col min="1028" max="1028" width="10" style="548"/>
    <col min="1029" max="1029" width="17.875" style="548" customWidth="1"/>
    <col min="1030" max="1030" width="2.125" style="548" customWidth="1"/>
    <col min="1031" max="1031" width="10" style="548"/>
    <col min="1032" max="1032" width="15.75" style="548" customWidth="1"/>
    <col min="1033" max="1033" width="10" style="548"/>
    <col min="1034" max="1034" width="17.875" style="548" customWidth="1"/>
    <col min="1035" max="1282" width="10" style="548"/>
    <col min="1283" max="1283" width="23.25" style="548" customWidth="1"/>
    <col min="1284" max="1284" width="10" style="548"/>
    <col min="1285" max="1285" width="17.875" style="548" customWidth="1"/>
    <col min="1286" max="1286" width="2.125" style="548" customWidth="1"/>
    <col min="1287" max="1287" width="10" style="548"/>
    <col min="1288" max="1288" width="15.75" style="548" customWidth="1"/>
    <col min="1289" max="1289" width="10" style="548"/>
    <col min="1290" max="1290" width="17.875" style="548" customWidth="1"/>
    <col min="1291" max="1538" width="10" style="548"/>
    <col min="1539" max="1539" width="23.25" style="548" customWidth="1"/>
    <col min="1540" max="1540" width="10" style="548"/>
    <col min="1541" max="1541" width="17.875" style="548" customWidth="1"/>
    <col min="1542" max="1542" width="2.125" style="548" customWidth="1"/>
    <col min="1543" max="1543" width="10" style="548"/>
    <col min="1544" max="1544" width="15.75" style="548" customWidth="1"/>
    <col min="1545" max="1545" width="10" style="548"/>
    <col min="1546" max="1546" width="17.875" style="548" customWidth="1"/>
    <col min="1547" max="1794" width="10" style="548"/>
    <col min="1795" max="1795" width="23.25" style="548" customWidth="1"/>
    <col min="1796" max="1796" width="10" style="548"/>
    <col min="1797" max="1797" width="17.875" style="548" customWidth="1"/>
    <col min="1798" max="1798" width="2.125" style="548" customWidth="1"/>
    <col min="1799" max="1799" width="10" style="548"/>
    <col min="1800" max="1800" width="15.75" style="548" customWidth="1"/>
    <col min="1801" max="1801" width="10" style="548"/>
    <col min="1802" max="1802" width="17.875" style="548" customWidth="1"/>
    <col min="1803" max="2050" width="10" style="548"/>
    <col min="2051" max="2051" width="23.25" style="548" customWidth="1"/>
    <col min="2052" max="2052" width="10" style="548"/>
    <col min="2053" max="2053" width="17.875" style="548" customWidth="1"/>
    <col min="2054" max="2054" width="2.125" style="548" customWidth="1"/>
    <col min="2055" max="2055" width="10" style="548"/>
    <col min="2056" max="2056" width="15.75" style="548" customWidth="1"/>
    <col min="2057" max="2057" width="10" style="548"/>
    <col min="2058" max="2058" width="17.875" style="548" customWidth="1"/>
    <col min="2059" max="2306" width="10" style="548"/>
    <col min="2307" max="2307" width="23.25" style="548" customWidth="1"/>
    <col min="2308" max="2308" width="10" style="548"/>
    <col min="2309" max="2309" width="17.875" style="548" customWidth="1"/>
    <col min="2310" max="2310" width="2.125" style="548" customWidth="1"/>
    <col min="2311" max="2311" width="10" style="548"/>
    <col min="2312" max="2312" width="15.75" style="548" customWidth="1"/>
    <col min="2313" max="2313" width="10" style="548"/>
    <col min="2314" max="2314" width="17.875" style="548" customWidth="1"/>
    <col min="2315" max="2562" width="10" style="548"/>
    <col min="2563" max="2563" width="23.25" style="548" customWidth="1"/>
    <col min="2564" max="2564" width="10" style="548"/>
    <col min="2565" max="2565" width="17.875" style="548" customWidth="1"/>
    <col min="2566" max="2566" width="2.125" style="548" customWidth="1"/>
    <col min="2567" max="2567" width="10" style="548"/>
    <col min="2568" max="2568" width="15.75" style="548" customWidth="1"/>
    <col min="2569" max="2569" width="10" style="548"/>
    <col min="2570" max="2570" width="17.875" style="548" customWidth="1"/>
    <col min="2571" max="2818" width="10" style="548"/>
    <col min="2819" max="2819" width="23.25" style="548" customWidth="1"/>
    <col min="2820" max="2820" width="10" style="548"/>
    <col min="2821" max="2821" width="17.875" style="548" customWidth="1"/>
    <col min="2822" max="2822" width="2.125" style="548" customWidth="1"/>
    <col min="2823" max="2823" width="10" style="548"/>
    <col min="2824" max="2824" width="15.75" style="548" customWidth="1"/>
    <col min="2825" max="2825" width="10" style="548"/>
    <col min="2826" max="2826" width="17.875" style="548" customWidth="1"/>
    <col min="2827" max="3074" width="10" style="548"/>
    <col min="3075" max="3075" width="23.25" style="548" customWidth="1"/>
    <col min="3076" max="3076" width="10" style="548"/>
    <col min="3077" max="3077" width="17.875" style="548" customWidth="1"/>
    <col min="3078" max="3078" width="2.125" style="548" customWidth="1"/>
    <col min="3079" max="3079" width="10" style="548"/>
    <col min="3080" max="3080" width="15.75" style="548" customWidth="1"/>
    <col min="3081" max="3081" width="10" style="548"/>
    <col min="3082" max="3082" width="17.875" style="548" customWidth="1"/>
    <col min="3083" max="3330" width="10" style="548"/>
    <col min="3331" max="3331" width="23.25" style="548" customWidth="1"/>
    <col min="3332" max="3332" width="10" style="548"/>
    <col min="3333" max="3333" width="17.875" style="548" customWidth="1"/>
    <col min="3334" max="3334" width="2.125" style="548" customWidth="1"/>
    <col min="3335" max="3335" width="10" style="548"/>
    <col min="3336" max="3336" width="15.75" style="548" customWidth="1"/>
    <col min="3337" max="3337" width="10" style="548"/>
    <col min="3338" max="3338" width="17.875" style="548" customWidth="1"/>
    <col min="3339" max="3586" width="10" style="548"/>
    <col min="3587" max="3587" width="23.25" style="548" customWidth="1"/>
    <col min="3588" max="3588" width="10" style="548"/>
    <col min="3589" max="3589" width="17.875" style="548" customWidth="1"/>
    <col min="3590" max="3590" width="2.125" style="548" customWidth="1"/>
    <col min="3591" max="3591" width="10" style="548"/>
    <col min="3592" max="3592" width="15.75" style="548" customWidth="1"/>
    <col min="3593" max="3593" width="10" style="548"/>
    <col min="3594" max="3594" width="17.875" style="548" customWidth="1"/>
    <col min="3595" max="3842" width="10" style="548"/>
    <col min="3843" max="3843" width="23.25" style="548" customWidth="1"/>
    <col min="3844" max="3844" width="10" style="548"/>
    <col min="3845" max="3845" width="17.875" style="548" customWidth="1"/>
    <col min="3846" max="3846" width="2.125" style="548" customWidth="1"/>
    <col min="3847" max="3847" width="10" style="548"/>
    <col min="3848" max="3848" width="15.75" style="548" customWidth="1"/>
    <col min="3849" max="3849" width="10" style="548"/>
    <col min="3850" max="3850" width="17.875" style="548" customWidth="1"/>
    <col min="3851" max="4098" width="10" style="548"/>
    <col min="4099" max="4099" width="23.25" style="548" customWidth="1"/>
    <col min="4100" max="4100" width="10" style="548"/>
    <col min="4101" max="4101" width="17.875" style="548" customWidth="1"/>
    <col min="4102" max="4102" width="2.125" style="548" customWidth="1"/>
    <col min="4103" max="4103" width="10" style="548"/>
    <col min="4104" max="4104" width="15.75" style="548" customWidth="1"/>
    <col min="4105" max="4105" width="10" style="548"/>
    <col min="4106" max="4106" width="17.875" style="548" customWidth="1"/>
    <col min="4107" max="4354" width="10" style="548"/>
    <col min="4355" max="4355" width="23.25" style="548" customWidth="1"/>
    <col min="4356" max="4356" width="10" style="548"/>
    <col min="4357" max="4357" width="17.875" style="548" customWidth="1"/>
    <col min="4358" max="4358" width="2.125" style="548" customWidth="1"/>
    <col min="4359" max="4359" width="10" style="548"/>
    <col min="4360" max="4360" width="15.75" style="548" customWidth="1"/>
    <col min="4361" max="4361" width="10" style="548"/>
    <col min="4362" max="4362" width="17.875" style="548" customWidth="1"/>
    <col min="4363" max="4610" width="10" style="548"/>
    <col min="4611" max="4611" width="23.25" style="548" customWidth="1"/>
    <col min="4612" max="4612" width="10" style="548"/>
    <col min="4613" max="4613" width="17.875" style="548" customWidth="1"/>
    <col min="4614" max="4614" width="2.125" style="548" customWidth="1"/>
    <col min="4615" max="4615" width="10" style="548"/>
    <col min="4616" max="4616" width="15.75" style="548" customWidth="1"/>
    <col min="4617" max="4617" width="10" style="548"/>
    <col min="4618" max="4618" width="17.875" style="548" customWidth="1"/>
    <col min="4619" max="4866" width="10" style="548"/>
    <col min="4867" max="4867" width="23.25" style="548" customWidth="1"/>
    <col min="4868" max="4868" width="10" style="548"/>
    <col min="4869" max="4869" width="17.875" style="548" customWidth="1"/>
    <col min="4870" max="4870" width="2.125" style="548" customWidth="1"/>
    <col min="4871" max="4871" width="10" style="548"/>
    <col min="4872" max="4872" width="15.75" style="548" customWidth="1"/>
    <col min="4873" max="4873" width="10" style="548"/>
    <col min="4874" max="4874" width="17.875" style="548" customWidth="1"/>
    <col min="4875" max="5122" width="10" style="548"/>
    <col min="5123" max="5123" width="23.25" style="548" customWidth="1"/>
    <col min="5124" max="5124" width="10" style="548"/>
    <col min="5125" max="5125" width="17.875" style="548" customWidth="1"/>
    <col min="5126" max="5126" width="2.125" style="548" customWidth="1"/>
    <col min="5127" max="5127" width="10" style="548"/>
    <col min="5128" max="5128" width="15.75" style="548" customWidth="1"/>
    <col min="5129" max="5129" width="10" style="548"/>
    <col min="5130" max="5130" width="17.875" style="548" customWidth="1"/>
    <col min="5131" max="5378" width="10" style="548"/>
    <col min="5379" max="5379" width="23.25" style="548" customWidth="1"/>
    <col min="5380" max="5380" width="10" style="548"/>
    <col min="5381" max="5381" width="17.875" style="548" customWidth="1"/>
    <col min="5382" max="5382" width="2.125" style="548" customWidth="1"/>
    <col min="5383" max="5383" width="10" style="548"/>
    <col min="5384" max="5384" width="15.75" style="548" customWidth="1"/>
    <col min="5385" max="5385" width="10" style="548"/>
    <col min="5386" max="5386" width="17.875" style="548" customWidth="1"/>
    <col min="5387" max="5634" width="10" style="548"/>
    <col min="5635" max="5635" width="23.25" style="548" customWidth="1"/>
    <col min="5636" max="5636" width="10" style="548"/>
    <col min="5637" max="5637" width="17.875" style="548" customWidth="1"/>
    <col min="5638" max="5638" width="2.125" style="548" customWidth="1"/>
    <col min="5639" max="5639" width="10" style="548"/>
    <col min="5640" max="5640" width="15.75" style="548" customWidth="1"/>
    <col min="5641" max="5641" width="10" style="548"/>
    <col min="5642" max="5642" width="17.875" style="548" customWidth="1"/>
    <col min="5643" max="5890" width="10" style="548"/>
    <col min="5891" max="5891" width="23.25" style="548" customWidth="1"/>
    <col min="5892" max="5892" width="10" style="548"/>
    <col min="5893" max="5893" width="17.875" style="548" customWidth="1"/>
    <col min="5894" max="5894" width="2.125" style="548" customWidth="1"/>
    <col min="5895" max="5895" width="10" style="548"/>
    <col min="5896" max="5896" width="15.75" style="548" customWidth="1"/>
    <col min="5897" max="5897" width="10" style="548"/>
    <col min="5898" max="5898" width="17.875" style="548" customWidth="1"/>
    <col min="5899" max="6146" width="10" style="548"/>
    <col min="6147" max="6147" width="23.25" style="548" customWidth="1"/>
    <col min="6148" max="6148" width="10" style="548"/>
    <col min="6149" max="6149" width="17.875" style="548" customWidth="1"/>
    <col min="6150" max="6150" width="2.125" style="548" customWidth="1"/>
    <col min="6151" max="6151" width="10" style="548"/>
    <col min="6152" max="6152" width="15.75" style="548" customWidth="1"/>
    <col min="6153" max="6153" width="10" style="548"/>
    <col min="6154" max="6154" width="17.875" style="548" customWidth="1"/>
    <col min="6155" max="6402" width="10" style="548"/>
    <col min="6403" max="6403" width="23.25" style="548" customWidth="1"/>
    <col min="6404" max="6404" width="10" style="548"/>
    <col min="6405" max="6405" width="17.875" style="548" customWidth="1"/>
    <col min="6406" max="6406" width="2.125" style="548" customWidth="1"/>
    <col min="6407" max="6407" width="10" style="548"/>
    <col min="6408" max="6408" width="15.75" style="548" customWidth="1"/>
    <col min="6409" max="6409" width="10" style="548"/>
    <col min="6410" max="6410" width="17.875" style="548" customWidth="1"/>
    <col min="6411" max="6658" width="10" style="548"/>
    <col min="6659" max="6659" width="23.25" style="548" customWidth="1"/>
    <col min="6660" max="6660" width="10" style="548"/>
    <col min="6661" max="6661" width="17.875" style="548" customWidth="1"/>
    <col min="6662" max="6662" width="2.125" style="548" customWidth="1"/>
    <col min="6663" max="6663" width="10" style="548"/>
    <col min="6664" max="6664" width="15.75" style="548" customWidth="1"/>
    <col min="6665" max="6665" width="10" style="548"/>
    <col min="6666" max="6666" width="17.875" style="548" customWidth="1"/>
    <col min="6667" max="6914" width="10" style="548"/>
    <col min="6915" max="6915" width="23.25" style="548" customWidth="1"/>
    <col min="6916" max="6916" width="10" style="548"/>
    <col min="6917" max="6917" width="17.875" style="548" customWidth="1"/>
    <col min="6918" max="6918" width="2.125" style="548" customWidth="1"/>
    <col min="6919" max="6919" width="10" style="548"/>
    <col min="6920" max="6920" width="15.75" style="548" customWidth="1"/>
    <col min="6921" max="6921" width="10" style="548"/>
    <col min="6922" max="6922" width="17.875" style="548" customWidth="1"/>
    <col min="6923" max="7170" width="10" style="548"/>
    <col min="7171" max="7171" width="23.25" style="548" customWidth="1"/>
    <col min="7172" max="7172" width="10" style="548"/>
    <col min="7173" max="7173" width="17.875" style="548" customWidth="1"/>
    <col min="7174" max="7174" width="2.125" style="548" customWidth="1"/>
    <col min="7175" max="7175" width="10" style="548"/>
    <col min="7176" max="7176" width="15.75" style="548" customWidth="1"/>
    <col min="7177" max="7177" width="10" style="548"/>
    <col min="7178" max="7178" width="17.875" style="548" customWidth="1"/>
    <col min="7179" max="7426" width="10" style="548"/>
    <col min="7427" max="7427" width="23.25" style="548" customWidth="1"/>
    <col min="7428" max="7428" width="10" style="548"/>
    <col min="7429" max="7429" width="17.875" style="548" customWidth="1"/>
    <col min="7430" max="7430" width="2.125" style="548" customWidth="1"/>
    <col min="7431" max="7431" width="10" style="548"/>
    <col min="7432" max="7432" width="15.75" style="548" customWidth="1"/>
    <col min="7433" max="7433" width="10" style="548"/>
    <col min="7434" max="7434" width="17.875" style="548" customWidth="1"/>
    <col min="7435" max="7682" width="10" style="548"/>
    <col min="7683" max="7683" width="23.25" style="548" customWidth="1"/>
    <col min="7684" max="7684" width="10" style="548"/>
    <col min="7685" max="7685" width="17.875" style="548" customWidth="1"/>
    <col min="7686" max="7686" width="2.125" style="548" customWidth="1"/>
    <col min="7687" max="7687" width="10" style="548"/>
    <col min="7688" max="7688" width="15.75" style="548" customWidth="1"/>
    <col min="7689" max="7689" width="10" style="548"/>
    <col min="7690" max="7690" width="17.875" style="548" customWidth="1"/>
    <col min="7691" max="7938" width="10" style="548"/>
    <col min="7939" max="7939" width="23.25" style="548" customWidth="1"/>
    <col min="7940" max="7940" width="10" style="548"/>
    <col min="7941" max="7941" width="17.875" style="548" customWidth="1"/>
    <col min="7942" max="7942" width="2.125" style="548" customWidth="1"/>
    <col min="7943" max="7943" width="10" style="548"/>
    <col min="7944" max="7944" width="15.75" style="548" customWidth="1"/>
    <col min="7945" max="7945" width="10" style="548"/>
    <col min="7946" max="7946" width="17.875" style="548" customWidth="1"/>
    <col min="7947" max="8194" width="10" style="548"/>
    <col min="8195" max="8195" width="23.25" style="548" customWidth="1"/>
    <col min="8196" max="8196" width="10" style="548"/>
    <col min="8197" max="8197" width="17.875" style="548" customWidth="1"/>
    <col min="8198" max="8198" width="2.125" style="548" customWidth="1"/>
    <col min="8199" max="8199" width="10" style="548"/>
    <col min="8200" max="8200" width="15.75" style="548" customWidth="1"/>
    <col min="8201" max="8201" width="10" style="548"/>
    <col min="8202" max="8202" width="17.875" style="548" customWidth="1"/>
    <col min="8203" max="8450" width="10" style="548"/>
    <col min="8451" max="8451" width="23.25" style="548" customWidth="1"/>
    <col min="8452" max="8452" width="10" style="548"/>
    <col min="8453" max="8453" width="17.875" style="548" customWidth="1"/>
    <col min="8454" max="8454" width="2.125" style="548" customWidth="1"/>
    <col min="8455" max="8455" width="10" style="548"/>
    <col min="8456" max="8456" width="15.75" style="548" customWidth="1"/>
    <col min="8457" max="8457" width="10" style="548"/>
    <col min="8458" max="8458" width="17.875" style="548" customWidth="1"/>
    <col min="8459" max="8706" width="10" style="548"/>
    <col min="8707" max="8707" width="23.25" style="548" customWidth="1"/>
    <col min="8708" max="8708" width="10" style="548"/>
    <col min="8709" max="8709" width="17.875" style="548" customWidth="1"/>
    <col min="8710" max="8710" width="2.125" style="548" customWidth="1"/>
    <col min="8711" max="8711" width="10" style="548"/>
    <col min="8712" max="8712" width="15.75" style="548" customWidth="1"/>
    <col min="8713" max="8713" width="10" style="548"/>
    <col min="8714" max="8714" width="17.875" style="548" customWidth="1"/>
    <col min="8715" max="8962" width="10" style="548"/>
    <col min="8963" max="8963" width="23.25" style="548" customWidth="1"/>
    <col min="8964" max="8964" width="10" style="548"/>
    <col min="8965" max="8965" width="17.875" style="548" customWidth="1"/>
    <col min="8966" max="8966" width="2.125" style="548" customWidth="1"/>
    <col min="8967" max="8967" width="10" style="548"/>
    <col min="8968" max="8968" width="15.75" style="548" customWidth="1"/>
    <col min="8969" max="8969" width="10" style="548"/>
    <col min="8970" max="8970" width="17.875" style="548" customWidth="1"/>
    <col min="8971" max="9218" width="10" style="548"/>
    <col min="9219" max="9219" width="23.25" style="548" customWidth="1"/>
    <col min="9220" max="9220" width="10" style="548"/>
    <col min="9221" max="9221" width="17.875" style="548" customWidth="1"/>
    <col min="9222" max="9222" width="2.125" style="548" customWidth="1"/>
    <col min="9223" max="9223" width="10" style="548"/>
    <col min="9224" max="9224" width="15.75" style="548" customWidth="1"/>
    <col min="9225" max="9225" width="10" style="548"/>
    <col min="9226" max="9226" width="17.875" style="548" customWidth="1"/>
    <col min="9227" max="9474" width="10" style="548"/>
    <col min="9475" max="9475" width="23.25" style="548" customWidth="1"/>
    <col min="9476" max="9476" width="10" style="548"/>
    <col min="9477" max="9477" width="17.875" style="548" customWidth="1"/>
    <col min="9478" max="9478" width="2.125" style="548" customWidth="1"/>
    <col min="9479" max="9479" width="10" style="548"/>
    <col min="9480" max="9480" width="15.75" style="548" customWidth="1"/>
    <col min="9481" max="9481" width="10" style="548"/>
    <col min="9482" max="9482" width="17.875" style="548" customWidth="1"/>
    <col min="9483" max="9730" width="10" style="548"/>
    <col min="9731" max="9731" width="23.25" style="548" customWidth="1"/>
    <col min="9732" max="9732" width="10" style="548"/>
    <col min="9733" max="9733" width="17.875" style="548" customWidth="1"/>
    <col min="9734" max="9734" width="2.125" style="548" customWidth="1"/>
    <col min="9735" max="9735" width="10" style="548"/>
    <col min="9736" max="9736" width="15.75" style="548" customWidth="1"/>
    <col min="9737" max="9737" width="10" style="548"/>
    <col min="9738" max="9738" width="17.875" style="548" customWidth="1"/>
    <col min="9739" max="9986" width="10" style="548"/>
    <col min="9987" max="9987" width="23.25" style="548" customWidth="1"/>
    <col min="9988" max="9988" width="10" style="548"/>
    <col min="9989" max="9989" width="17.875" style="548" customWidth="1"/>
    <col min="9990" max="9990" width="2.125" style="548" customWidth="1"/>
    <col min="9991" max="9991" width="10" style="548"/>
    <col min="9992" max="9992" width="15.75" style="548" customWidth="1"/>
    <col min="9993" max="9993" width="10" style="548"/>
    <col min="9994" max="9994" width="17.875" style="548" customWidth="1"/>
    <col min="9995" max="10242" width="10" style="548"/>
    <col min="10243" max="10243" width="23.25" style="548" customWidth="1"/>
    <col min="10244" max="10244" width="10" style="548"/>
    <col min="10245" max="10245" width="17.875" style="548" customWidth="1"/>
    <col min="10246" max="10246" width="2.125" style="548" customWidth="1"/>
    <col min="10247" max="10247" width="10" style="548"/>
    <col min="10248" max="10248" width="15.75" style="548" customWidth="1"/>
    <col min="10249" max="10249" width="10" style="548"/>
    <col min="10250" max="10250" width="17.875" style="548" customWidth="1"/>
    <col min="10251" max="10498" width="10" style="548"/>
    <col min="10499" max="10499" width="23.25" style="548" customWidth="1"/>
    <col min="10500" max="10500" width="10" style="548"/>
    <col min="10501" max="10501" width="17.875" style="548" customWidth="1"/>
    <col min="10502" max="10502" width="2.125" style="548" customWidth="1"/>
    <col min="10503" max="10503" width="10" style="548"/>
    <col min="10504" max="10504" width="15.75" style="548" customWidth="1"/>
    <col min="10505" max="10505" width="10" style="548"/>
    <col min="10506" max="10506" width="17.875" style="548" customWidth="1"/>
    <col min="10507" max="10754" width="10" style="548"/>
    <col min="10755" max="10755" width="23.25" style="548" customWidth="1"/>
    <col min="10756" max="10756" width="10" style="548"/>
    <col min="10757" max="10757" width="17.875" style="548" customWidth="1"/>
    <col min="10758" max="10758" width="2.125" style="548" customWidth="1"/>
    <col min="10759" max="10759" width="10" style="548"/>
    <col min="10760" max="10760" width="15.75" style="548" customWidth="1"/>
    <col min="10761" max="10761" width="10" style="548"/>
    <col min="10762" max="10762" width="17.875" style="548" customWidth="1"/>
    <col min="10763" max="11010" width="10" style="548"/>
    <col min="11011" max="11011" width="23.25" style="548" customWidth="1"/>
    <col min="11012" max="11012" width="10" style="548"/>
    <col min="11013" max="11013" width="17.875" style="548" customWidth="1"/>
    <col min="11014" max="11014" width="2.125" style="548" customWidth="1"/>
    <col min="11015" max="11015" width="10" style="548"/>
    <col min="11016" max="11016" width="15.75" style="548" customWidth="1"/>
    <col min="11017" max="11017" width="10" style="548"/>
    <col min="11018" max="11018" width="17.875" style="548" customWidth="1"/>
    <col min="11019" max="11266" width="10" style="548"/>
    <col min="11267" max="11267" width="23.25" style="548" customWidth="1"/>
    <col min="11268" max="11268" width="10" style="548"/>
    <col min="11269" max="11269" width="17.875" style="548" customWidth="1"/>
    <col min="11270" max="11270" width="2.125" style="548" customWidth="1"/>
    <col min="11271" max="11271" width="10" style="548"/>
    <col min="11272" max="11272" width="15.75" style="548" customWidth="1"/>
    <col min="11273" max="11273" width="10" style="548"/>
    <col min="11274" max="11274" width="17.875" style="548" customWidth="1"/>
    <col min="11275" max="11522" width="10" style="548"/>
    <col min="11523" max="11523" width="23.25" style="548" customWidth="1"/>
    <col min="11524" max="11524" width="10" style="548"/>
    <col min="11525" max="11525" width="17.875" style="548" customWidth="1"/>
    <col min="11526" max="11526" width="2.125" style="548" customWidth="1"/>
    <col min="11527" max="11527" width="10" style="548"/>
    <col min="11528" max="11528" width="15.75" style="548" customWidth="1"/>
    <col min="11529" max="11529" width="10" style="548"/>
    <col min="11530" max="11530" width="17.875" style="548" customWidth="1"/>
    <col min="11531" max="11778" width="10" style="548"/>
    <col min="11779" max="11779" width="23.25" style="548" customWidth="1"/>
    <col min="11780" max="11780" width="10" style="548"/>
    <col min="11781" max="11781" width="17.875" style="548" customWidth="1"/>
    <col min="11782" max="11782" width="2.125" style="548" customWidth="1"/>
    <col min="11783" max="11783" width="10" style="548"/>
    <col min="11784" max="11784" width="15.75" style="548" customWidth="1"/>
    <col min="11785" max="11785" width="10" style="548"/>
    <col min="11786" max="11786" width="17.875" style="548" customWidth="1"/>
    <col min="11787" max="12034" width="10" style="548"/>
    <col min="12035" max="12035" width="23.25" style="548" customWidth="1"/>
    <col min="12036" max="12036" width="10" style="548"/>
    <col min="12037" max="12037" width="17.875" style="548" customWidth="1"/>
    <col min="12038" max="12038" width="2.125" style="548" customWidth="1"/>
    <col min="12039" max="12039" width="10" style="548"/>
    <col min="12040" max="12040" width="15.75" style="548" customWidth="1"/>
    <col min="12041" max="12041" width="10" style="548"/>
    <col min="12042" max="12042" width="17.875" style="548" customWidth="1"/>
    <col min="12043" max="12290" width="10" style="548"/>
    <col min="12291" max="12291" width="23.25" style="548" customWidth="1"/>
    <col min="12292" max="12292" width="10" style="548"/>
    <col min="12293" max="12293" width="17.875" style="548" customWidth="1"/>
    <col min="12294" max="12294" width="2.125" style="548" customWidth="1"/>
    <col min="12295" max="12295" width="10" style="548"/>
    <col min="12296" max="12296" width="15.75" style="548" customWidth="1"/>
    <col min="12297" max="12297" width="10" style="548"/>
    <col min="12298" max="12298" width="17.875" style="548" customWidth="1"/>
    <col min="12299" max="12546" width="10" style="548"/>
    <col min="12547" max="12547" width="23.25" style="548" customWidth="1"/>
    <col min="12548" max="12548" width="10" style="548"/>
    <col min="12549" max="12549" width="17.875" style="548" customWidth="1"/>
    <col min="12550" max="12550" width="2.125" style="548" customWidth="1"/>
    <col min="12551" max="12551" width="10" style="548"/>
    <col min="12552" max="12552" width="15.75" style="548" customWidth="1"/>
    <col min="12553" max="12553" width="10" style="548"/>
    <col min="12554" max="12554" width="17.875" style="548" customWidth="1"/>
    <col min="12555" max="12802" width="10" style="548"/>
    <col min="12803" max="12803" width="23.25" style="548" customWidth="1"/>
    <col min="12804" max="12804" width="10" style="548"/>
    <col min="12805" max="12805" width="17.875" style="548" customWidth="1"/>
    <col min="12806" max="12806" width="2.125" style="548" customWidth="1"/>
    <col min="12807" max="12807" width="10" style="548"/>
    <col min="12808" max="12808" width="15.75" style="548" customWidth="1"/>
    <col min="12809" max="12809" width="10" style="548"/>
    <col min="12810" max="12810" width="17.875" style="548" customWidth="1"/>
    <col min="12811" max="13058" width="10" style="548"/>
    <col min="13059" max="13059" width="23.25" style="548" customWidth="1"/>
    <col min="13060" max="13060" width="10" style="548"/>
    <col min="13061" max="13061" width="17.875" style="548" customWidth="1"/>
    <col min="13062" max="13062" width="2.125" style="548" customWidth="1"/>
    <col min="13063" max="13063" width="10" style="548"/>
    <col min="13064" max="13064" width="15.75" style="548" customWidth="1"/>
    <col min="13065" max="13065" width="10" style="548"/>
    <col min="13066" max="13066" width="17.875" style="548" customWidth="1"/>
    <col min="13067" max="13314" width="10" style="548"/>
    <col min="13315" max="13315" width="23.25" style="548" customWidth="1"/>
    <col min="13316" max="13316" width="10" style="548"/>
    <col min="13317" max="13317" width="17.875" style="548" customWidth="1"/>
    <col min="13318" max="13318" width="2.125" style="548" customWidth="1"/>
    <col min="13319" max="13319" width="10" style="548"/>
    <col min="13320" max="13320" width="15.75" style="548" customWidth="1"/>
    <col min="13321" max="13321" width="10" style="548"/>
    <col min="13322" max="13322" width="17.875" style="548" customWidth="1"/>
    <col min="13323" max="13570" width="10" style="548"/>
    <col min="13571" max="13571" width="23.25" style="548" customWidth="1"/>
    <col min="13572" max="13572" width="10" style="548"/>
    <col min="13573" max="13573" width="17.875" style="548" customWidth="1"/>
    <col min="13574" max="13574" width="2.125" style="548" customWidth="1"/>
    <col min="13575" max="13575" width="10" style="548"/>
    <col min="13576" max="13576" width="15.75" style="548" customWidth="1"/>
    <col min="13577" max="13577" width="10" style="548"/>
    <col min="13578" max="13578" width="17.875" style="548" customWidth="1"/>
    <col min="13579" max="13826" width="10" style="548"/>
    <col min="13827" max="13827" width="23.25" style="548" customWidth="1"/>
    <col min="13828" max="13828" width="10" style="548"/>
    <col min="13829" max="13829" width="17.875" style="548" customWidth="1"/>
    <col min="13830" max="13830" width="2.125" style="548" customWidth="1"/>
    <col min="13831" max="13831" width="10" style="548"/>
    <col min="13832" max="13832" width="15.75" style="548" customWidth="1"/>
    <col min="13833" max="13833" width="10" style="548"/>
    <col min="13834" max="13834" width="17.875" style="548" customWidth="1"/>
    <col min="13835" max="14082" width="10" style="548"/>
    <col min="14083" max="14083" width="23.25" style="548" customWidth="1"/>
    <col min="14084" max="14084" width="10" style="548"/>
    <col min="14085" max="14085" width="17.875" style="548" customWidth="1"/>
    <col min="14086" max="14086" width="2.125" style="548" customWidth="1"/>
    <col min="14087" max="14087" width="10" style="548"/>
    <col min="14088" max="14088" width="15.75" style="548" customWidth="1"/>
    <col min="14089" max="14089" width="10" style="548"/>
    <col min="14090" max="14090" width="17.875" style="548" customWidth="1"/>
    <col min="14091" max="14338" width="10" style="548"/>
    <col min="14339" max="14339" width="23.25" style="548" customWidth="1"/>
    <col min="14340" max="14340" width="10" style="548"/>
    <col min="14341" max="14341" width="17.875" style="548" customWidth="1"/>
    <col min="14342" max="14342" width="2.125" style="548" customWidth="1"/>
    <col min="14343" max="14343" width="10" style="548"/>
    <col min="14344" max="14344" width="15.75" style="548" customWidth="1"/>
    <col min="14345" max="14345" width="10" style="548"/>
    <col min="14346" max="14346" width="17.875" style="548" customWidth="1"/>
    <col min="14347" max="14594" width="10" style="548"/>
    <col min="14595" max="14595" width="23.25" style="548" customWidth="1"/>
    <col min="14596" max="14596" width="10" style="548"/>
    <col min="14597" max="14597" width="17.875" style="548" customWidth="1"/>
    <col min="14598" max="14598" width="2.125" style="548" customWidth="1"/>
    <col min="14599" max="14599" width="10" style="548"/>
    <col min="14600" max="14600" width="15.75" style="548" customWidth="1"/>
    <col min="14601" max="14601" width="10" style="548"/>
    <col min="14602" max="14602" width="17.875" style="548" customWidth="1"/>
    <col min="14603" max="14850" width="10" style="548"/>
    <col min="14851" max="14851" width="23.25" style="548" customWidth="1"/>
    <col min="14852" max="14852" width="10" style="548"/>
    <col min="14853" max="14853" width="17.875" style="548" customWidth="1"/>
    <col min="14854" max="14854" width="2.125" style="548" customWidth="1"/>
    <col min="14855" max="14855" width="10" style="548"/>
    <col min="14856" max="14856" width="15.75" style="548" customWidth="1"/>
    <col min="14857" max="14857" width="10" style="548"/>
    <col min="14858" max="14858" width="17.875" style="548" customWidth="1"/>
    <col min="14859" max="15106" width="10" style="548"/>
    <col min="15107" max="15107" width="23.25" style="548" customWidth="1"/>
    <col min="15108" max="15108" width="10" style="548"/>
    <col min="15109" max="15109" width="17.875" style="548" customWidth="1"/>
    <col min="15110" max="15110" width="2.125" style="548" customWidth="1"/>
    <col min="15111" max="15111" width="10" style="548"/>
    <col min="15112" max="15112" width="15.75" style="548" customWidth="1"/>
    <col min="15113" max="15113" width="10" style="548"/>
    <col min="15114" max="15114" width="17.875" style="548" customWidth="1"/>
    <col min="15115" max="15362" width="10" style="548"/>
    <col min="15363" max="15363" width="23.25" style="548" customWidth="1"/>
    <col min="15364" max="15364" width="10" style="548"/>
    <col min="15365" max="15365" width="17.875" style="548" customWidth="1"/>
    <col min="15366" max="15366" width="2.125" style="548" customWidth="1"/>
    <col min="15367" max="15367" width="10" style="548"/>
    <col min="15368" max="15368" width="15.75" style="548" customWidth="1"/>
    <col min="15369" max="15369" width="10" style="548"/>
    <col min="15370" max="15370" width="17.875" style="548" customWidth="1"/>
    <col min="15371" max="15618" width="10" style="548"/>
    <col min="15619" max="15619" width="23.25" style="548" customWidth="1"/>
    <col min="15620" max="15620" width="10" style="548"/>
    <col min="15621" max="15621" width="17.875" style="548" customWidth="1"/>
    <col min="15622" max="15622" width="2.125" style="548" customWidth="1"/>
    <col min="15623" max="15623" width="10" style="548"/>
    <col min="15624" max="15624" width="15.75" style="548" customWidth="1"/>
    <col min="15625" max="15625" width="10" style="548"/>
    <col min="15626" max="15626" width="17.875" style="548" customWidth="1"/>
    <col min="15627" max="15874" width="10" style="548"/>
    <col min="15875" max="15875" width="23.25" style="548" customWidth="1"/>
    <col min="15876" max="15876" width="10" style="548"/>
    <col min="15877" max="15877" width="17.875" style="548" customWidth="1"/>
    <col min="15878" max="15878" width="2.125" style="548" customWidth="1"/>
    <col min="15879" max="15879" width="10" style="548"/>
    <col min="15880" max="15880" width="15.75" style="548" customWidth="1"/>
    <col min="15881" max="15881" width="10" style="548"/>
    <col min="15882" max="15882" width="17.875" style="548" customWidth="1"/>
    <col min="15883" max="16130" width="10" style="548"/>
    <col min="16131" max="16131" width="23.25" style="548" customWidth="1"/>
    <col min="16132" max="16132" width="10" style="548"/>
    <col min="16133" max="16133" width="17.875" style="548" customWidth="1"/>
    <col min="16134" max="16134" width="2.125" style="548" customWidth="1"/>
    <col min="16135" max="16135" width="10" style="548"/>
    <col min="16136" max="16136" width="15.75" style="548" customWidth="1"/>
    <col min="16137" max="16137" width="10" style="548"/>
    <col min="16138" max="16138" width="17.875" style="548" customWidth="1"/>
    <col min="16139" max="16384" width="10" style="548"/>
  </cols>
  <sheetData>
    <row r="1" spans="1:10" ht="21">
      <c r="B1" s="549" t="s">
        <v>517</v>
      </c>
      <c r="C1" s="550"/>
      <c r="D1" s="551"/>
      <c r="E1" s="550"/>
      <c r="F1" s="551"/>
      <c r="G1" s="551"/>
      <c r="H1" s="550"/>
      <c r="I1" s="551"/>
      <c r="J1" s="550"/>
    </row>
    <row r="2" spans="1:10">
      <c r="B2" s="551"/>
      <c r="C2" s="550"/>
      <c r="D2" s="551"/>
      <c r="E2" s="550"/>
      <c r="F2" s="551"/>
      <c r="G2" s="551"/>
      <c r="H2" s="550"/>
      <c r="I2" s="551"/>
      <c r="J2" s="550"/>
    </row>
    <row r="3" spans="1:10">
      <c r="A3" s="552"/>
      <c r="B3" s="552" t="s">
        <v>468</v>
      </c>
      <c r="G3" s="552" t="s">
        <v>417</v>
      </c>
    </row>
    <row r="4" spans="1:10">
      <c r="B4" s="554" t="s">
        <v>98</v>
      </c>
      <c r="C4" s="555" t="s">
        <v>99</v>
      </c>
      <c r="D4" s="554" t="s">
        <v>100</v>
      </c>
      <c r="E4" s="555" t="s">
        <v>101</v>
      </c>
      <c r="F4" s="556"/>
      <c r="G4" s="554" t="s">
        <v>98</v>
      </c>
      <c r="H4" s="555" t="s">
        <v>99</v>
      </c>
      <c r="I4" s="554" t="s">
        <v>100</v>
      </c>
      <c r="J4" s="555" t="s">
        <v>101</v>
      </c>
    </row>
    <row r="5" spans="1:10">
      <c r="A5" s="548">
        <v>1</v>
      </c>
      <c r="B5" s="557" t="s">
        <v>453</v>
      </c>
      <c r="C5" s="558">
        <v>199437</v>
      </c>
      <c r="D5" s="557" t="s">
        <v>239</v>
      </c>
      <c r="E5" s="559">
        <v>37981</v>
      </c>
      <c r="G5" s="557" t="s">
        <v>245</v>
      </c>
      <c r="H5" s="559">
        <v>314254</v>
      </c>
      <c r="I5" s="560" t="s">
        <v>239</v>
      </c>
      <c r="J5" s="559">
        <v>78275</v>
      </c>
    </row>
    <row r="6" spans="1:10">
      <c r="A6" s="548">
        <v>2</v>
      </c>
      <c r="B6" s="557" t="s">
        <v>454</v>
      </c>
      <c r="C6" s="558">
        <v>95375</v>
      </c>
      <c r="D6" s="560" t="s">
        <v>247</v>
      </c>
      <c r="E6" s="559">
        <v>7127</v>
      </c>
      <c r="G6" s="557" t="s">
        <v>246</v>
      </c>
      <c r="H6" s="559">
        <v>120757</v>
      </c>
      <c r="I6" s="560" t="s">
        <v>246</v>
      </c>
      <c r="J6" s="559">
        <v>25008</v>
      </c>
    </row>
    <row r="7" spans="1:10">
      <c r="A7" s="548">
        <v>3</v>
      </c>
      <c r="B7" s="557" t="s">
        <v>245</v>
      </c>
      <c r="C7" s="558">
        <v>82151</v>
      </c>
      <c r="D7" s="560" t="s">
        <v>15</v>
      </c>
      <c r="E7" s="559">
        <v>3376</v>
      </c>
      <c r="G7" s="557" t="s">
        <v>247</v>
      </c>
      <c r="H7" s="559">
        <v>62520</v>
      </c>
      <c r="I7" s="560" t="s">
        <v>479</v>
      </c>
      <c r="J7" s="559">
        <v>11847</v>
      </c>
    </row>
    <row r="8" spans="1:10">
      <c r="A8" s="548">
        <v>4</v>
      </c>
      <c r="B8" s="557" t="s">
        <v>239</v>
      </c>
      <c r="C8" s="558">
        <v>32042</v>
      </c>
      <c r="D8" s="560" t="s">
        <v>255</v>
      </c>
      <c r="E8" s="559">
        <v>3188</v>
      </c>
      <c r="G8" s="557" t="s">
        <v>11</v>
      </c>
      <c r="H8" s="559">
        <v>43826</v>
      </c>
      <c r="I8" s="560" t="s">
        <v>480</v>
      </c>
      <c r="J8" s="559">
        <v>2657</v>
      </c>
    </row>
    <row r="9" spans="1:10">
      <c r="A9" s="548">
        <v>5</v>
      </c>
      <c r="B9" s="557" t="s">
        <v>263</v>
      </c>
      <c r="C9" s="558">
        <v>32010</v>
      </c>
      <c r="D9" s="560" t="s">
        <v>246</v>
      </c>
      <c r="E9" s="559">
        <v>1876</v>
      </c>
      <c r="G9" s="557" t="s">
        <v>457</v>
      </c>
      <c r="H9" s="559">
        <v>35980</v>
      </c>
      <c r="I9" s="557" t="s">
        <v>518</v>
      </c>
      <c r="J9" s="559">
        <v>2313</v>
      </c>
    </row>
    <row r="10" spans="1:10">
      <c r="A10" s="548">
        <v>6</v>
      </c>
      <c r="B10" s="557" t="s">
        <v>10</v>
      </c>
      <c r="C10" s="558">
        <v>18256</v>
      </c>
      <c r="D10" s="560" t="s">
        <v>454</v>
      </c>
      <c r="E10" s="559">
        <v>1250</v>
      </c>
      <c r="G10" s="557" t="s">
        <v>454</v>
      </c>
      <c r="H10" s="559">
        <v>29228</v>
      </c>
      <c r="I10" s="557"/>
      <c r="J10" s="559"/>
    </row>
    <row r="11" spans="1:10">
      <c r="A11" s="548">
        <v>7</v>
      </c>
      <c r="B11" s="557" t="s">
        <v>246</v>
      </c>
      <c r="C11" s="558">
        <v>16912</v>
      </c>
      <c r="D11" s="560" t="s">
        <v>384</v>
      </c>
      <c r="E11" s="559">
        <v>250</v>
      </c>
      <c r="G11" s="557" t="s">
        <v>9</v>
      </c>
      <c r="H11" s="559">
        <v>11535</v>
      </c>
      <c r="I11" s="557"/>
      <c r="J11" s="559"/>
    </row>
    <row r="12" spans="1:10">
      <c r="A12" s="548">
        <v>8</v>
      </c>
      <c r="B12" s="557" t="s">
        <v>256</v>
      </c>
      <c r="C12" s="558">
        <v>16348</v>
      </c>
      <c r="D12" s="557"/>
      <c r="E12" s="559"/>
      <c r="G12" s="557" t="s">
        <v>470</v>
      </c>
      <c r="H12" s="559">
        <v>11347</v>
      </c>
      <c r="I12" s="557"/>
      <c r="J12" s="559"/>
    </row>
    <row r="13" spans="1:10">
      <c r="A13" s="548">
        <v>9</v>
      </c>
      <c r="B13" s="557" t="s">
        <v>9</v>
      </c>
      <c r="C13" s="558">
        <v>14223</v>
      </c>
      <c r="D13" s="557"/>
      <c r="E13" s="559"/>
      <c r="G13" s="557" t="s">
        <v>239</v>
      </c>
      <c r="H13" s="559">
        <v>10597</v>
      </c>
      <c r="I13" s="557"/>
      <c r="J13" s="559"/>
    </row>
    <row r="14" spans="1:10">
      <c r="A14" s="548">
        <v>10</v>
      </c>
      <c r="B14" s="557" t="s">
        <v>6</v>
      </c>
      <c r="C14" s="558">
        <v>14192</v>
      </c>
      <c r="D14" s="557"/>
      <c r="E14" s="559"/>
      <c r="G14" s="561" t="s">
        <v>384</v>
      </c>
      <c r="H14" s="559">
        <v>10128</v>
      </c>
      <c r="I14" s="557"/>
      <c r="J14" s="559"/>
    </row>
    <row r="15" spans="1:10">
      <c r="B15" s="557" t="s">
        <v>102</v>
      </c>
      <c r="C15" s="559">
        <f>C16-SUM(C5:C14)</f>
        <v>40419</v>
      </c>
      <c r="D15" s="557" t="s">
        <v>102</v>
      </c>
      <c r="E15" s="559">
        <f>E16-SUM(E5:E14)</f>
        <v>0</v>
      </c>
      <c r="G15" s="557" t="s">
        <v>102</v>
      </c>
      <c r="H15" s="559">
        <f>H16-SUM(H5:H14)</f>
        <v>17131</v>
      </c>
      <c r="I15" s="557" t="s">
        <v>102</v>
      </c>
      <c r="J15" s="559">
        <f>J16-SUM(J5:J14)</f>
        <v>0</v>
      </c>
    </row>
    <row r="16" spans="1:10">
      <c r="B16" s="557" t="s">
        <v>103</v>
      </c>
      <c r="C16" s="559">
        <v>561365</v>
      </c>
      <c r="D16" s="557" t="s">
        <v>103</v>
      </c>
      <c r="E16" s="559">
        <v>55048</v>
      </c>
      <c r="G16" s="557" t="s">
        <v>103</v>
      </c>
      <c r="H16" s="559">
        <v>667303</v>
      </c>
      <c r="I16" s="557" t="s">
        <v>103</v>
      </c>
      <c r="J16" s="559">
        <v>120100</v>
      </c>
    </row>
    <row r="18" spans="1:10">
      <c r="B18" s="552" t="s">
        <v>419</v>
      </c>
      <c r="G18" s="562" t="s">
        <v>420</v>
      </c>
    </row>
    <row r="19" spans="1:10">
      <c r="B19" s="554" t="s">
        <v>98</v>
      </c>
      <c r="C19" s="555" t="s">
        <v>99</v>
      </c>
      <c r="D19" s="554" t="s">
        <v>100</v>
      </c>
      <c r="E19" s="555" t="s">
        <v>101</v>
      </c>
      <c r="G19" s="554" t="s">
        <v>98</v>
      </c>
      <c r="H19" s="555" t="s">
        <v>99</v>
      </c>
      <c r="I19" s="554" t="s">
        <v>100</v>
      </c>
      <c r="J19" s="555" t="s">
        <v>101</v>
      </c>
    </row>
    <row r="20" spans="1:10">
      <c r="A20" s="548">
        <v>1</v>
      </c>
      <c r="B20" s="557" t="s">
        <v>246</v>
      </c>
      <c r="C20" s="558">
        <v>10193313</v>
      </c>
      <c r="D20" s="557" t="s">
        <v>239</v>
      </c>
      <c r="E20" s="559">
        <v>17075853</v>
      </c>
      <c r="G20" s="557" t="s">
        <v>256</v>
      </c>
      <c r="H20" s="559">
        <v>824788</v>
      </c>
      <c r="I20" s="557" t="s">
        <v>239</v>
      </c>
      <c r="J20" s="559">
        <v>4246009</v>
      </c>
    </row>
    <row r="21" spans="1:10">
      <c r="A21" s="548">
        <v>2</v>
      </c>
      <c r="B21" s="557" t="s">
        <v>245</v>
      </c>
      <c r="C21" s="558">
        <v>5115814</v>
      </c>
      <c r="D21" s="557" t="s">
        <v>457</v>
      </c>
      <c r="E21" s="559">
        <v>3770429</v>
      </c>
      <c r="G21" s="557" t="s">
        <v>239</v>
      </c>
      <c r="H21" s="559">
        <v>607911</v>
      </c>
      <c r="I21" s="557" t="s">
        <v>256</v>
      </c>
      <c r="J21" s="559">
        <v>97905</v>
      </c>
    </row>
    <row r="22" spans="1:10">
      <c r="A22" s="548">
        <v>3</v>
      </c>
      <c r="B22" s="557" t="s">
        <v>239</v>
      </c>
      <c r="C22" s="558">
        <v>4575585</v>
      </c>
      <c r="D22" s="557" t="s">
        <v>452</v>
      </c>
      <c r="E22" s="559">
        <v>1699404</v>
      </c>
      <c r="G22" s="557" t="s">
        <v>9</v>
      </c>
      <c r="H22" s="559">
        <v>451486</v>
      </c>
      <c r="I22" s="557" t="s">
        <v>457</v>
      </c>
      <c r="J22" s="559">
        <v>70022</v>
      </c>
    </row>
    <row r="23" spans="1:10">
      <c r="A23" s="548">
        <v>4</v>
      </c>
      <c r="B23" s="557" t="s">
        <v>10</v>
      </c>
      <c r="C23" s="558">
        <v>2909939</v>
      </c>
      <c r="D23" s="557" t="s">
        <v>456</v>
      </c>
      <c r="E23" s="559">
        <v>895248</v>
      </c>
      <c r="G23" s="557" t="s">
        <v>245</v>
      </c>
      <c r="H23" s="559">
        <v>347953</v>
      </c>
      <c r="I23" s="557" t="s">
        <v>452</v>
      </c>
      <c r="J23" s="559">
        <v>27071</v>
      </c>
    </row>
    <row r="24" spans="1:10">
      <c r="A24" s="548">
        <v>5</v>
      </c>
      <c r="B24" s="557" t="s">
        <v>453</v>
      </c>
      <c r="C24" s="558">
        <v>2879682</v>
      </c>
      <c r="D24" s="557" t="s">
        <v>458</v>
      </c>
      <c r="E24" s="559">
        <v>208503</v>
      </c>
      <c r="G24" s="557" t="s">
        <v>246</v>
      </c>
      <c r="H24" s="559">
        <v>272055</v>
      </c>
      <c r="I24" s="557" t="s">
        <v>458</v>
      </c>
      <c r="J24" s="559">
        <v>7064</v>
      </c>
    </row>
    <row r="25" spans="1:10">
      <c r="A25" s="548">
        <v>6</v>
      </c>
      <c r="B25" s="557" t="s">
        <v>258</v>
      </c>
      <c r="C25" s="558">
        <v>2766740</v>
      </c>
      <c r="D25" s="557" t="s">
        <v>10</v>
      </c>
      <c r="E25" s="559">
        <v>164739</v>
      </c>
      <c r="G25" s="557" t="s">
        <v>384</v>
      </c>
      <c r="H25" s="559">
        <v>197312</v>
      </c>
      <c r="I25" s="557" t="s">
        <v>384</v>
      </c>
      <c r="J25" s="559">
        <v>5971</v>
      </c>
    </row>
    <row r="26" spans="1:10">
      <c r="A26" s="548">
        <v>7</v>
      </c>
      <c r="B26" s="557" t="s">
        <v>9</v>
      </c>
      <c r="C26" s="558">
        <v>2030728</v>
      </c>
      <c r="D26" s="557" t="s">
        <v>453</v>
      </c>
      <c r="E26" s="559">
        <v>20944</v>
      </c>
      <c r="G26" s="557" t="s">
        <v>453</v>
      </c>
      <c r="H26" s="559">
        <v>147170</v>
      </c>
      <c r="I26" s="557" t="s">
        <v>246</v>
      </c>
      <c r="J26" s="559">
        <v>4158</v>
      </c>
    </row>
    <row r="27" spans="1:10">
      <c r="A27" s="548">
        <v>8</v>
      </c>
      <c r="B27" s="557" t="s">
        <v>15</v>
      </c>
      <c r="C27" s="558">
        <v>1842514</v>
      </c>
      <c r="D27" s="557" t="s">
        <v>247</v>
      </c>
      <c r="E27" s="559">
        <v>7909</v>
      </c>
      <c r="G27" s="557" t="s">
        <v>10</v>
      </c>
      <c r="H27" s="559">
        <v>137823</v>
      </c>
      <c r="I27" s="557" t="s">
        <v>453</v>
      </c>
      <c r="J27" s="559">
        <v>2783</v>
      </c>
    </row>
    <row r="28" spans="1:10">
      <c r="A28" s="548">
        <v>9</v>
      </c>
      <c r="B28" s="557" t="s">
        <v>297</v>
      </c>
      <c r="C28" s="558">
        <v>1146921</v>
      </c>
      <c r="D28" s="557" t="s">
        <v>384</v>
      </c>
      <c r="E28" s="559">
        <v>7377</v>
      </c>
      <c r="G28" s="557" t="s">
        <v>457</v>
      </c>
      <c r="H28" s="559">
        <v>111284</v>
      </c>
      <c r="I28" s="557" t="s">
        <v>245</v>
      </c>
      <c r="J28" s="559">
        <v>1782</v>
      </c>
    </row>
    <row r="29" spans="1:10">
      <c r="A29" s="548">
        <v>10</v>
      </c>
      <c r="B29" s="557" t="s">
        <v>457</v>
      </c>
      <c r="C29" s="558">
        <v>853703</v>
      </c>
      <c r="D29" s="557" t="s">
        <v>459</v>
      </c>
      <c r="E29" s="559">
        <v>6565</v>
      </c>
      <c r="G29" s="557" t="s">
        <v>386</v>
      </c>
      <c r="H29" s="559">
        <v>90622</v>
      </c>
      <c r="I29" s="557"/>
      <c r="J29" s="559"/>
    </row>
    <row r="30" spans="1:10">
      <c r="B30" s="557" t="s">
        <v>102</v>
      </c>
      <c r="C30" s="559">
        <f>C31-SUM(C20:C29)</f>
        <v>10907783</v>
      </c>
      <c r="D30" s="557" t="s">
        <v>421</v>
      </c>
      <c r="E30" s="559">
        <f>E31-SUM(E20:E29)</f>
        <v>7284</v>
      </c>
      <c r="G30" s="557" t="s">
        <v>418</v>
      </c>
      <c r="H30" s="559">
        <f>H31-SUM(H20:H29)</f>
        <v>325133</v>
      </c>
      <c r="I30" s="557" t="s">
        <v>102</v>
      </c>
      <c r="J30" s="559">
        <f>J31-SUM(J20:J29)</f>
        <v>0</v>
      </c>
    </row>
    <row r="31" spans="1:10">
      <c r="B31" s="557" t="s">
        <v>103</v>
      </c>
      <c r="C31" s="559">
        <v>45222722</v>
      </c>
      <c r="D31" s="557" t="s">
        <v>103</v>
      </c>
      <c r="E31" s="559">
        <v>23864255</v>
      </c>
      <c r="G31" s="557" t="s">
        <v>103</v>
      </c>
      <c r="H31" s="559">
        <v>3513537</v>
      </c>
      <c r="I31" s="557" t="s">
        <v>103</v>
      </c>
      <c r="J31" s="559">
        <v>4462765</v>
      </c>
    </row>
    <row r="32" spans="1:10">
      <c r="B32" s="563"/>
      <c r="D32" s="563"/>
      <c r="G32" s="563"/>
      <c r="I32" s="563"/>
    </row>
    <row r="33" spans="1:10">
      <c r="B33" s="562" t="s">
        <v>422</v>
      </c>
      <c r="D33" s="563"/>
      <c r="G33" s="562" t="s">
        <v>524</v>
      </c>
      <c r="I33" s="563"/>
    </row>
    <row r="34" spans="1:10">
      <c r="B34" s="557" t="s">
        <v>98</v>
      </c>
      <c r="C34" s="559" t="s">
        <v>99</v>
      </c>
      <c r="D34" s="557" t="s">
        <v>100</v>
      </c>
      <c r="E34" s="555" t="s">
        <v>101</v>
      </c>
      <c r="G34" s="557" t="s">
        <v>98</v>
      </c>
      <c r="H34" s="559" t="s">
        <v>99</v>
      </c>
      <c r="I34" s="557" t="s">
        <v>100</v>
      </c>
      <c r="J34" s="555" t="s">
        <v>101</v>
      </c>
    </row>
    <row r="35" spans="1:10">
      <c r="A35" s="548">
        <v>1</v>
      </c>
      <c r="B35" s="557" t="s">
        <v>239</v>
      </c>
      <c r="C35" s="559">
        <v>836230</v>
      </c>
      <c r="D35" s="557" t="s">
        <v>111</v>
      </c>
      <c r="E35" s="559">
        <v>405780</v>
      </c>
      <c r="G35" s="557" t="s">
        <v>245</v>
      </c>
      <c r="H35" s="559">
        <v>2247608</v>
      </c>
      <c r="I35" s="557" t="s">
        <v>239</v>
      </c>
      <c r="J35" s="559">
        <v>296155</v>
      </c>
    </row>
    <row r="36" spans="1:10">
      <c r="A36" s="548">
        <v>2</v>
      </c>
      <c r="B36" s="557" t="s">
        <v>246</v>
      </c>
      <c r="C36" s="559">
        <v>154048</v>
      </c>
      <c r="D36" s="557" t="s">
        <v>519</v>
      </c>
      <c r="E36" s="559">
        <v>230008</v>
      </c>
      <c r="G36" s="557" t="s">
        <v>239</v>
      </c>
      <c r="H36" s="559">
        <v>1571428</v>
      </c>
      <c r="I36" s="557" t="s">
        <v>11</v>
      </c>
      <c r="J36" s="559">
        <v>67552</v>
      </c>
    </row>
    <row r="37" spans="1:10">
      <c r="A37" s="548">
        <v>3</v>
      </c>
      <c r="B37" s="557" t="s">
        <v>297</v>
      </c>
      <c r="C37" s="559">
        <v>117349</v>
      </c>
      <c r="D37" s="557" t="s">
        <v>520</v>
      </c>
      <c r="E37" s="559">
        <v>206752</v>
      </c>
      <c r="G37" s="557" t="s">
        <v>246</v>
      </c>
      <c r="H37" s="559">
        <v>1050674</v>
      </c>
      <c r="I37" s="557" t="s">
        <v>246</v>
      </c>
      <c r="J37" s="559">
        <v>63676</v>
      </c>
    </row>
    <row r="38" spans="1:10">
      <c r="A38" s="548">
        <v>4</v>
      </c>
      <c r="B38" s="557" t="s">
        <v>456</v>
      </c>
      <c r="C38" s="559">
        <v>100344</v>
      </c>
      <c r="D38" s="557" t="s">
        <v>481</v>
      </c>
      <c r="E38" s="559">
        <v>13911</v>
      </c>
      <c r="G38" s="557" t="s">
        <v>454</v>
      </c>
      <c r="H38" s="559">
        <v>423006</v>
      </c>
      <c r="I38" s="557" t="s">
        <v>453</v>
      </c>
      <c r="J38" s="559">
        <v>49829</v>
      </c>
    </row>
    <row r="39" spans="1:10">
      <c r="A39" s="548">
        <v>5</v>
      </c>
      <c r="B39" s="557" t="s">
        <v>453</v>
      </c>
      <c r="C39" s="559">
        <v>68023</v>
      </c>
      <c r="D39" s="557" t="s">
        <v>480</v>
      </c>
      <c r="E39" s="559">
        <v>626</v>
      </c>
      <c r="G39" s="557" t="s">
        <v>453</v>
      </c>
      <c r="H39" s="559">
        <v>394028</v>
      </c>
      <c r="I39" s="557" t="s">
        <v>455</v>
      </c>
      <c r="J39" s="559">
        <v>9753</v>
      </c>
    </row>
    <row r="40" spans="1:10">
      <c r="A40" s="548">
        <v>6</v>
      </c>
      <c r="B40" s="557" t="s">
        <v>270</v>
      </c>
      <c r="C40" s="559">
        <v>54173</v>
      </c>
      <c r="D40" s="557"/>
      <c r="E40" s="559"/>
      <c r="G40" s="557" t="s">
        <v>456</v>
      </c>
      <c r="H40" s="559">
        <v>369865</v>
      </c>
      <c r="I40" s="557" t="s">
        <v>458</v>
      </c>
      <c r="J40" s="559">
        <v>9503</v>
      </c>
    </row>
    <row r="41" spans="1:10">
      <c r="A41" s="548">
        <v>7</v>
      </c>
      <c r="B41" s="557" t="s">
        <v>263</v>
      </c>
      <c r="C41" s="559">
        <v>27477</v>
      </c>
      <c r="D41" s="557"/>
      <c r="E41" s="559"/>
      <c r="G41" s="557" t="s">
        <v>336</v>
      </c>
      <c r="H41" s="559">
        <v>128415</v>
      </c>
      <c r="I41" s="557" t="s">
        <v>10</v>
      </c>
      <c r="J41" s="559">
        <v>8972</v>
      </c>
    </row>
    <row r="42" spans="1:10">
      <c r="A42" s="548">
        <v>8</v>
      </c>
      <c r="B42" s="557" t="s">
        <v>472</v>
      </c>
      <c r="C42" s="559">
        <v>26164</v>
      </c>
      <c r="D42" s="557"/>
      <c r="E42" s="559"/>
      <c r="G42" s="557" t="s">
        <v>10</v>
      </c>
      <c r="H42" s="559">
        <v>106158</v>
      </c>
      <c r="I42" s="557" t="s">
        <v>452</v>
      </c>
      <c r="J42" s="559">
        <v>375</v>
      </c>
    </row>
    <row r="43" spans="1:10">
      <c r="A43" s="548">
        <v>9</v>
      </c>
      <c r="B43" s="557" t="s">
        <v>258</v>
      </c>
      <c r="C43" s="559">
        <v>21100</v>
      </c>
      <c r="D43" s="557"/>
      <c r="E43" s="559"/>
      <c r="G43" s="557" t="s">
        <v>261</v>
      </c>
      <c r="H43" s="559">
        <v>97781</v>
      </c>
      <c r="I43" s="557" t="s">
        <v>384</v>
      </c>
      <c r="J43" s="559">
        <v>250</v>
      </c>
    </row>
    <row r="44" spans="1:10">
      <c r="A44" s="548">
        <v>10</v>
      </c>
      <c r="B44" s="557" t="s">
        <v>457</v>
      </c>
      <c r="C44" s="559">
        <v>19225</v>
      </c>
      <c r="D44" s="557"/>
      <c r="E44" s="559"/>
      <c r="G44" s="557" t="s">
        <v>386</v>
      </c>
      <c r="H44" s="559">
        <v>90843</v>
      </c>
      <c r="I44" s="557" t="s">
        <v>461</v>
      </c>
      <c r="J44" s="559">
        <v>125</v>
      </c>
    </row>
    <row r="45" spans="1:10">
      <c r="B45" s="557" t="s">
        <v>102</v>
      </c>
      <c r="C45" s="559">
        <f>C46-SUM(C34:C44)</f>
        <v>94623</v>
      </c>
      <c r="D45" s="557" t="s">
        <v>423</v>
      </c>
      <c r="E45" s="559">
        <f>E46-SUM(E34:E44)</f>
        <v>0</v>
      </c>
      <c r="G45" s="557" t="s">
        <v>424</v>
      </c>
      <c r="H45" s="559">
        <f>H46-SUM(H34:H44)</f>
        <v>611757</v>
      </c>
      <c r="I45" s="557" t="s">
        <v>425</v>
      </c>
      <c r="J45" s="559">
        <f>J46-SUM(J34:J44)</f>
        <v>63</v>
      </c>
    </row>
    <row r="46" spans="1:10">
      <c r="B46" s="557" t="s">
        <v>103</v>
      </c>
      <c r="C46" s="559">
        <v>1518756</v>
      </c>
      <c r="D46" s="557" t="s">
        <v>103</v>
      </c>
      <c r="E46" s="559">
        <v>857077</v>
      </c>
      <c r="G46" s="557" t="s">
        <v>103</v>
      </c>
      <c r="H46" s="559">
        <v>7091563</v>
      </c>
      <c r="I46" s="557" t="s">
        <v>103</v>
      </c>
      <c r="J46" s="559">
        <v>506253</v>
      </c>
    </row>
    <row r="47" spans="1:10">
      <c r="B47" s="563"/>
      <c r="D47" s="563"/>
      <c r="G47" s="563"/>
      <c r="I47" s="563"/>
    </row>
    <row r="48" spans="1:10">
      <c r="B48" s="562" t="s">
        <v>426</v>
      </c>
      <c r="G48" s="564" t="s">
        <v>427</v>
      </c>
    </row>
    <row r="49" spans="1:10">
      <c r="B49" s="554" t="s">
        <v>98</v>
      </c>
      <c r="C49" s="555" t="s">
        <v>99</v>
      </c>
      <c r="D49" s="554" t="s">
        <v>100</v>
      </c>
      <c r="E49" s="555" t="s">
        <v>101</v>
      </c>
      <c r="G49" s="554" t="s">
        <v>98</v>
      </c>
      <c r="H49" s="555" t="s">
        <v>99</v>
      </c>
      <c r="I49" s="554" t="s">
        <v>100</v>
      </c>
      <c r="J49" s="555" t="s">
        <v>101</v>
      </c>
    </row>
    <row r="50" spans="1:10">
      <c r="A50" s="548">
        <v>1</v>
      </c>
      <c r="B50" s="557" t="s">
        <v>256</v>
      </c>
      <c r="C50" s="559">
        <v>1463802</v>
      </c>
      <c r="D50" s="557" t="s">
        <v>239</v>
      </c>
      <c r="E50" s="559">
        <v>1568741</v>
      </c>
      <c r="G50" s="560" t="s">
        <v>10</v>
      </c>
      <c r="H50" s="559">
        <v>35480</v>
      </c>
      <c r="I50" s="560" t="s">
        <v>111</v>
      </c>
      <c r="J50" s="559">
        <v>33354</v>
      </c>
    </row>
    <row r="51" spans="1:10">
      <c r="A51" s="548">
        <v>2</v>
      </c>
      <c r="B51" s="557" t="s">
        <v>239</v>
      </c>
      <c r="C51" s="559">
        <v>1287778</v>
      </c>
      <c r="D51" s="557" t="s">
        <v>458</v>
      </c>
      <c r="E51" s="559">
        <v>263662</v>
      </c>
      <c r="G51" s="560" t="s">
        <v>453</v>
      </c>
      <c r="H51" s="559">
        <v>6033</v>
      </c>
      <c r="I51" s="560" t="s">
        <v>478</v>
      </c>
      <c r="J51" s="559">
        <v>20600</v>
      </c>
    </row>
    <row r="52" spans="1:10">
      <c r="A52" s="548">
        <v>3</v>
      </c>
      <c r="B52" s="557" t="s">
        <v>453</v>
      </c>
      <c r="C52" s="559">
        <v>391718</v>
      </c>
      <c r="D52" s="557" t="s">
        <v>455</v>
      </c>
      <c r="E52" s="559">
        <v>109534</v>
      </c>
      <c r="G52" s="560" t="s">
        <v>288</v>
      </c>
      <c r="H52" s="559">
        <v>3251</v>
      </c>
      <c r="I52" s="560" t="s">
        <v>28</v>
      </c>
      <c r="J52" s="559">
        <v>94</v>
      </c>
    </row>
    <row r="53" spans="1:10">
      <c r="A53" s="548">
        <v>4</v>
      </c>
      <c r="B53" s="557" t="s">
        <v>246</v>
      </c>
      <c r="C53" s="559">
        <v>275086</v>
      </c>
      <c r="D53" s="557" t="s">
        <v>452</v>
      </c>
      <c r="E53" s="559">
        <v>73055</v>
      </c>
      <c r="G53" s="560" t="s">
        <v>384</v>
      </c>
      <c r="H53" s="559">
        <v>3063</v>
      </c>
      <c r="I53" s="560" t="s">
        <v>521</v>
      </c>
      <c r="J53" s="559">
        <v>94</v>
      </c>
    </row>
    <row r="54" spans="1:10">
      <c r="A54" s="548">
        <v>5</v>
      </c>
      <c r="B54" s="557" t="s">
        <v>454</v>
      </c>
      <c r="C54" s="559">
        <v>211599</v>
      </c>
      <c r="D54" s="557" t="s">
        <v>384</v>
      </c>
      <c r="E54" s="559">
        <v>66552</v>
      </c>
      <c r="G54" s="560" t="s">
        <v>245</v>
      </c>
      <c r="H54" s="559">
        <v>469</v>
      </c>
      <c r="I54" s="560"/>
      <c r="J54" s="559"/>
    </row>
    <row r="55" spans="1:10">
      <c r="A55" s="548">
        <v>6</v>
      </c>
      <c r="B55" s="557" t="s">
        <v>11</v>
      </c>
      <c r="C55" s="559">
        <v>194779</v>
      </c>
      <c r="D55" s="557" t="s">
        <v>461</v>
      </c>
      <c r="E55" s="559">
        <v>61613</v>
      </c>
      <c r="G55" s="560" t="s">
        <v>386</v>
      </c>
      <c r="H55" s="559">
        <v>406</v>
      </c>
      <c r="I55" s="560"/>
      <c r="J55" s="559"/>
    </row>
    <row r="56" spans="1:10">
      <c r="A56" s="548">
        <v>7</v>
      </c>
      <c r="B56" s="557" t="s">
        <v>457</v>
      </c>
      <c r="C56" s="559">
        <v>168178</v>
      </c>
      <c r="D56" s="557" t="s">
        <v>453</v>
      </c>
      <c r="E56" s="559">
        <v>47296</v>
      </c>
      <c r="G56" s="560" t="s">
        <v>232</v>
      </c>
      <c r="H56" s="559">
        <v>188</v>
      </c>
      <c r="I56" s="560"/>
      <c r="J56" s="559"/>
    </row>
    <row r="57" spans="1:10">
      <c r="A57" s="548">
        <v>8</v>
      </c>
      <c r="B57" s="557" t="s">
        <v>456</v>
      </c>
      <c r="C57" s="559">
        <v>150454</v>
      </c>
      <c r="D57" s="557" t="s">
        <v>12</v>
      </c>
      <c r="E57" s="559">
        <v>16380</v>
      </c>
      <c r="G57" s="560"/>
      <c r="H57" s="559"/>
      <c r="I57" s="560"/>
      <c r="J57" s="559"/>
    </row>
    <row r="58" spans="1:10">
      <c r="A58" s="548">
        <v>9</v>
      </c>
      <c r="B58" s="557" t="s">
        <v>462</v>
      </c>
      <c r="C58" s="559">
        <v>133948</v>
      </c>
      <c r="D58" s="557" t="s">
        <v>454</v>
      </c>
      <c r="E58" s="559">
        <v>11504</v>
      </c>
      <c r="G58" s="560"/>
      <c r="H58" s="559"/>
      <c r="I58" s="560"/>
      <c r="J58" s="559"/>
    </row>
    <row r="59" spans="1:10">
      <c r="A59" s="548">
        <v>10</v>
      </c>
      <c r="B59" s="557" t="s">
        <v>245</v>
      </c>
      <c r="C59" s="559">
        <v>101252</v>
      </c>
      <c r="D59" s="557" t="s">
        <v>246</v>
      </c>
      <c r="E59" s="559">
        <v>1438</v>
      </c>
      <c r="G59" s="560"/>
      <c r="H59" s="559"/>
      <c r="I59" s="560"/>
      <c r="J59" s="559"/>
    </row>
    <row r="60" spans="1:10">
      <c r="B60" s="557" t="s">
        <v>428</v>
      </c>
      <c r="C60" s="559">
        <f>C61-SUM(C49:C59)</f>
        <v>392593</v>
      </c>
      <c r="D60" s="557" t="s">
        <v>102</v>
      </c>
      <c r="E60" s="559">
        <f>E61-SUM(E49:E59)</f>
        <v>806</v>
      </c>
      <c r="G60" s="560" t="s">
        <v>429</v>
      </c>
      <c r="H60" s="559">
        <f>H61-SUM(H49:H59)</f>
        <v>0</v>
      </c>
      <c r="I60" s="557" t="s">
        <v>102</v>
      </c>
      <c r="J60" s="559">
        <f>J61-SUM(J49:J59)</f>
        <v>0</v>
      </c>
    </row>
    <row r="61" spans="1:10">
      <c r="B61" s="557" t="s">
        <v>103</v>
      </c>
      <c r="C61" s="559">
        <v>4771187</v>
      </c>
      <c r="D61" s="557" t="s">
        <v>103</v>
      </c>
      <c r="E61" s="559">
        <v>2220581</v>
      </c>
      <c r="G61" s="557" t="s">
        <v>103</v>
      </c>
      <c r="H61" s="559">
        <v>48890</v>
      </c>
      <c r="I61" s="557" t="s">
        <v>103</v>
      </c>
      <c r="J61" s="559">
        <v>54142</v>
      </c>
    </row>
    <row r="63" spans="1:10">
      <c r="B63" s="552" t="s">
        <v>402</v>
      </c>
      <c r="G63" s="552" t="s">
        <v>430</v>
      </c>
    </row>
    <row r="64" spans="1:10">
      <c r="B64" s="554" t="s">
        <v>98</v>
      </c>
      <c r="C64" s="555" t="s">
        <v>99</v>
      </c>
      <c r="D64" s="554" t="s">
        <v>100</v>
      </c>
      <c r="E64" s="555" t="s">
        <v>101</v>
      </c>
      <c r="G64" s="554" t="s">
        <v>98</v>
      </c>
      <c r="H64" s="555" t="s">
        <v>99</v>
      </c>
      <c r="I64" s="554" t="s">
        <v>100</v>
      </c>
      <c r="J64" s="555" t="s">
        <v>101</v>
      </c>
    </row>
    <row r="65" spans="1:10">
      <c r="A65" s="548">
        <v>1</v>
      </c>
      <c r="B65" s="560" t="s">
        <v>453</v>
      </c>
      <c r="C65" s="559">
        <v>40918</v>
      </c>
      <c r="D65" s="560" t="s">
        <v>478</v>
      </c>
      <c r="E65" s="559">
        <v>136230</v>
      </c>
      <c r="G65" s="557" t="s">
        <v>246</v>
      </c>
      <c r="H65" s="559">
        <v>5401688</v>
      </c>
      <c r="I65" s="557" t="s">
        <v>384</v>
      </c>
      <c r="J65" s="559">
        <v>5277183</v>
      </c>
    </row>
    <row r="66" spans="1:10">
      <c r="A66" s="548">
        <v>2</v>
      </c>
      <c r="B66" s="560" t="s">
        <v>386</v>
      </c>
      <c r="C66" s="559">
        <v>37075</v>
      </c>
      <c r="D66" s="560" t="s">
        <v>482</v>
      </c>
      <c r="E66" s="559">
        <v>46234</v>
      </c>
      <c r="G66" s="557" t="s">
        <v>239</v>
      </c>
      <c r="H66" s="559">
        <v>2021663</v>
      </c>
      <c r="I66" s="557" t="s">
        <v>239</v>
      </c>
      <c r="J66" s="559">
        <v>1144939</v>
      </c>
    </row>
    <row r="67" spans="1:10">
      <c r="A67" s="548">
        <v>3</v>
      </c>
      <c r="B67" s="560" t="s">
        <v>384</v>
      </c>
      <c r="C67" s="559">
        <v>21538</v>
      </c>
      <c r="D67" s="560" t="s">
        <v>483</v>
      </c>
      <c r="E67" s="559">
        <v>3063</v>
      </c>
      <c r="G67" s="557" t="s">
        <v>245</v>
      </c>
      <c r="H67" s="559">
        <v>1061364</v>
      </c>
      <c r="I67" s="557" t="s">
        <v>458</v>
      </c>
      <c r="J67" s="559">
        <v>287310</v>
      </c>
    </row>
    <row r="68" spans="1:10">
      <c r="A68" s="548">
        <v>4</v>
      </c>
      <c r="B68" s="557" t="s">
        <v>454</v>
      </c>
      <c r="C68" s="559">
        <v>2782</v>
      </c>
      <c r="D68" s="560" t="s">
        <v>227</v>
      </c>
      <c r="E68" s="559">
        <v>500</v>
      </c>
      <c r="G68" s="557" t="s">
        <v>12</v>
      </c>
      <c r="H68" s="559">
        <v>952610</v>
      </c>
      <c r="I68" s="557" t="s">
        <v>457</v>
      </c>
      <c r="J68" s="559">
        <v>152641</v>
      </c>
    </row>
    <row r="69" spans="1:10">
      <c r="A69" s="548">
        <v>5</v>
      </c>
      <c r="B69" s="557" t="s">
        <v>246</v>
      </c>
      <c r="C69" s="559">
        <v>2344</v>
      </c>
      <c r="D69" s="560"/>
      <c r="E69" s="559"/>
      <c r="G69" s="557" t="s">
        <v>453</v>
      </c>
      <c r="H69" s="559">
        <v>877777</v>
      </c>
      <c r="I69" s="557" t="s">
        <v>246</v>
      </c>
      <c r="J69" s="559">
        <v>124039</v>
      </c>
    </row>
    <row r="70" spans="1:10">
      <c r="A70" s="548">
        <v>6</v>
      </c>
      <c r="B70" s="557" t="s">
        <v>462</v>
      </c>
      <c r="C70" s="559">
        <v>2219</v>
      </c>
      <c r="D70" s="560"/>
      <c r="E70" s="559"/>
      <c r="G70" s="557" t="s">
        <v>457</v>
      </c>
      <c r="H70" s="559">
        <v>566615</v>
      </c>
      <c r="I70" s="557" t="s">
        <v>452</v>
      </c>
      <c r="J70" s="559">
        <v>96968</v>
      </c>
    </row>
    <row r="71" spans="1:10">
      <c r="A71" s="548">
        <v>7</v>
      </c>
      <c r="B71" s="557" t="s">
        <v>6</v>
      </c>
      <c r="C71" s="559">
        <v>500</v>
      </c>
      <c r="D71" s="557"/>
      <c r="E71" s="559"/>
      <c r="G71" s="557" t="s">
        <v>456</v>
      </c>
      <c r="H71" s="559">
        <v>510474</v>
      </c>
      <c r="I71" s="557" t="s">
        <v>461</v>
      </c>
      <c r="J71" s="559">
        <v>37919</v>
      </c>
    </row>
    <row r="72" spans="1:10">
      <c r="A72" s="548">
        <v>8</v>
      </c>
      <c r="B72" s="557"/>
      <c r="C72" s="559"/>
      <c r="D72" s="557"/>
      <c r="E72" s="559"/>
      <c r="G72" s="557" t="s">
        <v>10</v>
      </c>
      <c r="H72" s="559">
        <v>455203</v>
      </c>
      <c r="I72" s="557" t="s">
        <v>245</v>
      </c>
      <c r="J72" s="559">
        <v>19694</v>
      </c>
    </row>
    <row r="73" spans="1:10">
      <c r="A73" s="548">
        <v>9</v>
      </c>
      <c r="B73" s="557"/>
      <c r="C73" s="559"/>
      <c r="D73" s="557"/>
      <c r="E73" s="559"/>
      <c r="G73" s="557" t="s">
        <v>9</v>
      </c>
      <c r="H73" s="559">
        <v>429883</v>
      </c>
      <c r="I73" s="557" t="s">
        <v>454</v>
      </c>
      <c r="J73" s="559">
        <v>14411</v>
      </c>
    </row>
    <row r="74" spans="1:10">
      <c r="A74" s="548">
        <v>10</v>
      </c>
      <c r="B74" s="557"/>
      <c r="C74" s="559"/>
      <c r="D74" s="557"/>
      <c r="E74" s="559"/>
      <c r="G74" s="557" t="s">
        <v>258</v>
      </c>
      <c r="H74" s="559">
        <v>415599</v>
      </c>
      <c r="I74" s="557" t="s">
        <v>261</v>
      </c>
      <c r="J74" s="559">
        <v>9347</v>
      </c>
    </row>
    <row r="75" spans="1:10">
      <c r="B75" s="557" t="s">
        <v>102</v>
      </c>
      <c r="C75" s="559">
        <f>C76-SUM(C64:C74)</f>
        <v>0</v>
      </c>
      <c r="D75" s="557" t="s">
        <v>102</v>
      </c>
      <c r="E75" s="559">
        <f>E76-SUM(E64:E74)</f>
        <v>0</v>
      </c>
      <c r="G75" s="557" t="s">
        <v>102</v>
      </c>
      <c r="H75" s="559">
        <f>H76-SUM(H64:H74)</f>
        <v>2383899</v>
      </c>
      <c r="I75" s="557" t="s">
        <v>431</v>
      </c>
      <c r="J75" s="559">
        <f>J76-SUM(J64:J74)</f>
        <v>16756</v>
      </c>
    </row>
    <row r="76" spans="1:10">
      <c r="B76" s="557" t="s">
        <v>103</v>
      </c>
      <c r="C76" s="559">
        <v>107376</v>
      </c>
      <c r="D76" s="557" t="s">
        <v>103</v>
      </c>
      <c r="E76" s="559">
        <v>186027</v>
      </c>
      <c r="G76" s="557" t="s">
        <v>103</v>
      </c>
      <c r="H76" s="559">
        <v>15076775</v>
      </c>
      <c r="I76" s="557" t="s">
        <v>103</v>
      </c>
      <c r="J76" s="559">
        <v>7181207</v>
      </c>
    </row>
    <row r="78" spans="1:10">
      <c r="B78" s="562" t="s">
        <v>432</v>
      </c>
      <c r="G78" s="552" t="s">
        <v>433</v>
      </c>
    </row>
    <row r="79" spans="1:10">
      <c r="B79" s="554" t="s">
        <v>98</v>
      </c>
      <c r="C79" s="555" t="s">
        <v>99</v>
      </c>
      <c r="D79" s="554" t="s">
        <v>100</v>
      </c>
      <c r="E79" s="555" t="s">
        <v>101</v>
      </c>
      <c r="G79" s="554" t="s">
        <v>98</v>
      </c>
      <c r="H79" s="555" t="s">
        <v>99</v>
      </c>
      <c r="I79" s="554" t="s">
        <v>100</v>
      </c>
      <c r="J79" s="555" t="s">
        <v>101</v>
      </c>
    </row>
    <row r="80" spans="1:10">
      <c r="A80" s="548">
        <v>1</v>
      </c>
      <c r="B80" s="557" t="s">
        <v>246</v>
      </c>
      <c r="C80" s="559">
        <v>849295</v>
      </c>
      <c r="D80" s="557" t="s">
        <v>239</v>
      </c>
      <c r="E80" s="559">
        <v>343361</v>
      </c>
      <c r="G80" s="557" t="s">
        <v>246</v>
      </c>
      <c r="H80" s="559">
        <v>490906</v>
      </c>
      <c r="I80" s="557" t="s">
        <v>239</v>
      </c>
      <c r="J80" s="559">
        <v>238253</v>
      </c>
    </row>
    <row r="81" spans="1:10">
      <c r="A81" s="548">
        <v>2</v>
      </c>
      <c r="B81" s="557" t="s">
        <v>453</v>
      </c>
      <c r="C81" s="559">
        <v>548076</v>
      </c>
      <c r="D81" s="557" t="s">
        <v>10</v>
      </c>
      <c r="E81" s="559">
        <v>258394</v>
      </c>
      <c r="G81" s="557" t="s">
        <v>453</v>
      </c>
      <c r="H81" s="559">
        <v>349453</v>
      </c>
      <c r="I81" s="557" t="s">
        <v>384</v>
      </c>
      <c r="J81" s="559">
        <v>62582</v>
      </c>
    </row>
    <row r="82" spans="1:10">
      <c r="A82" s="548">
        <v>3</v>
      </c>
      <c r="B82" s="557" t="s">
        <v>10</v>
      </c>
      <c r="C82" s="559">
        <v>148360</v>
      </c>
      <c r="D82" s="557" t="s">
        <v>271</v>
      </c>
      <c r="E82" s="559">
        <v>57236</v>
      </c>
      <c r="G82" s="557" t="s">
        <v>247</v>
      </c>
      <c r="H82" s="559">
        <v>230386</v>
      </c>
      <c r="I82" s="557" t="s">
        <v>458</v>
      </c>
      <c r="J82" s="559">
        <v>37512</v>
      </c>
    </row>
    <row r="83" spans="1:10">
      <c r="A83" s="548">
        <v>4</v>
      </c>
      <c r="B83" s="557" t="s">
        <v>239</v>
      </c>
      <c r="C83" s="559">
        <v>124508</v>
      </c>
      <c r="D83" s="557" t="s">
        <v>457</v>
      </c>
      <c r="E83" s="559">
        <v>49108</v>
      </c>
      <c r="G83" s="557" t="s">
        <v>6</v>
      </c>
      <c r="H83" s="559">
        <v>225319</v>
      </c>
      <c r="I83" s="557" t="s">
        <v>452</v>
      </c>
      <c r="J83" s="559">
        <v>16536</v>
      </c>
    </row>
    <row r="84" spans="1:10">
      <c r="A84" s="548">
        <v>5</v>
      </c>
      <c r="B84" s="557" t="s">
        <v>245</v>
      </c>
      <c r="C84" s="559">
        <v>85808</v>
      </c>
      <c r="D84" s="557" t="s">
        <v>384</v>
      </c>
      <c r="E84" s="559">
        <v>6252</v>
      </c>
      <c r="G84" s="557" t="s">
        <v>245</v>
      </c>
      <c r="H84" s="559">
        <v>202814</v>
      </c>
      <c r="I84" s="557" t="s">
        <v>453</v>
      </c>
      <c r="J84" s="559">
        <v>15380</v>
      </c>
    </row>
    <row r="85" spans="1:10">
      <c r="A85" s="548">
        <v>6</v>
      </c>
      <c r="B85" s="557" t="s">
        <v>454</v>
      </c>
      <c r="C85" s="559">
        <v>83462</v>
      </c>
      <c r="D85" s="557" t="s">
        <v>452</v>
      </c>
      <c r="E85" s="559">
        <v>3345</v>
      </c>
      <c r="G85" s="557" t="s">
        <v>10</v>
      </c>
      <c r="H85" s="559">
        <v>199126</v>
      </c>
      <c r="I85" s="557" t="s">
        <v>457</v>
      </c>
      <c r="J85" s="559">
        <v>5689</v>
      </c>
    </row>
    <row r="86" spans="1:10">
      <c r="A86" s="548">
        <v>7</v>
      </c>
      <c r="B86" s="557" t="s">
        <v>456</v>
      </c>
      <c r="C86" s="559">
        <v>72304</v>
      </c>
      <c r="D86" s="557" t="s">
        <v>269</v>
      </c>
      <c r="E86" s="559">
        <v>1313</v>
      </c>
      <c r="G86" s="557" t="s">
        <v>239</v>
      </c>
      <c r="H86" s="559">
        <v>193530</v>
      </c>
      <c r="I86" s="557" t="s">
        <v>269</v>
      </c>
      <c r="J86" s="559">
        <v>1969</v>
      </c>
    </row>
    <row r="87" spans="1:10">
      <c r="A87" s="548">
        <v>8</v>
      </c>
      <c r="B87" s="557" t="s">
        <v>384</v>
      </c>
      <c r="C87" s="559">
        <v>62863</v>
      </c>
      <c r="D87" s="557"/>
      <c r="E87" s="559"/>
      <c r="G87" s="557" t="s">
        <v>454</v>
      </c>
      <c r="H87" s="559">
        <v>170991</v>
      </c>
      <c r="I87" s="557" t="s">
        <v>454</v>
      </c>
      <c r="J87" s="559">
        <v>875</v>
      </c>
    </row>
    <row r="88" spans="1:10">
      <c r="A88" s="548">
        <v>9</v>
      </c>
      <c r="B88" s="557" t="s">
        <v>457</v>
      </c>
      <c r="C88" s="559">
        <v>37136</v>
      </c>
      <c r="D88" s="557"/>
      <c r="E88" s="559"/>
      <c r="G88" s="557" t="s">
        <v>258</v>
      </c>
      <c r="H88" s="559">
        <v>102656</v>
      </c>
      <c r="I88" s="557" t="s">
        <v>246</v>
      </c>
      <c r="J88" s="559">
        <v>376</v>
      </c>
    </row>
    <row r="89" spans="1:10">
      <c r="A89" s="548">
        <v>10</v>
      </c>
      <c r="B89" s="557" t="s">
        <v>6</v>
      </c>
      <c r="C89" s="559">
        <v>36293</v>
      </c>
      <c r="D89" s="557"/>
      <c r="E89" s="559"/>
      <c r="G89" s="557" t="s">
        <v>384</v>
      </c>
      <c r="H89" s="559">
        <v>96468</v>
      </c>
      <c r="I89" s="557" t="s">
        <v>232</v>
      </c>
      <c r="J89" s="559">
        <v>31</v>
      </c>
    </row>
    <row r="90" spans="1:10">
      <c r="B90" s="557" t="s">
        <v>102</v>
      </c>
      <c r="C90" s="559">
        <f>C91-SUM(C80:C89)</f>
        <v>290182</v>
      </c>
      <c r="D90" s="557" t="s">
        <v>102</v>
      </c>
      <c r="E90" s="559">
        <f>E91-SUM(E79:E89)</f>
        <v>0</v>
      </c>
      <c r="G90" s="557" t="s">
        <v>434</v>
      </c>
      <c r="H90" s="559">
        <f>H91-SUM(H79:H89)</f>
        <v>584648</v>
      </c>
      <c r="I90" s="557" t="s">
        <v>102</v>
      </c>
      <c r="J90" s="559">
        <f>J91-SUM(J79:J89)</f>
        <v>0</v>
      </c>
    </row>
    <row r="91" spans="1:10">
      <c r="B91" s="557" t="s">
        <v>103</v>
      </c>
      <c r="C91" s="559">
        <v>2338287</v>
      </c>
      <c r="D91" s="557" t="s">
        <v>103</v>
      </c>
      <c r="E91" s="559">
        <v>719009</v>
      </c>
      <c r="G91" s="557" t="s">
        <v>103</v>
      </c>
      <c r="H91" s="559">
        <v>2846297</v>
      </c>
      <c r="I91" s="557" t="s">
        <v>103</v>
      </c>
      <c r="J91" s="559">
        <v>379203</v>
      </c>
    </row>
    <row r="93" spans="1:10">
      <c r="B93" s="552" t="s">
        <v>435</v>
      </c>
      <c r="G93" s="562" t="s">
        <v>403</v>
      </c>
    </row>
    <row r="94" spans="1:10">
      <c r="B94" s="554" t="s">
        <v>98</v>
      </c>
      <c r="C94" s="555" t="s">
        <v>99</v>
      </c>
      <c r="D94" s="554" t="s">
        <v>100</v>
      </c>
      <c r="E94" s="555" t="s">
        <v>101</v>
      </c>
      <c r="G94" s="554" t="s">
        <v>98</v>
      </c>
      <c r="H94" s="555" t="s">
        <v>99</v>
      </c>
      <c r="I94" s="554" t="s">
        <v>100</v>
      </c>
      <c r="J94" s="555" t="s">
        <v>101</v>
      </c>
    </row>
    <row r="95" spans="1:10">
      <c r="A95" s="548">
        <v>1</v>
      </c>
      <c r="B95" s="557" t="s">
        <v>246</v>
      </c>
      <c r="C95" s="559">
        <v>1946170</v>
      </c>
      <c r="D95" s="560" t="s">
        <v>384</v>
      </c>
      <c r="E95" s="559">
        <v>1982685</v>
      </c>
      <c r="G95" s="557" t="s">
        <v>245</v>
      </c>
      <c r="H95" s="559">
        <v>2617597</v>
      </c>
      <c r="I95" s="557" t="s">
        <v>12</v>
      </c>
      <c r="J95" s="559">
        <v>278932</v>
      </c>
    </row>
    <row r="96" spans="1:10">
      <c r="A96" s="548">
        <v>2</v>
      </c>
      <c r="B96" s="557" t="s">
        <v>239</v>
      </c>
      <c r="C96" s="559">
        <v>987246</v>
      </c>
      <c r="D96" s="560" t="s">
        <v>239</v>
      </c>
      <c r="E96" s="559">
        <v>546781</v>
      </c>
      <c r="G96" s="557" t="s">
        <v>239</v>
      </c>
      <c r="H96" s="559">
        <v>150202</v>
      </c>
      <c r="I96" s="560" t="s">
        <v>384</v>
      </c>
      <c r="J96" s="559">
        <v>259707</v>
      </c>
    </row>
    <row r="97" spans="1:15">
      <c r="A97" s="548">
        <v>3</v>
      </c>
      <c r="B97" s="557" t="s">
        <v>453</v>
      </c>
      <c r="C97" s="559">
        <v>818351</v>
      </c>
      <c r="D97" s="560" t="s">
        <v>458</v>
      </c>
      <c r="E97" s="559">
        <v>467893</v>
      </c>
      <c r="G97" s="557" t="s">
        <v>456</v>
      </c>
      <c r="H97" s="559">
        <v>103001</v>
      </c>
      <c r="I97" s="560" t="s">
        <v>239</v>
      </c>
      <c r="J97" s="559">
        <v>172929</v>
      </c>
    </row>
    <row r="98" spans="1:15">
      <c r="A98" s="548">
        <v>4</v>
      </c>
      <c r="B98" s="557" t="s">
        <v>456</v>
      </c>
      <c r="C98" s="559">
        <v>400283</v>
      </c>
      <c r="D98" s="560" t="s">
        <v>453</v>
      </c>
      <c r="E98" s="559">
        <v>68960</v>
      </c>
      <c r="G98" s="557" t="s">
        <v>454</v>
      </c>
      <c r="H98" s="559">
        <v>70490</v>
      </c>
      <c r="I98" s="557" t="s">
        <v>457</v>
      </c>
      <c r="J98" s="559">
        <v>20850</v>
      </c>
    </row>
    <row r="99" spans="1:15">
      <c r="A99" s="548">
        <v>5</v>
      </c>
      <c r="B99" s="557" t="s">
        <v>245</v>
      </c>
      <c r="C99" s="559">
        <v>328883</v>
      </c>
      <c r="D99" s="560" t="s">
        <v>452</v>
      </c>
      <c r="E99" s="559">
        <v>47787</v>
      </c>
      <c r="G99" s="557" t="s">
        <v>457</v>
      </c>
      <c r="H99" s="559">
        <v>56393</v>
      </c>
      <c r="I99" s="560" t="s">
        <v>452</v>
      </c>
      <c r="J99" s="559">
        <v>13504</v>
      </c>
    </row>
    <row r="100" spans="1:15">
      <c r="A100" s="548">
        <v>6</v>
      </c>
      <c r="B100" s="557" t="s">
        <v>457</v>
      </c>
      <c r="C100" s="559">
        <v>267051</v>
      </c>
      <c r="D100" s="560" t="s">
        <v>249</v>
      </c>
      <c r="E100" s="559">
        <v>29509</v>
      </c>
      <c r="G100" s="557" t="s">
        <v>522</v>
      </c>
      <c r="H100" s="559">
        <v>53360</v>
      </c>
      <c r="I100" s="557" t="s">
        <v>460</v>
      </c>
      <c r="J100" s="559">
        <v>63</v>
      </c>
    </row>
    <row r="101" spans="1:15">
      <c r="A101" s="548">
        <v>7</v>
      </c>
      <c r="B101" s="557" t="s">
        <v>12</v>
      </c>
      <c r="C101" s="559">
        <v>266674</v>
      </c>
      <c r="D101" s="560" t="s">
        <v>10</v>
      </c>
      <c r="E101" s="559">
        <v>13566</v>
      </c>
      <c r="G101" s="557" t="s">
        <v>386</v>
      </c>
      <c r="H101" s="559">
        <v>45671</v>
      </c>
      <c r="I101" s="557"/>
      <c r="J101" s="559"/>
    </row>
    <row r="102" spans="1:15">
      <c r="A102" s="548">
        <v>8</v>
      </c>
      <c r="B102" s="557" t="s">
        <v>11</v>
      </c>
      <c r="C102" s="559">
        <v>261396</v>
      </c>
      <c r="D102" s="560" t="s">
        <v>473</v>
      </c>
      <c r="E102" s="559">
        <v>10847</v>
      </c>
      <c r="G102" s="557" t="s">
        <v>12</v>
      </c>
      <c r="H102" s="559">
        <v>42857</v>
      </c>
      <c r="I102" s="557"/>
      <c r="J102" s="559"/>
    </row>
    <row r="103" spans="1:15">
      <c r="A103" s="548">
        <v>9</v>
      </c>
      <c r="B103" s="557" t="s">
        <v>9</v>
      </c>
      <c r="C103" s="559">
        <v>227884</v>
      </c>
      <c r="D103" s="560" t="s">
        <v>472</v>
      </c>
      <c r="E103" s="559">
        <v>125</v>
      </c>
      <c r="G103" s="557" t="s">
        <v>247</v>
      </c>
      <c r="H103" s="559">
        <v>41170</v>
      </c>
      <c r="I103" s="557"/>
      <c r="J103" s="559"/>
    </row>
    <row r="104" spans="1:15">
      <c r="A104" s="548">
        <v>10</v>
      </c>
      <c r="B104" s="557" t="s">
        <v>10</v>
      </c>
      <c r="C104" s="559">
        <v>171365</v>
      </c>
      <c r="D104" s="560" t="s">
        <v>246</v>
      </c>
      <c r="E104" s="559">
        <v>94</v>
      </c>
      <c r="G104" s="557" t="s">
        <v>288</v>
      </c>
      <c r="H104" s="559">
        <v>35229</v>
      </c>
      <c r="I104" s="557"/>
      <c r="J104" s="559"/>
    </row>
    <row r="105" spans="1:15">
      <c r="B105" s="557" t="s">
        <v>102</v>
      </c>
      <c r="C105" s="559">
        <f>C106-SUM(C94:C104)</f>
        <v>1039824</v>
      </c>
      <c r="D105" s="557" t="s">
        <v>102</v>
      </c>
      <c r="E105" s="559">
        <f>E106-SUM(E94:E104)</f>
        <v>0</v>
      </c>
      <c r="G105" s="560" t="s">
        <v>429</v>
      </c>
      <c r="H105" s="559">
        <f>H106-SUM(H94:H104)</f>
        <v>230165</v>
      </c>
      <c r="I105" s="557" t="s">
        <v>102</v>
      </c>
      <c r="J105" s="559">
        <f>J106-SUM(J94:J104)</f>
        <v>0</v>
      </c>
    </row>
    <row r="106" spans="1:15">
      <c r="B106" s="557" t="s">
        <v>103</v>
      </c>
      <c r="C106" s="559">
        <v>6715127</v>
      </c>
      <c r="D106" s="557" t="s">
        <v>103</v>
      </c>
      <c r="E106" s="559">
        <v>3168247</v>
      </c>
      <c r="G106" s="557" t="s">
        <v>103</v>
      </c>
      <c r="H106" s="559">
        <v>3446135</v>
      </c>
      <c r="I106" s="557" t="s">
        <v>103</v>
      </c>
      <c r="J106" s="559">
        <v>745985</v>
      </c>
    </row>
    <row r="108" spans="1:15">
      <c r="B108" s="552" t="s">
        <v>436</v>
      </c>
      <c r="G108" s="564" t="s">
        <v>437</v>
      </c>
      <c r="L108" s="565"/>
      <c r="M108" s="565"/>
      <c r="N108" s="565"/>
      <c r="O108" s="565"/>
    </row>
    <row r="109" spans="1:15">
      <c r="B109" s="554" t="s">
        <v>98</v>
      </c>
      <c r="C109" s="555" t="s">
        <v>99</v>
      </c>
      <c r="D109" s="554" t="s">
        <v>100</v>
      </c>
      <c r="E109" s="555" t="s">
        <v>101</v>
      </c>
      <c r="G109" s="554" t="s">
        <v>98</v>
      </c>
      <c r="H109" s="555" t="s">
        <v>99</v>
      </c>
      <c r="I109" s="554" t="s">
        <v>100</v>
      </c>
      <c r="J109" s="555" t="s">
        <v>101</v>
      </c>
      <c r="L109" s="565"/>
      <c r="M109" s="565"/>
      <c r="N109" s="565"/>
      <c r="O109" s="565"/>
    </row>
    <row r="110" spans="1:15">
      <c r="A110" s="548">
        <v>1</v>
      </c>
      <c r="B110" s="566" t="s">
        <v>246</v>
      </c>
      <c r="C110" s="559">
        <v>1670678</v>
      </c>
      <c r="D110" s="557" t="s">
        <v>384</v>
      </c>
      <c r="E110" s="559">
        <v>1545746</v>
      </c>
      <c r="G110" s="557" t="s">
        <v>246</v>
      </c>
      <c r="H110" s="559">
        <v>1140323</v>
      </c>
      <c r="I110" s="560" t="s">
        <v>452</v>
      </c>
      <c r="J110" s="559">
        <v>899860</v>
      </c>
      <c r="L110" s="565"/>
      <c r="M110" s="565"/>
      <c r="N110" s="565"/>
      <c r="O110" s="565"/>
    </row>
    <row r="111" spans="1:15">
      <c r="A111" s="548">
        <v>2</v>
      </c>
      <c r="B111" s="566" t="s">
        <v>239</v>
      </c>
      <c r="C111" s="559">
        <v>1613975</v>
      </c>
      <c r="D111" s="560" t="s">
        <v>239</v>
      </c>
      <c r="E111" s="559">
        <v>562038</v>
      </c>
      <c r="G111" s="557" t="s">
        <v>239</v>
      </c>
      <c r="H111" s="559">
        <v>806503</v>
      </c>
      <c r="I111" s="560" t="s">
        <v>384</v>
      </c>
      <c r="J111" s="559">
        <v>699986</v>
      </c>
      <c r="L111" s="565"/>
      <c r="M111" s="565"/>
      <c r="N111" s="565"/>
      <c r="O111" s="565"/>
    </row>
    <row r="112" spans="1:15">
      <c r="A112" s="548">
        <v>3</v>
      </c>
      <c r="B112" s="566" t="s">
        <v>453</v>
      </c>
      <c r="C112" s="559">
        <v>924573</v>
      </c>
      <c r="D112" s="560" t="s">
        <v>480</v>
      </c>
      <c r="E112" s="559">
        <v>334042</v>
      </c>
      <c r="G112" s="557" t="s">
        <v>453</v>
      </c>
      <c r="H112" s="559">
        <v>588278</v>
      </c>
      <c r="I112" s="560" t="s">
        <v>12</v>
      </c>
      <c r="J112" s="559">
        <v>209315</v>
      </c>
      <c r="L112" s="565"/>
      <c r="M112" s="565"/>
      <c r="N112" s="565"/>
      <c r="O112" s="565"/>
    </row>
    <row r="113" spans="1:15">
      <c r="A113" s="548">
        <v>4</v>
      </c>
      <c r="B113" s="566" t="s">
        <v>456</v>
      </c>
      <c r="C113" s="559">
        <v>547077</v>
      </c>
      <c r="D113" s="557" t="s">
        <v>227</v>
      </c>
      <c r="E113" s="559">
        <v>156891</v>
      </c>
      <c r="G113" s="557" t="s">
        <v>245</v>
      </c>
      <c r="H113" s="559">
        <v>492779</v>
      </c>
      <c r="I113" s="560" t="s">
        <v>239</v>
      </c>
      <c r="J113" s="559">
        <v>149078</v>
      </c>
      <c r="L113" s="565"/>
      <c r="M113" s="565"/>
      <c r="N113" s="565"/>
      <c r="O113" s="565"/>
    </row>
    <row r="114" spans="1:15">
      <c r="A114" s="548">
        <v>5</v>
      </c>
      <c r="B114" s="566" t="s">
        <v>9</v>
      </c>
      <c r="C114" s="559">
        <v>342606</v>
      </c>
      <c r="D114" s="560"/>
      <c r="E114" s="559"/>
      <c r="G114" s="557" t="s">
        <v>12</v>
      </c>
      <c r="H114" s="559">
        <v>316191</v>
      </c>
      <c r="I114" s="560" t="s">
        <v>455</v>
      </c>
      <c r="J114" s="559">
        <v>110722</v>
      </c>
      <c r="L114" s="565"/>
      <c r="M114" s="565"/>
      <c r="N114" s="565"/>
      <c r="O114" s="565"/>
    </row>
    <row r="115" spans="1:15">
      <c r="A115" s="548">
        <v>6</v>
      </c>
      <c r="B115" s="566" t="s">
        <v>245</v>
      </c>
      <c r="C115" s="559">
        <v>337043</v>
      </c>
      <c r="D115" s="560"/>
      <c r="E115" s="559"/>
      <c r="G115" s="557" t="s">
        <v>456</v>
      </c>
      <c r="H115" s="559">
        <v>304313</v>
      </c>
      <c r="I115" s="560" t="s">
        <v>453</v>
      </c>
      <c r="J115" s="559">
        <v>35574</v>
      </c>
      <c r="L115" s="565"/>
      <c r="M115" s="565"/>
      <c r="N115" s="565"/>
      <c r="O115" s="565"/>
    </row>
    <row r="116" spans="1:15">
      <c r="A116" s="548">
        <v>7</v>
      </c>
      <c r="B116" s="566" t="s">
        <v>12</v>
      </c>
      <c r="C116" s="559">
        <v>329134</v>
      </c>
      <c r="D116" s="557"/>
      <c r="E116" s="559"/>
      <c r="G116" s="557" t="s">
        <v>10</v>
      </c>
      <c r="H116" s="559">
        <v>286183</v>
      </c>
      <c r="I116" s="560" t="s">
        <v>246</v>
      </c>
      <c r="J116" s="559">
        <v>28791</v>
      </c>
      <c r="L116" s="565"/>
      <c r="M116" s="565"/>
      <c r="N116" s="565"/>
      <c r="O116" s="565"/>
    </row>
    <row r="117" spans="1:15">
      <c r="A117" s="548">
        <v>8</v>
      </c>
      <c r="B117" s="566" t="s">
        <v>457</v>
      </c>
      <c r="C117" s="559">
        <v>156425</v>
      </c>
      <c r="D117" s="557"/>
      <c r="E117" s="559"/>
      <c r="G117" s="557" t="s">
        <v>457</v>
      </c>
      <c r="H117" s="559">
        <v>231417</v>
      </c>
      <c r="I117" s="560" t="s">
        <v>461</v>
      </c>
      <c r="J117" s="559">
        <v>20944</v>
      </c>
      <c r="L117" s="565"/>
      <c r="M117" s="565"/>
      <c r="N117" s="565"/>
      <c r="O117" s="565"/>
    </row>
    <row r="118" spans="1:15">
      <c r="A118" s="548">
        <v>9</v>
      </c>
      <c r="B118" s="566" t="s">
        <v>258</v>
      </c>
      <c r="C118" s="559">
        <v>152391</v>
      </c>
      <c r="D118" s="557"/>
      <c r="E118" s="559"/>
      <c r="G118" s="557" t="s">
        <v>9</v>
      </c>
      <c r="H118" s="559">
        <v>192312</v>
      </c>
      <c r="I118" s="560" t="s">
        <v>474</v>
      </c>
      <c r="J118" s="559">
        <v>16818</v>
      </c>
      <c r="L118" s="565"/>
      <c r="M118" s="565"/>
      <c r="N118" s="565"/>
      <c r="O118" s="565"/>
    </row>
    <row r="119" spans="1:15">
      <c r="A119" s="548">
        <v>10</v>
      </c>
      <c r="B119" s="566" t="s">
        <v>11</v>
      </c>
      <c r="C119" s="559">
        <v>151641</v>
      </c>
      <c r="D119" s="557"/>
      <c r="E119" s="559"/>
      <c r="G119" s="557" t="s">
        <v>247</v>
      </c>
      <c r="H119" s="559">
        <v>148391</v>
      </c>
      <c r="I119" s="560" t="s">
        <v>256</v>
      </c>
      <c r="J119" s="559">
        <v>4471</v>
      </c>
      <c r="L119" s="565"/>
      <c r="M119" s="565"/>
      <c r="N119" s="565"/>
      <c r="O119" s="565"/>
    </row>
    <row r="120" spans="1:15">
      <c r="B120" s="557" t="s">
        <v>102</v>
      </c>
      <c r="C120" s="559">
        <f>C121-SUM(C109:C119)</f>
        <v>821068</v>
      </c>
      <c r="D120" s="557" t="s">
        <v>102</v>
      </c>
      <c r="E120" s="559">
        <f>E121-SUM(E109:E119)</f>
        <v>0</v>
      </c>
      <c r="G120" s="557" t="s">
        <v>429</v>
      </c>
      <c r="H120" s="559">
        <f>H121-SUM(H109:H119)</f>
        <v>998247</v>
      </c>
      <c r="I120" s="567" t="s">
        <v>102</v>
      </c>
      <c r="J120" s="559">
        <f>J121-SUM(J109:J119)</f>
        <v>1188</v>
      </c>
      <c r="L120" s="565"/>
      <c r="M120" s="565"/>
      <c r="N120" s="565"/>
      <c r="O120" s="565"/>
    </row>
    <row r="121" spans="1:15">
      <c r="B121" s="557" t="s">
        <v>103</v>
      </c>
      <c r="C121" s="559">
        <v>7046611</v>
      </c>
      <c r="D121" s="557" t="s">
        <v>103</v>
      </c>
      <c r="E121" s="559">
        <v>2598717</v>
      </c>
      <c r="G121" s="557" t="s">
        <v>103</v>
      </c>
      <c r="H121" s="559">
        <v>5504937</v>
      </c>
      <c r="I121" s="557" t="s">
        <v>103</v>
      </c>
      <c r="J121" s="559">
        <v>2176747</v>
      </c>
    </row>
    <row r="122" spans="1:15">
      <c r="G122" s="565"/>
      <c r="H122" s="568"/>
      <c r="I122" s="565"/>
      <c r="J122" s="568"/>
    </row>
    <row r="123" spans="1:15">
      <c r="B123" s="552" t="s">
        <v>438</v>
      </c>
      <c r="G123" s="562" t="s">
        <v>525</v>
      </c>
    </row>
    <row r="124" spans="1:15">
      <c r="B124" s="554" t="s">
        <v>98</v>
      </c>
      <c r="C124" s="555" t="s">
        <v>99</v>
      </c>
      <c r="D124" s="554" t="s">
        <v>100</v>
      </c>
      <c r="E124" s="555" t="s">
        <v>101</v>
      </c>
      <c r="G124" s="554" t="s">
        <v>98</v>
      </c>
      <c r="H124" s="555" t="s">
        <v>99</v>
      </c>
      <c r="I124" s="554" t="s">
        <v>100</v>
      </c>
      <c r="J124" s="555" t="s">
        <v>101</v>
      </c>
    </row>
    <row r="125" spans="1:15">
      <c r="A125" s="548">
        <v>1</v>
      </c>
      <c r="B125" s="557" t="s">
        <v>9</v>
      </c>
      <c r="C125" s="559">
        <v>39387</v>
      </c>
      <c r="D125" s="557" t="s">
        <v>484</v>
      </c>
      <c r="E125" s="559">
        <v>82839</v>
      </c>
      <c r="G125" s="557" t="s">
        <v>246</v>
      </c>
      <c r="H125" s="559">
        <v>766837</v>
      </c>
      <c r="I125" s="560" t="s">
        <v>239</v>
      </c>
      <c r="J125" s="559">
        <v>279823</v>
      </c>
    </row>
    <row r="126" spans="1:15">
      <c r="A126" s="548">
        <v>2</v>
      </c>
      <c r="B126" s="557" t="s">
        <v>239</v>
      </c>
      <c r="C126" s="559">
        <v>31791</v>
      </c>
      <c r="D126" s="557" t="s">
        <v>479</v>
      </c>
      <c r="E126" s="559">
        <v>18131</v>
      </c>
      <c r="G126" s="557" t="s">
        <v>258</v>
      </c>
      <c r="H126" s="559">
        <v>174056</v>
      </c>
      <c r="I126" s="560" t="s">
        <v>452</v>
      </c>
      <c r="J126" s="559">
        <v>63551</v>
      </c>
    </row>
    <row r="127" spans="1:15">
      <c r="A127" s="548">
        <v>3</v>
      </c>
      <c r="B127" s="557" t="s">
        <v>246</v>
      </c>
      <c r="C127" s="559">
        <v>29541</v>
      </c>
      <c r="D127" s="560" t="s">
        <v>227</v>
      </c>
      <c r="E127" s="559">
        <v>2876</v>
      </c>
      <c r="G127" s="557" t="s">
        <v>456</v>
      </c>
      <c r="H127" s="559">
        <v>137292</v>
      </c>
      <c r="I127" s="560" t="s">
        <v>457</v>
      </c>
      <c r="J127" s="559">
        <v>34574</v>
      </c>
    </row>
    <row r="128" spans="1:15">
      <c r="A128" s="548">
        <v>4</v>
      </c>
      <c r="B128" s="557" t="s">
        <v>454</v>
      </c>
      <c r="C128" s="559">
        <v>16567</v>
      </c>
      <c r="D128" s="557" t="s">
        <v>111</v>
      </c>
      <c r="E128" s="559">
        <v>1000</v>
      </c>
      <c r="G128" s="557" t="s">
        <v>270</v>
      </c>
      <c r="H128" s="559">
        <v>107471</v>
      </c>
      <c r="I128" s="560" t="s">
        <v>453</v>
      </c>
      <c r="J128" s="559">
        <v>10441</v>
      </c>
    </row>
    <row r="129" spans="1:15">
      <c r="A129" s="548">
        <v>5</v>
      </c>
      <c r="B129" s="557" t="s">
        <v>453</v>
      </c>
      <c r="C129" s="559">
        <v>8033</v>
      </c>
      <c r="D129" s="557"/>
      <c r="E129" s="559"/>
      <c r="G129" s="557" t="s">
        <v>453</v>
      </c>
      <c r="H129" s="559">
        <v>85183</v>
      </c>
      <c r="I129" s="560" t="s">
        <v>10</v>
      </c>
      <c r="J129" s="559">
        <v>438</v>
      </c>
    </row>
    <row r="130" spans="1:15">
      <c r="A130" s="548">
        <v>6</v>
      </c>
      <c r="B130" s="557" t="s">
        <v>258</v>
      </c>
      <c r="C130" s="559">
        <v>7440</v>
      </c>
      <c r="D130" s="557"/>
      <c r="E130" s="559"/>
      <c r="G130" s="557" t="s">
        <v>9</v>
      </c>
      <c r="H130" s="559">
        <v>75899</v>
      </c>
      <c r="I130" s="560" t="s">
        <v>9</v>
      </c>
      <c r="J130" s="559">
        <v>188</v>
      </c>
    </row>
    <row r="131" spans="1:15">
      <c r="A131" s="548">
        <v>7</v>
      </c>
      <c r="B131" s="557" t="s">
        <v>247</v>
      </c>
      <c r="C131" s="559">
        <v>4157</v>
      </c>
      <c r="D131" s="557"/>
      <c r="E131" s="559"/>
      <c r="G131" s="557" t="s">
        <v>10</v>
      </c>
      <c r="H131" s="559">
        <v>59675</v>
      </c>
      <c r="I131" s="557" t="s">
        <v>384</v>
      </c>
      <c r="J131" s="559">
        <v>94</v>
      </c>
    </row>
    <row r="132" spans="1:15">
      <c r="A132" s="548">
        <v>8</v>
      </c>
      <c r="B132" s="557" t="s">
        <v>257</v>
      </c>
      <c r="C132" s="559">
        <v>2689</v>
      </c>
      <c r="D132" s="557"/>
      <c r="E132" s="559"/>
      <c r="G132" s="557" t="s">
        <v>245</v>
      </c>
      <c r="H132" s="559">
        <v>58145</v>
      </c>
      <c r="I132" s="557"/>
      <c r="J132" s="559"/>
    </row>
    <row r="133" spans="1:15">
      <c r="A133" s="548">
        <v>9</v>
      </c>
      <c r="B133" s="557" t="s">
        <v>10</v>
      </c>
      <c r="C133" s="559">
        <v>2282</v>
      </c>
      <c r="D133" s="557"/>
      <c r="E133" s="559"/>
      <c r="G133" s="557" t="s">
        <v>15</v>
      </c>
      <c r="H133" s="559">
        <v>56862</v>
      </c>
      <c r="I133" s="557"/>
      <c r="J133" s="559"/>
    </row>
    <row r="134" spans="1:15">
      <c r="A134" s="548">
        <v>10</v>
      </c>
      <c r="B134" s="557" t="s">
        <v>256</v>
      </c>
      <c r="C134" s="559">
        <v>1719</v>
      </c>
      <c r="D134" s="569"/>
      <c r="E134" s="570"/>
      <c r="G134" s="557" t="s">
        <v>6</v>
      </c>
      <c r="H134" s="559">
        <v>54361</v>
      </c>
      <c r="I134" s="557"/>
      <c r="J134" s="559"/>
    </row>
    <row r="135" spans="1:15">
      <c r="B135" s="560" t="s">
        <v>429</v>
      </c>
      <c r="C135" s="559">
        <f>C136-SUM(C125:C134)</f>
        <v>1501</v>
      </c>
      <c r="D135" s="557" t="s">
        <v>102</v>
      </c>
      <c r="E135" s="559">
        <f>E136-SUM(E125:E134)</f>
        <v>0</v>
      </c>
      <c r="G135" s="557" t="s">
        <v>102</v>
      </c>
      <c r="H135" s="559">
        <f>H136-SUM(H125:H134)</f>
        <v>276962</v>
      </c>
      <c r="I135" s="557" t="s">
        <v>102</v>
      </c>
      <c r="J135" s="559">
        <f>J136-SUM(J125:J134)</f>
        <v>0</v>
      </c>
    </row>
    <row r="136" spans="1:15">
      <c r="B136" s="557" t="s">
        <v>103</v>
      </c>
      <c r="C136" s="559">
        <v>145107</v>
      </c>
      <c r="D136" s="557" t="s">
        <v>103</v>
      </c>
      <c r="E136" s="559">
        <v>104846</v>
      </c>
      <c r="G136" s="557" t="s">
        <v>103</v>
      </c>
      <c r="H136" s="559">
        <v>1852743</v>
      </c>
      <c r="I136" s="557" t="s">
        <v>103</v>
      </c>
      <c r="J136" s="559">
        <v>389109</v>
      </c>
    </row>
    <row r="138" spans="1:15">
      <c r="B138" s="562" t="s">
        <v>526</v>
      </c>
      <c r="C138" s="311"/>
      <c r="D138" s="13"/>
      <c r="G138" s="552" t="s">
        <v>527</v>
      </c>
      <c r="H138" s="311"/>
      <c r="L138" s="565"/>
      <c r="M138" s="565"/>
      <c r="N138" s="565"/>
      <c r="O138" s="565"/>
    </row>
    <row r="139" spans="1:15">
      <c r="B139" s="554" t="s">
        <v>98</v>
      </c>
      <c r="C139" s="555" t="s">
        <v>99</v>
      </c>
      <c r="D139" s="554" t="s">
        <v>100</v>
      </c>
      <c r="E139" s="555" t="s">
        <v>101</v>
      </c>
      <c r="G139" s="554" t="s">
        <v>98</v>
      </c>
      <c r="H139" s="555" t="s">
        <v>99</v>
      </c>
      <c r="I139" s="554" t="s">
        <v>100</v>
      </c>
      <c r="J139" s="555" t="s">
        <v>101</v>
      </c>
      <c r="L139" s="565"/>
      <c r="M139" s="565"/>
      <c r="N139" s="565"/>
      <c r="O139" s="565"/>
    </row>
    <row r="140" spans="1:15">
      <c r="A140" s="548">
        <v>1</v>
      </c>
      <c r="B140" s="560" t="s">
        <v>15</v>
      </c>
      <c r="C140" s="559">
        <v>1069866</v>
      </c>
      <c r="D140" s="560" t="s">
        <v>239</v>
      </c>
      <c r="E140" s="559">
        <v>985590</v>
      </c>
      <c r="G140" s="557" t="s">
        <v>246</v>
      </c>
      <c r="H140" s="559">
        <v>787493</v>
      </c>
      <c r="I140" s="557" t="s">
        <v>239</v>
      </c>
      <c r="J140" s="559">
        <v>1227997</v>
      </c>
      <c r="L140" s="565"/>
      <c r="M140" s="565"/>
      <c r="N140" s="565"/>
      <c r="O140" s="565"/>
    </row>
    <row r="141" spans="1:15">
      <c r="A141" s="548">
        <v>2</v>
      </c>
      <c r="B141" s="560" t="s">
        <v>246</v>
      </c>
      <c r="C141" s="559">
        <v>1064864</v>
      </c>
      <c r="D141" s="560" t="s">
        <v>452</v>
      </c>
      <c r="E141" s="559">
        <v>334855</v>
      </c>
      <c r="G141" s="557" t="s">
        <v>245</v>
      </c>
      <c r="H141" s="559">
        <v>461987</v>
      </c>
      <c r="I141" s="557" t="s">
        <v>457</v>
      </c>
      <c r="J141" s="559">
        <v>418068</v>
      </c>
      <c r="L141" s="565"/>
      <c r="M141" s="565"/>
      <c r="N141" s="565"/>
      <c r="O141" s="565"/>
    </row>
    <row r="142" spans="1:15">
      <c r="A142" s="548">
        <v>3</v>
      </c>
      <c r="B142" s="560" t="s">
        <v>245</v>
      </c>
      <c r="C142" s="559">
        <v>635104</v>
      </c>
      <c r="D142" s="557" t="s">
        <v>457</v>
      </c>
      <c r="E142" s="559">
        <v>24945</v>
      </c>
      <c r="G142" s="557" t="s">
        <v>453</v>
      </c>
      <c r="H142" s="559">
        <v>265899</v>
      </c>
      <c r="I142" s="557" t="s">
        <v>459</v>
      </c>
      <c r="J142" s="559">
        <v>183401</v>
      </c>
      <c r="L142" s="565"/>
      <c r="M142" s="565"/>
      <c r="N142" s="565"/>
      <c r="O142" s="565"/>
    </row>
    <row r="143" spans="1:15">
      <c r="A143" s="548">
        <v>4</v>
      </c>
      <c r="B143" s="560" t="s">
        <v>258</v>
      </c>
      <c r="C143" s="559">
        <v>593903</v>
      </c>
      <c r="D143" s="557" t="s">
        <v>453</v>
      </c>
      <c r="E143" s="559">
        <v>3407</v>
      </c>
      <c r="G143" s="557" t="s">
        <v>454</v>
      </c>
      <c r="H143" s="559">
        <v>265367</v>
      </c>
      <c r="I143" s="560" t="s">
        <v>453</v>
      </c>
      <c r="J143" s="559">
        <v>54079</v>
      </c>
      <c r="L143" s="565"/>
      <c r="M143" s="565"/>
      <c r="N143" s="565"/>
      <c r="O143" s="565"/>
    </row>
    <row r="144" spans="1:15">
      <c r="A144" s="548">
        <v>5</v>
      </c>
      <c r="B144" s="560" t="s">
        <v>453</v>
      </c>
      <c r="C144" s="559">
        <v>437513</v>
      </c>
      <c r="D144" s="557" t="s">
        <v>232</v>
      </c>
      <c r="E144" s="559">
        <v>2094</v>
      </c>
      <c r="G144" s="557" t="s">
        <v>258</v>
      </c>
      <c r="H144" s="559">
        <v>230542</v>
      </c>
      <c r="I144" s="557" t="s">
        <v>452</v>
      </c>
      <c r="J144" s="559">
        <v>49922</v>
      </c>
      <c r="L144" s="565"/>
      <c r="M144" s="565"/>
      <c r="N144" s="565"/>
      <c r="O144" s="565"/>
    </row>
    <row r="145" spans="1:15">
      <c r="A145" s="548">
        <v>6</v>
      </c>
      <c r="B145" s="560" t="s">
        <v>267</v>
      </c>
      <c r="C145" s="559">
        <v>220288</v>
      </c>
      <c r="D145" s="557" t="s">
        <v>384</v>
      </c>
      <c r="E145" s="559">
        <v>1250</v>
      </c>
      <c r="G145" s="557" t="s">
        <v>9</v>
      </c>
      <c r="H145" s="559">
        <v>180524</v>
      </c>
      <c r="I145" s="557" t="s">
        <v>10</v>
      </c>
      <c r="J145" s="559">
        <v>3439</v>
      </c>
      <c r="L145" s="565"/>
      <c r="M145" s="565"/>
      <c r="N145" s="565"/>
      <c r="O145" s="565"/>
    </row>
    <row r="146" spans="1:15">
      <c r="A146" s="548">
        <v>7</v>
      </c>
      <c r="B146" s="560" t="s">
        <v>457</v>
      </c>
      <c r="C146" s="559">
        <v>217880</v>
      </c>
      <c r="D146" s="557" t="s">
        <v>9</v>
      </c>
      <c r="E146" s="559">
        <v>188</v>
      </c>
      <c r="G146" s="557" t="s">
        <v>239</v>
      </c>
      <c r="H146" s="559">
        <v>177804</v>
      </c>
      <c r="I146" s="557" t="s">
        <v>246</v>
      </c>
      <c r="J146" s="559">
        <v>188</v>
      </c>
      <c r="L146" s="565"/>
      <c r="M146" s="565"/>
      <c r="N146" s="565"/>
      <c r="O146" s="565"/>
    </row>
    <row r="147" spans="1:15">
      <c r="A147" s="548">
        <v>8</v>
      </c>
      <c r="B147" s="560" t="s">
        <v>6</v>
      </c>
      <c r="C147" s="559">
        <v>207658</v>
      </c>
      <c r="D147" s="557"/>
      <c r="E147" s="559"/>
      <c r="G147" s="557" t="s">
        <v>456</v>
      </c>
      <c r="H147" s="559">
        <v>175776</v>
      </c>
      <c r="I147" s="557" t="s">
        <v>384</v>
      </c>
      <c r="J147" s="559">
        <v>31</v>
      </c>
      <c r="L147" s="565"/>
      <c r="M147" s="565"/>
      <c r="N147" s="565"/>
      <c r="O147" s="565"/>
    </row>
    <row r="148" spans="1:15">
      <c r="A148" s="548">
        <v>9</v>
      </c>
      <c r="B148" s="560" t="s">
        <v>9</v>
      </c>
      <c r="C148" s="559">
        <v>203408</v>
      </c>
      <c r="D148" s="557"/>
      <c r="E148" s="559"/>
      <c r="G148" s="557" t="s">
        <v>6</v>
      </c>
      <c r="H148" s="559">
        <v>141231</v>
      </c>
      <c r="I148" s="557"/>
      <c r="J148" s="559"/>
      <c r="L148" s="565"/>
      <c r="M148" s="565"/>
      <c r="N148" s="565"/>
      <c r="O148" s="565"/>
    </row>
    <row r="149" spans="1:15">
      <c r="A149" s="548">
        <v>10</v>
      </c>
      <c r="B149" s="560" t="s">
        <v>270</v>
      </c>
      <c r="C149" s="559">
        <v>145639</v>
      </c>
      <c r="D149" s="557"/>
      <c r="E149" s="559"/>
      <c r="G149" s="557" t="s">
        <v>10</v>
      </c>
      <c r="H149" s="559">
        <v>118319</v>
      </c>
      <c r="I149" s="557"/>
      <c r="J149" s="559"/>
      <c r="L149" s="565"/>
      <c r="M149" s="565"/>
      <c r="N149" s="565"/>
      <c r="O149" s="565"/>
    </row>
    <row r="150" spans="1:15">
      <c r="B150" s="557" t="s">
        <v>418</v>
      </c>
      <c r="C150" s="559">
        <f>C151-SUM(C139:C149)</f>
        <v>973872</v>
      </c>
      <c r="D150" s="557" t="s">
        <v>102</v>
      </c>
      <c r="E150" s="559">
        <f>E151-SUM(E140:E149)</f>
        <v>0</v>
      </c>
      <c r="G150" s="557" t="s">
        <v>418</v>
      </c>
      <c r="H150" s="559">
        <f>H151-SUM(H140:H149)</f>
        <v>740235</v>
      </c>
      <c r="I150" s="557" t="s">
        <v>102</v>
      </c>
      <c r="J150" s="559">
        <f>J151-SUM(J140:J149)</f>
        <v>0</v>
      </c>
      <c r="L150" s="565"/>
      <c r="M150" s="565"/>
      <c r="N150" s="565"/>
      <c r="O150" s="565"/>
    </row>
    <row r="151" spans="1:15">
      <c r="B151" s="557" t="s">
        <v>103</v>
      </c>
      <c r="C151" s="559">
        <v>5769995</v>
      </c>
      <c r="D151" s="557" t="s">
        <v>103</v>
      </c>
      <c r="E151" s="559">
        <v>1352329</v>
      </c>
      <c r="G151" s="557" t="s">
        <v>103</v>
      </c>
      <c r="H151" s="559">
        <v>3545177</v>
      </c>
      <c r="I151" s="557" t="s">
        <v>103</v>
      </c>
      <c r="J151" s="559">
        <v>1937125</v>
      </c>
      <c r="L151" s="565"/>
      <c r="M151" s="565"/>
      <c r="N151" s="565"/>
      <c r="O151" s="565"/>
    </row>
    <row r="153" spans="1:15">
      <c r="B153" s="552" t="s">
        <v>439</v>
      </c>
      <c r="G153" s="552" t="s">
        <v>440</v>
      </c>
    </row>
    <row r="154" spans="1:15">
      <c r="B154" s="554" t="s">
        <v>98</v>
      </c>
      <c r="C154" s="555" t="s">
        <v>99</v>
      </c>
      <c r="D154" s="554" t="s">
        <v>100</v>
      </c>
      <c r="E154" s="555" t="s">
        <v>101</v>
      </c>
      <c r="G154" s="554" t="s">
        <v>98</v>
      </c>
      <c r="H154" s="555" t="s">
        <v>99</v>
      </c>
      <c r="I154" s="554" t="s">
        <v>100</v>
      </c>
      <c r="J154" s="555" t="s">
        <v>101</v>
      </c>
    </row>
    <row r="155" spans="1:15">
      <c r="A155" s="548">
        <v>1</v>
      </c>
      <c r="B155" s="560" t="s">
        <v>453</v>
      </c>
      <c r="C155" s="559">
        <v>911411</v>
      </c>
      <c r="D155" s="566" t="s">
        <v>457</v>
      </c>
      <c r="E155" s="559">
        <v>622789</v>
      </c>
      <c r="G155" s="557" t="s">
        <v>473</v>
      </c>
      <c r="H155" s="559">
        <v>67396</v>
      </c>
      <c r="I155" s="557" t="s">
        <v>239</v>
      </c>
      <c r="J155" s="559">
        <v>100925</v>
      </c>
    </row>
    <row r="156" spans="1:15">
      <c r="A156" s="548">
        <v>2</v>
      </c>
      <c r="B156" s="557" t="s">
        <v>239</v>
      </c>
      <c r="C156" s="559">
        <v>673242</v>
      </c>
      <c r="D156" s="566" t="s">
        <v>460</v>
      </c>
      <c r="E156" s="559">
        <v>596998</v>
      </c>
      <c r="G156" s="557" t="s">
        <v>384</v>
      </c>
      <c r="H156" s="559">
        <v>54017</v>
      </c>
      <c r="I156" s="557" t="s">
        <v>484</v>
      </c>
      <c r="J156" s="559">
        <v>13816</v>
      </c>
    </row>
    <row r="157" spans="1:15">
      <c r="A157" s="548">
        <v>3</v>
      </c>
      <c r="B157" s="557" t="s">
        <v>246</v>
      </c>
      <c r="C157" s="559">
        <v>519539</v>
      </c>
      <c r="D157" s="566" t="s">
        <v>246</v>
      </c>
      <c r="E157" s="559">
        <v>425351</v>
      </c>
      <c r="G157" s="557" t="s">
        <v>453</v>
      </c>
      <c r="H157" s="559">
        <v>52359</v>
      </c>
      <c r="I157" s="560" t="s">
        <v>228</v>
      </c>
      <c r="J157" s="559">
        <v>3876</v>
      </c>
    </row>
    <row r="158" spans="1:15">
      <c r="A158" s="548">
        <v>4</v>
      </c>
      <c r="B158" s="557" t="s">
        <v>10</v>
      </c>
      <c r="C158" s="559">
        <v>422289</v>
      </c>
      <c r="D158" s="566" t="s">
        <v>239</v>
      </c>
      <c r="E158" s="559">
        <v>201865</v>
      </c>
      <c r="G158" s="557" t="s">
        <v>239</v>
      </c>
      <c r="H158" s="559">
        <v>36229</v>
      </c>
      <c r="I158" s="557" t="s">
        <v>486</v>
      </c>
      <c r="J158" s="559">
        <v>2470</v>
      </c>
    </row>
    <row r="159" spans="1:15">
      <c r="A159" s="548">
        <v>5</v>
      </c>
      <c r="B159" s="557" t="s">
        <v>9</v>
      </c>
      <c r="C159" s="559">
        <v>342451</v>
      </c>
      <c r="D159" s="566" t="s">
        <v>10</v>
      </c>
      <c r="E159" s="559">
        <v>28728</v>
      </c>
      <c r="G159" s="557" t="s">
        <v>386</v>
      </c>
      <c r="H159" s="559">
        <v>23694</v>
      </c>
      <c r="I159" s="560" t="s">
        <v>485</v>
      </c>
      <c r="J159" s="559">
        <v>375</v>
      </c>
    </row>
    <row r="160" spans="1:15">
      <c r="A160" s="548">
        <v>6</v>
      </c>
      <c r="B160" s="557" t="s">
        <v>6</v>
      </c>
      <c r="C160" s="559">
        <v>320475</v>
      </c>
      <c r="D160" s="566" t="s">
        <v>461</v>
      </c>
      <c r="E160" s="559">
        <v>21131</v>
      </c>
      <c r="G160" s="557" t="s">
        <v>297</v>
      </c>
      <c r="H160" s="559">
        <v>21944</v>
      </c>
      <c r="I160" s="557"/>
      <c r="J160" s="559"/>
    </row>
    <row r="161" spans="1:10">
      <c r="A161" s="548">
        <v>7</v>
      </c>
      <c r="B161" s="557" t="s">
        <v>454</v>
      </c>
      <c r="C161" s="559">
        <v>266052</v>
      </c>
      <c r="D161" s="566" t="s">
        <v>247</v>
      </c>
      <c r="E161" s="559">
        <v>5814</v>
      </c>
      <c r="G161" s="557" t="s">
        <v>454</v>
      </c>
      <c r="H161" s="559">
        <v>7877</v>
      </c>
      <c r="I161" s="557"/>
      <c r="J161" s="559"/>
    </row>
    <row r="162" spans="1:10">
      <c r="A162" s="548">
        <v>8</v>
      </c>
      <c r="B162" s="557" t="s">
        <v>245</v>
      </c>
      <c r="C162" s="559">
        <v>244733</v>
      </c>
      <c r="D162" s="566" t="s">
        <v>523</v>
      </c>
      <c r="E162" s="559">
        <v>1563</v>
      </c>
      <c r="G162" s="557" t="s">
        <v>246</v>
      </c>
      <c r="H162" s="559">
        <v>7658</v>
      </c>
      <c r="I162" s="557"/>
      <c r="J162" s="559"/>
    </row>
    <row r="163" spans="1:10">
      <c r="A163" s="548">
        <v>9</v>
      </c>
      <c r="B163" s="557" t="s">
        <v>7</v>
      </c>
      <c r="C163" s="559">
        <v>209065</v>
      </c>
      <c r="D163" s="566" t="s">
        <v>452</v>
      </c>
      <c r="E163" s="559">
        <v>125</v>
      </c>
      <c r="G163" s="557" t="s">
        <v>245</v>
      </c>
      <c r="H163" s="559">
        <v>5096</v>
      </c>
      <c r="I163" s="557"/>
      <c r="J163" s="559"/>
    </row>
    <row r="164" spans="1:10">
      <c r="A164" s="548">
        <v>10</v>
      </c>
      <c r="B164" s="557" t="s">
        <v>386</v>
      </c>
      <c r="C164" s="559">
        <v>170116</v>
      </c>
      <c r="D164" s="566" t="s">
        <v>384</v>
      </c>
      <c r="E164" s="559">
        <v>63</v>
      </c>
      <c r="G164" s="557" t="s">
        <v>249</v>
      </c>
      <c r="H164" s="559">
        <v>4939</v>
      </c>
      <c r="I164" s="557"/>
      <c r="J164" s="559"/>
    </row>
    <row r="165" spans="1:10">
      <c r="B165" s="557" t="s">
        <v>441</v>
      </c>
      <c r="C165" s="559">
        <f>C166-SUM(C155:C164)</f>
        <v>1134289</v>
      </c>
      <c r="D165" s="557" t="s">
        <v>102</v>
      </c>
      <c r="E165" s="559">
        <f>E166-SUM(E155:E164)</f>
        <v>0</v>
      </c>
      <c r="G165" s="557" t="s">
        <v>102</v>
      </c>
      <c r="H165" s="559">
        <f>H166-SUM(H155:H164)</f>
        <v>12504</v>
      </c>
      <c r="I165" s="557" t="s">
        <v>102</v>
      </c>
      <c r="J165" s="559">
        <f>J166-SUM(J155:J164)</f>
        <v>0</v>
      </c>
    </row>
    <row r="166" spans="1:10">
      <c r="B166" s="557" t="s">
        <v>103</v>
      </c>
      <c r="C166" s="559">
        <v>5213662</v>
      </c>
      <c r="D166" s="557" t="s">
        <v>103</v>
      </c>
      <c r="E166" s="559">
        <v>1904427</v>
      </c>
      <c r="G166" s="557" t="s">
        <v>103</v>
      </c>
      <c r="H166" s="559">
        <v>293713</v>
      </c>
      <c r="I166" s="557" t="s">
        <v>103</v>
      </c>
      <c r="J166" s="559">
        <v>121462</v>
      </c>
    </row>
    <row r="167" spans="1:10" ht="9.75" customHeight="1">
      <c r="B167" s="563"/>
    </row>
    <row r="168" spans="1:10">
      <c r="B168" s="571" t="s">
        <v>465</v>
      </c>
      <c r="C168" s="568"/>
      <c r="D168" s="565"/>
      <c r="E168" s="568"/>
      <c r="F168" s="565"/>
      <c r="G168" s="565"/>
      <c r="H168" s="568"/>
      <c r="I168" s="565"/>
      <c r="J168" s="568"/>
    </row>
    <row r="169" spans="1:10">
      <c r="B169" s="565"/>
      <c r="C169" s="568"/>
      <c r="D169" s="565"/>
      <c r="E169" s="568"/>
      <c r="F169" s="565"/>
      <c r="G169" s="565"/>
      <c r="H169" s="568"/>
      <c r="I169" s="565"/>
      <c r="J169" s="568"/>
    </row>
    <row r="170" spans="1:10">
      <c r="B170" s="565"/>
      <c r="C170" s="568"/>
      <c r="D170" s="565"/>
      <c r="E170" s="568"/>
      <c r="F170" s="565"/>
      <c r="G170" s="565"/>
      <c r="H170" s="568"/>
      <c r="I170" s="565"/>
      <c r="J170" s="568"/>
    </row>
    <row r="171" spans="1:10">
      <c r="B171" s="565"/>
      <c r="C171" s="568"/>
      <c r="D171" s="565"/>
      <c r="E171" s="568"/>
      <c r="F171" s="565"/>
      <c r="G171" s="565"/>
      <c r="H171" s="568"/>
      <c r="I171" s="565"/>
      <c r="J171" s="568"/>
    </row>
    <row r="172" spans="1:10">
      <c r="B172" s="565"/>
      <c r="C172" s="568"/>
      <c r="D172" s="565"/>
      <c r="E172" s="568"/>
      <c r="F172" s="565"/>
      <c r="G172" s="565"/>
      <c r="H172" s="568"/>
      <c r="I172" s="565"/>
      <c r="J172" s="568"/>
    </row>
    <row r="173" spans="1:10">
      <c r="B173" s="565"/>
      <c r="C173" s="568"/>
      <c r="D173" s="565"/>
      <c r="E173" s="568"/>
      <c r="F173" s="565"/>
      <c r="G173" s="565"/>
      <c r="H173" s="568"/>
      <c r="I173" s="565"/>
      <c r="J173" s="568"/>
    </row>
    <row r="174" spans="1:10">
      <c r="B174" s="565"/>
      <c r="C174" s="568"/>
      <c r="D174" s="565"/>
      <c r="E174" s="568"/>
      <c r="F174" s="565"/>
      <c r="G174" s="565"/>
      <c r="H174" s="568"/>
      <c r="I174" s="565"/>
      <c r="J174" s="568"/>
    </row>
    <row r="175" spans="1:10">
      <c r="B175" s="565"/>
      <c r="C175" s="568"/>
      <c r="D175" s="565"/>
      <c r="E175" s="568"/>
      <c r="F175" s="565"/>
      <c r="G175" s="565"/>
      <c r="H175" s="568"/>
      <c r="I175" s="565"/>
      <c r="J175" s="568"/>
    </row>
    <row r="176" spans="1:10">
      <c r="B176" s="565"/>
      <c r="C176" s="568"/>
      <c r="D176" s="565"/>
      <c r="E176" s="568"/>
      <c r="F176" s="565"/>
      <c r="G176" s="565"/>
      <c r="H176" s="568"/>
      <c r="I176" s="565"/>
      <c r="J176" s="568"/>
    </row>
    <row r="177" spans="2:10">
      <c r="B177" s="565"/>
      <c r="C177" s="568"/>
      <c r="D177" s="565"/>
      <c r="E177" s="568"/>
      <c r="F177" s="565"/>
      <c r="G177" s="565"/>
      <c r="H177" s="568"/>
      <c r="I177" s="565"/>
      <c r="J177" s="568"/>
    </row>
    <row r="178" spans="2:10">
      <c r="B178" s="565"/>
      <c r="C178" s="568"/>
      <c r="D178" s="565"/>
      <c r="E178" s="568"/>
      <c r="F178" s="565"/>
      <c r="G178" s="565"/>
      <c r="H178" s="568"/>
      <c r="I178" s="565"/>
      <c r="J178" s="568"/>
    </row>
    <row r="179" spans="2:10">
      <c r="B179" s="565"/>
      <c r="C179" s="568"/>
      <c r="D179" s="565"/>
      <c r="E179" s="568"/>
      <c r="F179" s="565"/>
      <c r="G179" s="565"/>
      <c r="H179" s="568"/>
      <c r="I179" s="565"/>
      <c r="J179" s="568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8" customWidth="1"/>
    <col min="4" max="4" width="13.75" style="59" customWidth="1"/>
    <col min="5" max="5" width="15" style="5" customWidth="1"/>
    <col min="6" max="6" width="15.125" style="58" customWidth="1"/>
    <col min="7" max="7" width="12.25" style="59" customWidth="1"/>
    <col min="8" max="9" width="12.5" style="517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87" t="s">
        <v>494</v>
      </c>
      <c r="B1" s="587"/>
      <c r="C1" s="587"/>
      <c r="D1" s="587"/>
      <c r="E1" s="587"/>
      <c r="F1" s="587"/>
      <c r="G1" s="587"/>
      <c r="H1" s="587"/>
      <c r="I1" s="587"/>
      <c r="J1" s="587"/>
    </row>
    <row r="2" spans="1:10" ht="8.25" customHeight="1">
      <c r="G2" s="60"/>
    </row>
    <row r="3" spans="1:10">
      <c r="A3" s="61" t="s">
        <v>104</v>
      </c>
      <c r="B3" s="62"/>
      <c r="C3" s="63"/>
      <c r="D3" s="64"/>
      <c r="E3" s="62"/>
      <c r="F3" s="65"/>
      <c r="G3" s="66"/>
      <c r="H3" s="518"/>
      <c r="I3" s="518"/>
      <c r="J3" s="68"/>
    </row>
    <row r="4" spans="1:10">
      <c r="A4" s="69" t="s">
        <v>495</v>
      </c>
      <c r="B4" s="8" t="s">
        <v>446</v>
      </c>
      <c r="C4" s="70" t="s">
        <v>447</v>
      </c>
      <c r="D4" s="71" t="s">
        <v>155</v>
      </c>
      <c r="E4" s="8" t="s">
        <v>446</v>
      </c>
      <c r="F4" s="498" t="s">
        <v>447</v>
      </c>
      <c r="G4" s="73" t="s">
        <v>156</v>
      </c>
      <c r="H4" s="519" t="s">
        <v>446</v>
      </c>
      <c r="I4" s="520" t="s">
        <v>447</v>
      </c>
      <c r="J4" s="74" t="s">
        <v>156</v>
      </c>
    </row>
    <row r="5" spans="1:10">
      <c r="A5" s="14"/>
      <c r="B5" s="8" t="s">
        <v>32</v>
      </c>
      <c r="C5" s="75" t="s">
        <v>32</v>
      </c>
      <c r="D5" s="422" t="s">
        <v>1</v>
      </c>
      <c r="E5" s="76" t="s">
        <v>33</v>
      </c>
      <c r="F5" s="499" t="s">
        <v>33</v>
      </c>
      <c r="G5" s="422" t="s">
        <v>1</v>
      </c>
      <c r="H5" s="521" t="s">
        <v>105</v>
      </c>
      <c r="I5" s="522" t="s">
        <v>106</v>
      </c>
      <c r="J5" s="422" t="s">
        <v>1</v>
      </c>
    </row>
    <row r="6" spans="1:10">
      <c r="A6" s="79" t="s">
        <v>4</v>
      </c>
      <c r="B6" s="17"/>
      <c r="C6" s="80"/>
      <c r="D6" s="81"/>
      <c r="E6" s="17"/>
      <c r="F6" s="500"/>
      <c r="G6" s="81"/>
      <c r="H6" s="523"/>
      <c r="I6" s="524"/>
      <c r="J6" s="81"/>
    </row>
    <row r="7" spans="1:10">
      <c r="A7" s="79" t="s">
        <v>5</v>
      </c>
      <c r="B7" s="22">
        <f>SUM(B8:B10)</f>
        <v>276745</v>
      </c>
      <c r="C7" s="83">
        <v>444358</v>
      </c>
      <c r="D7" s="471">
        <f>IF(C7,(B7-C7)/C7,0)</f>
        <v>-0.37720261590879428</v>
      </c>
      <c r="E7" s="22">
        <f>SUM(E8:E10)</f>
        <v>302927171</v>
      </c>
      <c r="F7" s="83">
        <v>465370530</v>
      </c>
      <c r="G7" s="471">
        <f>IF(F7,(E7-F7)/F7,0)</f>
        <v>-0.34906241054842901</v>
      </c>
      <c r="H7" s="525">
        <f>IF(B7,E7/B7,0)</f>
        <v>1094.6075665323674</v>
      </c>
      <c r="I7" s="526">
        <f>IF(C7,F7/C7,0)</f>
        <v>1047.2873898973351</v>
      </c>
      <c r="J7" s="471">
        <f>IF(I7,(H7-I7)/I7,0)</f>
        <v>4.5183563835014866E-2</v>
      </c>
    </row>
    <row r="8" spans="1:10">
      <c r="A8" s="425" t="s">
        <v>197</v>
      </c>
      <c r="B8" s="28">
        <f>整車!E8</f>
        <v>250929</v>
      </c>
      <c r="C8" s="87">
        <v>402426</v>
      </c>
      <c r="D8" s="471">
        <f t="shared" ref="D8:D67" si="0">IF(C8,(B8-C8)/C8,0)</f>
        <v>-0.37645927450015654</v>
      </c>
      <c r="E8" s="27">
        <f>整車!G8</f>
        <v>264662806</v>
      </c>
      <c r="F8" s="87">
        <v>410020837</v>
      </c>
      <c r="G8" s="471">
        <f t="shared" ref="G8:G67" si="1">IF(F8,(E8-F8)/F8,0)</f>
        <v>-0.35451376584551481</v>
      </c>
      <c r="H8" s="525">
        <f t="shared" ref="H8:H10" si="2">IF(B8,E8/B8,0)</f>
        <v>1054.7318404807734</v>
      </c>
      <c r="I8" s="527">
        <f t="shared" ref="I8:I10" si="3">IF(C8,F8/C8,0)</f>
        <v>1018.8726299990557</v>
      </c>
      <c r="J8" s="471">
        <f t="shared" ref="J8:J67" si="4">IF(I8,(H8-I8)/I8,0)</f>
        <v>3.5194988486196684E-2</v>
      </c>
    </row>
    <row r="9" spans="1:10">
      <c r="A9" s="426" t="s">
        <v>6</v>
      </c>
      <c r="B9" s="28">
        <f>整車!E9</f>
        <v>22021</v>
      </c>
      <c r="C9" s="87">
        <v>33958</v>
      </c>
      <c r="D9" s="471">
        <f t="shared" si="0"/>
        <v>-0.3515224689322104</v>
      </c>
      <c r="E9" s="27">
        <f>整車!G9</f>
        <v>32938592</v>
      </c>
      <c r="F9" s="87">
        <v>44631806</v>
      </c>
      <c r="G9" s="471">
        <f t="shared" si="1"/>
        <v>-0.26199284877694617</v>
      </c>
      <c r="H9" s="525">
        <f t="shared" si="2"/>
        <v>1495.7809363789111</v>
      </c>
      <c r="I9" s="527">
        <f t="shared" si="3"/>
        <v>1314.3237528711938</v>
      </c>
      <c r="J9" s="471">
        <f t="shared" si="4"/>
        <v>0.13806125249681944</v>
      </c>
    </row>
    <row r="10" spans="1:10">
      <c r="A10" s="426" t="s">
        <v>7</v>
      </c>
      <c r="B10" s="28">
        <f>整車!E10</f>
        <v>3795</v>
      </c>
      <c r="C10" s="87">
        <v>7974</v>
      </c>
      <c r="D10" s="471">
        <f t="shared" si="0"/>
        <v>-0.5240782543265613</v>
      </c>
      <c r="E10" s="27">
        <f>整車!G10</f>
        <v>5325773</v>
      </c>
      <c r="F10" s="87">
        <v>10717887</v>
      </c>
      <c r="G10" s="471">
        <f t="shared" si="1"/>
        <v>-0.50309487308459211</v>
      </c>
      <c r="H10" s="525">
        <f t="shared" si="2"/>
        <v>1403.3657444005271</v>
      </c>
      <c r="I10" s="527">
        <f t="shared" si="3"/>
        <v>1344.1042136945071</v>
      </c>
      <c r="J10" s="471">
        <f t="shared" si="4"/>
        <v>4.4089982087868983E-2</v>
      </c>
    </row>
    <row r="11" spans="1:10">
      <c r="A11" s="30"/>
      <c r="B11" s="28"/>
      <c r="C11" s="88"/>
      <c r="D11" s="471"/>
      <c r="E11" s="27"/>
      <c r="F11" s="88"/>
      <c r="G11" s="471"/>
      <c r="H11" s="525"/>
      <c r="I11" s="528"/>
      <c r="J11" s="471"/>
    </row>
    <row r="12" spans="1:10">
      <c r="A12" s="32" t="s">
        <v>8</v>
      </c>
      <c r="B12" s="33">
        <f>SUM(B13:B39)</f>
        <v>211298</v>
      </c>
      <c r="C12" s="89">
        <v>342101</v>
      </c>
      <c r="D12" s="471">
        <f t="shared" si="0"/>
        <v>-0.3823519954633281</v>
      </c>
      <c r="E12" s="33">
        <f>SUM(E13:E39)</f>
        <v>236301361</v>
      </c>
      <c r="F12" s="89">
        <v>324451159</v>
      </c>
      <c r="G12" s="471">
        <f t="shared" si="1"/>
        <v>-0.27168896012481186</v>
      </c>
      <c r="H12" s="525">
        <f t="shared" ref="H12:H66" si="5">IF(B12,E12/B12,0)</f>
        <v>1118.3322180049031</v>
      </c>
      <c r="I12" s="529">
        <f t="shared" ref="I12:I67" si="6">IF(C12,F12/C12,0)</f>
        <v>948.40751415517639</v>
      </c>
      <c r="J12" s="471">
        <f t="shared" si="4"/>
        <v>0.17916844954680947</v>
      </c>
    </row>
    <row r="13" spans="1:10">
      <c r="A13" s="425" t="s">
        <v>198</v>
      </c>
      <c r="B13" s="27">
        <f>整車!E13</f>
        <v>68909</v>
      </c>
      <c r="C13" s="87">
        <v>106806</v>
      </c>
      <c r="D13" s="471">
        <f t="shared" si="0"/>
        <v>-0.35482089021216034</v>
      </c>
      <c r="E13" s="27">
        <f>整車!G13</f>
        <v>117539658</v>
      </c>
      <c r="F13" s="87">
        <v>146442880</v>
      </c>
      <c r="G13" s="471">
        <f t="shared" si="1"/>
        <v>-0.19736857128185406</v>
      </c>
      <c r="H13" s="525">
        <f t="shared" si="5"/>
        <v>1705.7228809008982</v>
      </c>
      <c r="I13" s="527">
        <f t="shared" si="6"/>
        <v>1371.1109862741794</v>
      </c>
      <c r="J13" s="471">
        <f t="shared" si="4"/>
        <v>0.24404435379515432</v>
      </c>
    </row>
    <row r="14" spans="1:10">
      <c r="A14" s="425" t="s">
        <v>199</v>
      </c>
      <c r="B14" s="27">
        <f>整車!E14</f>
        <v>43133</v>
      </c>
      <c r="C14" s="87">
        <v>81162</v>
      </c>
      <c r="D14" s="471">
        <f t="shared" si="0"/>
        <v>-0.46855671373302776</v>
      </c>
      <c r="E14" s="27">
        <f>整車!G14</f>
        <v>30458870</v>
      </c>
      <c r="F14" s="87">
        <v>49109621</v>
      </c>
      <c r="G14" s="471">
        <f t="shared" si="1"/>
        <v>-0.37977794615845234</v>
      </c>
      <c r="H14" s="525">
        <f t="shared" si="5"/>
        <v>706.16163957990398</v>
      </c>
      <c r="I14" s="527">
        <f t="shared" si="6"/>
        <v>605.08145437520022</v>
      </c>
      <c r="J14" s="471">
        <f t="shared" si="4"/>
        <v>0.16705219516119185</v>
      </c>
    </row>
    <row r="15" spans="1:10">
      <c r="A15" s="426" t="s">
        <v>9</v>
      </c>
      <c r="B15" s="27">
        <f>整車!E15</f>
        <v>11381</v>
      </c>
      <c r="C15" s="87">
        <v>10238</v>
      </c>
      <c r="D15" s="471">
        <f t="shared" si="0"/>
        <v>0.11164289900371166</v>
      </c>
      <c r="E15" s="27">
        <f>整車!G15</f>
        <v>19250196</v>
      </c>
      <c r="F15" s="87">
        <v>11834509</v>
      </c>
      <c r="G15" s="471">
        <f t="shared" si="1"/>
        <v>0.6266155190722319</v>
      </c>
      <c r="H15" s="525">
        <f t="shared" si="5"/>
        <v>1691.4327387751516</v>
      </c>
      <c r="I15" s="527">
        <f t="shared" si="6"/>
        <v>1155.9395389724555</v>
      </c>
      <c r="J15" s="471">
        <f t="shared" si="4"/>
        <v>0.46325364065209662</v>
      </c>
    </row>
    <row r="16" spans="1:10">
      <c r="A16" s="425" t="s">
        <v>200</v>
      </c>
      <c r="B16" s="27">
        <f>整車!E16</f>
        <v>7422</v>
      </c>
      <c r="C16" s="87">
        <v>34250</v>
      </c>
      <c r="D16" s="471">
        <f t="shared" si="0"/>
        <v>-0.78329927007299271</v>
      </c>
      <c r="E16" s="27">
        <f>整車!G16</f>
        <v>11987189</v>
      </c>
      <c r="F16" s="87">
        <v>29533251</v>
      </c>
      <c r="G16" s="471">
        <f t="shared" si="1"/>
        <v>-0.59411210773917167</v>
      </c>
      <c r="H16" s="525">
        <f t="shared" si="5"/>
        <v>1615.0887900835355</v>
      </c>
      <c r="I16" s="527">
        <f t="shared" si="6"/>
        <v>862.28470072992695</v>
      </c>
      <c r="J16" s="471">
        <f t="shared" si="4"/>
        <v>0.87303426434025477</v>
      </c>
    </row>
    <row r="17" spans="1:10">
      <c r="A17" s="426" t="s">
        <v>10</v>
      </c>
      <c r="B17" s="27">
        <f>整車!E17</f>
        <v>10598</v>
      </c>
      <c r="C17" s="87">
        <v>11864</v>
      </c>
      <c r="D17" s="471">
        <f t="shared" si="0"/>
        <v>-0.1067093728927849</v>
      </c>
      <c r="E17" s="27">
        <f>整車!G17</f>
        <v>15852606</v>
      </c>
      <c r="F17" s="87">
        <v>17645091</v>
      </c>
      <c r="G17" s="471">
        <f t="shared" si="1"/>
        <v>-0.1015854777966291</v>
      </c>
      <c r="H17" s="525">
        <f t="shared" si="5"/>
        <v>1495.8110964332893</v>
      </c>
      <c r="I17" s="527">
        <f t="shared" si="6"/>
        <v>1487.2800910316926</v>
      </c>
      <c r="J17" s="471">
        <f t="shared" si="4"/>
        <v>5.7359776769949182E-3</v>
      </c>
    </row>
    <row r="18" spans="1:10">
      <c r="A18" s="426" t="s">
        <v>11</v>
      </c>
      <c r="B18" s="27">
        <f>整車!E18</f>
        <v>21561</v>
      </c>
      <c r="C18" s="87">
        <v>30922</v>
      </c>
      <c r="D18" s="471">
        <f t="shared" si="0"/>
        <v>-0.30272944828924392</v>
      </c>
      <c r="E18" s="27">
        <f>整車!G18</f>
        <v>20190657</v>
      </c>
      <c r="F18" s="87">
        <v>42640458</v>
      </c>
      <c r="G18" s="471">
        <f t="shared" si="1"/>
        <v>-0.52649061602480907</v>
      </c>
      <c r="H18" s="525">
        <f t="shared" si="5"/>
        <v>936.44343954362046</v>
      </c>
      <c r="I18" s="527">
        <f t="shared" si="6"/>
        <v>1378.9683073539875</v>
      </c>
      <c r="J18" s="471">
        <f t="shared" si="4"/>
        <v>-0.32091010754228222</v>
      </c>
    </row>
    <row r="19" spans="1:10">
      <c r="A19" s="425" t="s">
        <v>201</v>
      </c>
      <c r="B19" s="27">
        <f>整車!E19</f>
        <v>13087</v>
      </c>
      <c r="C19" s="87">
        <v>14297</v>
      </c>
      <c r="D19" s="471">
        <f t="shared" si="0"/>
        <v>-8.4633139819542555E-2</v>
      </c>
      <c r="E19" s="27">
        <f>整車!G19</f>
        <v>3106059</v>
      </c>
      <c r="F19" s="87">
        <v>5121594</v>
      </c>
      <c r="G19" s="471">
        <f t="shared" si="1"/>
        <v>-0.39353666065681897</v>
      </c>
      <c r="H19" s="525">
        <f t="shared" si="5"/>
        <v>237.33926797585391</v>
      </c>
      <c r="I19" s="527">
        <f t="shared" si="6"/>
        <v>358.22857942225642</v>
      </c>
      <c r="J19" s="471">
        <f t="shared" si="4"/>
        <v>-0.33746417340953161</v>
      </c>
    </row>
    <row r="20" spans="1:10">
      <c r="A20" s="426" t="s">
        <v>202</v>
      </c>
      <c r="B20" s="27">
        <f>整車!E20</f>
        <v>23</v>
      </c>
      <c r="C20" s="87">
        <v>85</v>
      </c>
      <c r="D20" s="471">
        <f t="shared" si="0"/>
        <v>-0.72941176470588232</v>
      </c>
      <c r="E20" s="27">
        <f>整車!G20</f>
        <v>52032</v>
      </c>
      <c r="F20" s="87">
        <v>175126</v>
      </c>
      <c r="G20" s="471">
        <f t="shared" si="1"/>
        <v>-0.70288820620581749</v>
      </c>
      <c r="H20" s="525">
        <f t="shared" si="5"/>
        <v>2262.2608695652175</v>
      </c>
      <c r="I20" s="527">
        <f t="shared" si="6"/>
        <v>2060.3058823529414</v>
      </c>
      <c r="J20" s="471">
        <f t="shared" si="4"/>
        <v>9.8021846630674314E-2</v>
      </c>
    </row>
    <row r="21" spans="1:10">
      <c r="A21" s="425" t="s">
        <v>203</v>
      </c>
      <c r="B21" s="27">
        <f>整車!E21</f>
        <v>34</v>
      </c>
      <c r="C21" s="87">
        <v>1895</v>
      </c>
      <c r="D21" s="471">
        <f t="shared" si="0"/>
        <v>-0.98205804749340364</v>
      </c>
      <c r="E21" s="27">
        <f>整車!G21</f>
        <v>5233</v>
      </c>
      <c r="F21" s="87">
        <v>445459</v>
      </c>
      <c r="G21" s="471">
        <f t="shared" si="1"/>
        <v>-0.98825256645392734</v>
      </c>
      <c r="H21" s="525">
        <f t="shared" si="5"/>
        <v>153.91176470588235</v>
      </c>
      <c r="I21" s="527">
        <f t="shared" si="6"/>
        <v>235.0707124010554</v>
      </c>
      <c r="J21" s="471">
        <f t="shared" si="4"/>
        <v>-0.34525333618212439</v>
      </c>
    </row>
    <row r="22" spans="1:10">
      <c r="A22" s="426" t="s">
        <v>13</v>
      </c>
      <c r="B22" s="27">
        <f>整車!E22</f>
        <v>1148</v>
      </c>
      <c r="C22" s="87">
        <v>0</v>
      </c>
      <c r="D22" s="471">
        <v>0</v>
      </c>
      <c r="E22" s="27">
        <f>整車!G22</f>
        <v>454951</v>
      </c>
      <c r="F22" s="87">
        <v>0</v>
      </c>
      <c r="G22" s="471">
        <v>0</v>
      </c>
      <c r="H22" s="525">
        <f t="shared" si="5"/>
        <v>396.29878048780489</v>
      </c>
      <c r="I22" s="527">
        <f t="shared" si="6"/>
        <v>0</v>
      </c>
      <c r="J22" s="471">
        <f t="shared" si="4"/>
        <v>0</v>
      </c>
    </row>
    <row r="23" spans="1:10">
      <c r="A23" s="426" t="s">
        <v>14</v>
      </c>
      <c r="B23" s="27">
        <f>整車!E23</f>
        <v>151</v>
      </c>
      <c r="C23" s="87">
        <v>148</v>
      </c>
      <c r="D23" s="471">
        <f t="shared" si="0"/>
        <v>2.0270270270270271E-2</v>
      </c>
      <c r="E23" s="27">
        <f>整車!G23</f>
        <v>426812</v>
      </c>
      <c r="F23" s="87">
        <v>388156</v>
      </c>
      <c r="G23" s="471">
        <f t="shared" si="1"/>
        <v>9.9588825111553092E-2</v>
      </c>
      <c r="H23" s="525">
        <f t="shared" si="5"/>
        <v>2826.5695364238409</v>
      </c>
      <c r="I23" s="527">
        <f t="shared" si="6"/>
        <v>2622.6756756756758</v>
      </c>
      <c r="J23" s="471">
        <f t="shared" si="4"/>
        <v>7.7742689513310162E-2</v>
      </c>
    </row>
    <row r="24" spans="1:10">
      <c r="A24" s="426" t="s">
        <v>15</v>
      </c>
      <c r="B24" s="27">
        <f>整車!E24</f>
        <v>65</v>
      </c>
      <c r="C24" s="87">
        <v>1650</v>
      </c>
      <c r="D24" s="471">
        <f t="shared" si="0"/>
        <v>-0.96060606060606057</v>
      </c>
      <c r="E24" s="27">
        <f>整車!G24</f>
        <v>149544</v>
      </c>
      <c r="F24" s="87">
        <v>1159739</v>
      </c>
      <c r="G24" s="471">
        <f t="shared" si="1"/>
        <v>-0.87105374571347516</v>
      </c>
      <c r="H24" s="525">
        <f t="shared" si="5"/>
        <v>2300.6769230769232</v>
      </c>
      <c r="I24" s="527">
        <f t="shared" si="6"/>
        <v>702.87212121212121</v>
      </c>
      <c r="J24" s="471">
        <f t="shared" si="4"/>
        <v>2.2732510703502453</v>
      </c>
    </row>
    <row r="25" spans="1:10">
      <c r="A25" s="425" t="s">
        <v>204</v>
      </c>
      <c r="B25" s="27">
        <f>整車!E25</f>
        <v>8900</v>
      </c>
      <c r="C25" s="87">
        <v>21098</v>
      </c>
      <c r="D25" s="471">
        <f t="shared" si="0"/>
        <v>-0.57815906721016208</v>
      </c>
      <c r="E25" s="27">
        <f>整車!G25</f>
        <v>3022579</v>
      </c>
      <c r="F25" s="87">
        <v>4660471</v>
      </c>
      <c r="G25" s="471">
        <f t="shared" si="1"/>
        <v>-0.35144344852698367</v>
      </c>
      <c r="H25" s="525">
        <f t="shared" si="5"/>
        <v>339.61561797752807</v>
      </c>
      <c r="I25" s="527">
        <f t="shared" si="6"/>
        <v>220.89634088539199</v>
      </c>
      <c r="J25" s="471">
        <f t="shared" si="4"/>
        <v>0.53744338460423569</v>
      </c>
    </row>
    <row r="26" spans="1:10">
      <c r="A26" s="425" t="s">
        <v>205</v>
      </c>
      <c r="B26" s="27">
        <f>整車!E26</f>
        <v>137</v>
      </c>
      <c r="C26" s="87">
        <v>1936</v>
      </c>
      <c r="D26" s="471">
        <f t="shared" si="0"/>
        <v>-0.92923553719008267</v>
      </c>
      <c r="E26" s="27">
        <f>整車!G26</f>
        <v>85539</v>
      </c>
      <c r="F26" s="87">
        <v>1070806</v>
      </c>
      <c r="G26" s="471">
        <f t="shared" si="1"/>
        <v>-0.92011718275766108</v>
      </c>
      <c r="H26" s="525">
        <f t="shared" si="5"/>
        <v>624.37226277372258</v>
      </c>
      <c r="I26" s="527">
        <f t="shared" si="6"/>
        <v>553.10227272727275</v>
      </c>
      <c r="J26" s="471">
        <f t="shared" si="4"/>
        <v>0.12885499402312545</v>
      </c>
    </row>
    <row r="27" spans="1:10">
      <c r="A27" s="427" t="s">
        <v>206</v>
      </c>
      <c r="B27" s="27">
        <f>整車!E27</f>
        <v>13773</v>
      </c>
      <c r="C27" s="87">
        <v>12246</v>
      </c>
      <c r="D27" s="471">
        <f t="shared" si="0"/>
        <v>0.12469377756001959</v>
      </c>
      <c r="E27" s="27">
        <f>整車!G27</f>
        <v>6914716</v>
      </c>
      <c r="F27" s="87">
        <v>7400739</v>
      </c>
      <c r="G27" s="471">
        <f t="shared" si="1"/>
        <v>-6.5672225435865261E-2</v>
      </c>
      <c r="H27" s="525">
        <f t="shared" si="5"/>
        <v>502.0486459014013</v>
      </c>
      <c r="I27" s="527">
        <f t="shared" si="6"/>
        <v>604.33929446349828</v>
      </c>
      <c r="J27" s="471">
        <f t="shared" si="4"/>
        <v>-0.16926029715295182</v>
      </c>
    </row>
    <row r="28" spans="1:10">
      <c r="A28" s="427" t="s">
        <v>207</v>
      </c>
      <c r="B28" s="27">
        <f>整車!E28</f>
        <v>7093</v>
      </c>
      <c r="C28" s="87">
        <v>7336</v>
      </c>
      <c r="D28" s="471">
        <f t="shared" si="0"/>
        <v>-3.3124318429661938E-2</v>
      </c>
      <c r="E28" s="27">
        <f>整車!G28</f>
        <v>4105285</v>
      </c>
      <c r="F28" s="87">
        <v>3625352</v>
      </c>
      <c r="G28" s="471">
        <f t="shared" si="1"/>
        <v>0.13238245555190228</v>
      </c>
      <c r="H28" s="525">
        <f t="shared" si="5"/>
        <v>578.77978288453403</v>
      </c>
      <c r="I28" s="527">
        <f t="shared" si="6"/>
        <v>494.18647764449292</v>
      </c>
      <c r="J28" s="471">
        <f t="shared" si="4"/>
        <v>0.17117689185517476</v>
      </c>
    </row>
    <row r="29" spans="1:10">
      <c r="A29" s="426" t="s">
        <v>208</v>
      </c>
      <c r="B29" s="27">
        <f>整車!E29</f>
        <v>565</v>
      </c>
      <c r="C29" s="87">
        <v>1598</v>
      </c>
      <c r="D29" s="471">
        <f t="shared" si="0"/>
        <v>-0.64643304130162704</v>
      </c>
      <c r="E29" s="27">
        <f>整車!G29</f>
        <v>408758</v>
      </c>
      <c r="F29" s="87">
        <v>738884</v>
      </c>
      <c r="G29" s="471">
        <f t="shared" si="1"/>
        <v>-0.44679002387384215</v>
      </c>
      <c r="H29" s="525">
        <f t="shared" si="5"/>
        <v>723.46548672566371</v>
      </c>
      <c r="I29" s="527">
        <f t="shared" si="6"/>
        <v>462.38047559449313</v>
      </c>
      <c r="J29" s="471">
        <f t="shared" si="4"/>
        <v>0.56465405637097377</v>
      </c>
    </row>
    <row r="30" spans="1:10">
      <c r="A30" s="426" t="s">
        <v>209</v>
      </c>
      <c r="B30" s="27">
        <f>整車!E30</f>
        <v>0</v>
      </c>
      <c r="C30" s="87">
        <v>22</v>
      </c>
      <c r="D30" s="471">
        <v>0</v>
      </c>
      <c r="E30" s="27">
        <f>整車!G30</f>
        <v>0</v>
      </c>
      <c r="F30" s="87">
        <v>4265</v>
      </c>
      <c r="G30" s="471">
        <v>0</v>
      </c>
      <c r="H30" s="525">
        <f t="shared" si="5"/>
        <v>0</v>
      </c>
      <c r="I30" s="527">
        <f t="shared" si="6"/>
        <v>193.86363636363637</v>
      </c>
      <c r="J30" s="471">
        <f t="shared" si="4"/>
        <v>-1</v>
      </c>
    </row>
    <row r="31" spans="1:10">
      <c r="A31" s="426" t="s">
        <v>16</v>
      </c>
      <c r="B31" s="27">
        <f>整車!E31</f>
        <v>1375</v>
      </c>
      <c r="C31" s="87">
        <v>1279</v>
      </c>
      <c r="D31" s="471">
        <f t="shared" si="0"/>
        <v>7.5058639562157942E-2</v>
      </c>
      <c r="E31" s="361">
        <f>整車!G31</f>
        <v>1647256</v>
      </c>
      <c r="F31" s="87">
        <v>1389730</v>
      </c>
      <c r="G31" s="471">
        <f t="shared" si="1"/>
        <v>0.1853064983845783</v>
      </c>
      <c r="H31" s="525">
        <f t="shared" si="5"/>
        <v>1198.0043636363637</v>
      </c>
      <c r="I31" s="527">
        <f t="shared" si="6"/>
        <v>1086.5754495699766</v>
      </c>
      <c r="J31" s="471">
        <f t="shared" si="4"/>
        <v>0.10255055377009133</v>
      </c>
    </row>
    <row r="32" spans="1:10">
      <c r="A32" s="426" t="s">
        <v>17</v>
      </c>
      <c r="B32" s="27">
        <f>整車!E32</f>
        <v>0</v>
      </c>
      <c r="C32" s="87">
        <v>50</v>
      </c>
      <c r="D32" s="471">
        <f t="shared" si="0"/>
        <v>-1</v>
      </c>
      <c r="E32" s="27">
        <f>整車!G32</f>
        <v>0</v>
      </c>
      <c r="F32" s="87">
        <v>6219</v>
      </c>
      <c r="G32" s="471">
        <f t="shared" si="1"/>
        <v>-1</v>
      </c>
      <c r="H32" s="525">
        <f t="shared" si="5"/>
        <v>0</v>
      </c>
      <c r="I32" s="527">
        <f t="shared" si="6"/>
        <v>124.38</v>
      </c>
      <c r="J32" s="471">
        <f t="shared" si="4"/>
        <v>-1</v>
      </c>
    </row>
    <row r="33" spans="1:10">
      <c r="A33" s="426" t="s">
        <v>210</v>
      </c>
      <c r="B33" s="27">
        <f>整車!E33</f>
        <v>815</v>
      </c>
      <c r="C33" s="87">
        <v>1147</v>
      </c>
      <c r="D33" s="471">
        <f t="shared" si="0"/>
        <v>-0.28945074106364427</v>
      </c>
      <c r="E33" s="27">
        <f>整車!G33</f>
        <v>216361</v>
      </c>
      <c r="F33" s="87">
        <v>527674</v>
      </c>
      <c r="G33" s="471">
        <f t="shared" si="1"/>
        <v>-0.58997221769501629</v>
      </c>
      <c r="H33" s="525">
        <f t="shared" si="5"/>
        <v>265.47361963190184</v>
      </c>
      <c r="I33" s="527">
        <f t="shared" si="6"/>
        <v>460.0470793374019</v>
      </c>
      <c r="J33" s="471">
        <f t="shared" si="4"/>
        <v>-0.42294249533274064</v>
      </c>
    </row>
    <row r="34" spans="1:10">
      <c r="A34" s="426" t="s">
        <v>211</v>
      </c>
      <c r="B34" s="27">
        <f>整車!E34</f>
        <v>89</v>
      </c>
      <c r="C34" s="87">
        <v>427</v>
      </c>
      <c r="D34" s="471">
        <f t="shared" si="0"/>
        <v>-0.79156908665105385</v>
      </c>
      <c r="E34" s="27">
        <f>整車!G34</f>
        <v>16606</v>
      </c>
      <c r="F34" s="87">
        <v>114645</v>
      </c>
      <c r="G34" s="471">
        <f t="shared" si="1"/>
        <v>-0.85515286318635786</v>
      </c>
      <c r="H34" s="525">
        <f t="shared" si="5"/>
        <v>186.58426966292134</v>
      </c>
      <c r="I34" s="527">
        <f t="shared" si="6"/>
        <v>268.4894613583138</v>
      </c>
      <c r="J34" s="471">
        <f t="shared" si="4"/>
        <v>-0.30505924247836874</v>
      </c>
    </row>
    <row r="35" spans="1:10">
      <c r="A35" s="426" t="s">
        <v>212</v>
      </c>
      <c r="B35" s="27">
        <f>整車!E35</f>
        <v>466</v>
      </c>
      <c r="C35" s="87">
        <v>409</v>
      </c>
      <c r="D35" s="471">
        <f t="shared" si="0"/>
        <v>0.13936430317848411</v>
      </c>
      <c r="E35" s="27">
        <f>整車!G35</f>
        <v>255739</v>
      </c>
      <c r="F35" s="87">
        <v>165765</v>
      </c>
      <c r="G35" s="471">
        <f t="shared" si="1"/>
        <v>0.54278044219226018</v>
      </c>
      <c r="H35" s="525">
        <f t="shared" si="5"/>
        <v>548.7961373390558</v>
      </c>
      <c r="I35" s="527">
        <f t="shared" si="6"/>
        <v>405.29339853300735</v>
      </c>
      <c r="J35" s="471">
        <f t="shared" si="4"/>
        <v>0.35407124647346433</v>
      </c>
    </row>
    <row r="36" spans="1:10">
      <c r="A36" s="426" t="s">
        <v>213</v>
      </c>
      <c r="B36" s="27">
        <f>整車!E36</f>
        <v>128</v>
      </c>
      <c r="C36" s="87">
        <v>210</v>
      </c>
      <c r="D36" s="471">
        <v>0</v>
      </c>
      <c r="E36" s="27">
        <f>整車!G36</f>
        <v>17159</v>
      </c>
      <c r="F36" s="87">
        <v>33789</v>
      </c>
      <c r="G36" s="471">
        <v>0</v>
      </c>
      <c r="H36" s="525">
        <f t="shared" si="5"/>
        <v>134.0546875</v>
      </c>
      <c r="I36" s="527">
        <f t="shared" si="6"/>
        <v>160.9</v>
      </c>
      <c r="J36" s="471">
        <f t="shared" si="4"/>
        <v>-0.16684470167806092</v>
      </c>
    </row>
    <row r="37" spans="1:10">
      <c r="A37" s="426" t="s">
        <v>214</v>
      </c>
      <c r="B37" s="27">
        <f>整車!E37</f>
        <v>0</v>
      </c>
      <c r="C37" s="87">
        <v>53</v>
      </c>
      <c r="D37" s="471">
        <v>0</v>
      </c>
      <c r="E37" s="27">
        <f>整車!G37</f>
        <v>0</v>
      </c>
      <c r="F37" s="87">
        <v>6811</v>
      </c>
      <c r="G37" s="471">
        <v>0</v>
      </c>
      <c r="H37" s="525">
        <f t="shared" si="5"/>
        <v>0</v>
      </c>
      <c r="I37" s="527">
        <f t="shared" si="6"/>
        <v>128.50943396226415</v>
      </c>
      <c r="J37" s="471">
        <f t="shared" si="4"/>
        <v>-1</v>
      </c>
    </row>
    <row r="38" spans="1:10">
      <c r="A38" s="426" t="s">
        <v>215</v>
      </c>
      <c r="B38" s="27">
        <f>整車!E38</f>
        <v>110</v>
      </c>
      <c r="C38" s="87">
        <v>395</v>
      </c>
      <c r="D38" s="471">
        <f t="shared" si="0"/>
        <v>-0.72151898734177211</v>
      </c>
      <c r="E38" s="27">
        <f>整車!G38</f>
        <v>19564</v>
      </c>
      <c r="F38" s="87">
        <v>61429</v>
      </c>
      <c r="G38" s="471">
        <f t="shared" si="1"/>
        <v>-0.6815185010337137</v>
      </c>
      <c r="H38" s="525">
        <f t="shared" si="5"/>
        <v>177.85454545454544</v>
      </c>
      <c r="I38" s="527">
        <f t="shared" si="6"/>
        <v>155.51645569620254</v>
      </c>
      <c r="J38" s="471">
        <f t="shared" si="4"/>
        <v>0.14363810992439152</v>
      </c>
    </row>
    <row r="39" spans="1:10">
      <c r="A39" s="426" t="s">
        <v>18</v>
      </c>
      <c r="B39" s="27">
        <f>整車!E39</f>
        <v>335</v>
      </c>
      <c r="C39" s="87">
        <v>578</v>
      </c>
      <c r="D39" s="471">
        <f t="shared" si="0"/>
        <v>-0.42041522491349481</v>
      </c>
      <c r="E39" s="27">
        <f>整車!G39</f>
        <v>117992</v>
      </c>
      <c r="F39" s="87">
        <v>148696</v>
      </c>
      <c r="G39" s="471">
        <f t="shared" si="1"/>
        <v>-0.20648840587507397</v>
      </c>
      <c r="H39" s="525">
        <f t="shared" si="5"/>
        <v>352.21492537313435</v>
      </c>
      <c r="I39" s="527">
        <f t="shared" si="6"/>
        <v>257.25951557093424</v>
      </c>
      <c r="J39" s="471">
        <f t="shared" si="4"/>
        <v>0.36910358628121581</v>
      </c>
    </row>
    <row r="40" spans="1:10">
      <c r="A40" s="30"/>
      <c r="B40" s="27"/>
      <c r="C40" s="88"/>
      <c r="D40" s="471"/>
      <c r="E40" s="27"/>
      <c r="F40" s="88"/>
      <c r="G40" s="471"/>
      <c r="H40" s="525"/>
      <c r="I40" s="528"/>
      <c r="J40" s="471"/>
    </row>
    <row r="41" spans="1:10" ht="16.149999999999999" customHeight="1">
      <c r="A41" s="36" t="s">
        <v>19</v>
      </c>
      <c r="B41" s="33">
        <f>SUM(B42:B45)</f>
        <v>20806</v>
      </c>
      <c r="C41" s="89">
        <v>31229</v>
      </c>
      <c r="D41" s="471">
        <f t="shared" si="0"/>
        <v>-0.3337602869128054</v>
      </c>
      <c r="E41" s="33">
        <f>SUM(E42:E45)</f>
        <v>24001831</v>
      </c>
      <c r="F41" s="89">
        <v>23788922</v>
      </c>
      <c r="G41" s="471">
        <f t="shared" si="1"/>
        <v>8.9499221528407218E-3</v>
      </c>
      <c r="H41" s="525">
        <f t="shared" si="5"/>
        <v>1153.6014130539268</v>
      </c>
      <c r="I41" s="529">
        <f t="shared" si="6"/>
        <v>761.75740497614402</v>
      </c>
      <c r="J41" s="471">
        <f t="shared" si="4"/>
        <v>0.51439474761660398</v>
      </c>
    </row>
    <row r="42" spans="1:10">
      <c r="A42" s="425" t="s">
        <v>216</v>
      </c>
      <c r="B42" s="27">
        <f>整車!E42</f>
        <v>11765</v>
      </c>
      <c r="C42" s="87">
        <v>11862</v>
      </c>
      <c r="D42" s="471">
        <f t="shared" si="0"/>
        <v>-8.1773731242623503E-3</v>
      </c>
      <c r="E42" s="27">
        <f>整車!G42</f>
        <v>17376897</v>
      </c>
      <c r="F42" s="87">
        <v>14474622</v>
      </c>
      <c r="G42" s="471">
        <f t="shared" si="1"/>
        <v>0.20050782673288464</v>
      </c>
      <c r="H42" s="525">
        <f t="shared" si="5"/>
        <v>1476.9993200169995</v>
      </c>
      <c r="I42" s="527">
        <f t="shared" si="6"/>
        <v>1220.2513909964593</v>
      </c>
      <c r="J42" s="471">
        <f t="shared" si="4"/>
        <v>0.21040576631580757</v>
      </c>
    </row>
    <row r="43" spans="1:10">
      <c r="A43" s="425" t="s">
        <v>217</v>
      </c>
      <c r="B43" s="27">
        <f>整車!E43</f>
        <v>9037</v>
      </c>
      <c r="C43" s="87">
        <v>19147</v>
      </c>
      <c r="D43" s="471">
        <f t="shared" si="0"/>
        <v>-0.52802005536115315</v>
      </c>
      <c r="E43" s="27">
        <f>整車!G43</f>
        <v>6618399</v>
      </c>
      <c r="F43" s="87">
        <v>9207775</v>
      </c>
      <c r="G43" s="471">
        <f t="shared" si="1"/>
        <v>-0.28121625474123768</v>
      </c>
      <c r="H43" s="525">
        <f t="shared" si="5"/>
        <v>732.36682527387404</v>
      </c>
      <c r="I43" s="527">
        <f t="shared" si="6"/>
        <v>480.89909646419807</v>
      </c>
      <c r="J43" s="471">
        <f t="shared" si="4"/>
        <v>0.5229116266979662</v>
      </c>
    </row>
    <row r="44" spans="1:10">
      <c r="A44" s="425" t="s">
        <v>218</v>
      </c>
      <c r="B44" s="27">
        <f>整車!E44</f>
        <v>4</v>
      </c>
      <c r="C44" s="87">
        <v>220</v>
      </c>
      <c r="D44" s="471">
        <f t="shared" si="0"/>
        <v>-0.98181818181818181</v>
      </c>
      <c r="E44" s="27">
        <f>整車!G44</f>
        <v>6535</v>
      </c>
      <c r="F44" s="87">
        <v>106525</v>
      </c>
      <c r="G44" s="471">
        <f t="shared" si="1"/>
        <v>-0.93865289838066179</v>
      </c>
      <c r="H44" s="525">
        <f t="shared" si="5"/>
        <v>1633.75</v>
      </c>
      <c r="I44" s="527">
        <f t="shared" si="6"/>
        <v>484.20454545454544</v>
      </c>
      <c r="J44" s="471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7">
        <v>0</v>
      </c>
      <c r="D45" s="471">
        <v>0</v>
      </c>
      <c r="E45" s="27">
        <f>整車!G45</f>
        <v>0</v>
      </c>
      <c r="F45" s="87">
        <v>0</v>
      </c>
      <c r="G45" s="471">
        <v>0</v>
      </c>
      <c r="H45" s="525">
        <f t="shared" si="5"/>
        <v>0</v>
      </c>
      <c r="I45" s="527">
        <f t="shared" si="6"/>
        <v>0</v>
      </c>
      <c r="J45" s="471">
        <f t="shared" si="4"/>
        <v>0</v>
      </c>
    </row>
    <row r="46" spans="1:10" ht="17.45" customHeight="1">
      <c r="A46" s="30"/>
      <c r="B46" s="27"/>
      <c r="C46" s="88"/>
      <c r="D46" s="471"/>
      <c r="E46" s="27"/>
      <c r="F46" s="88"/>
      <c r="G46" s="471"/>
      <c r="H46" s="525"/>
      <c r="I46" s="528"/>
      <c r="J46" s="471"/>
    </row>
    <row r="47" spans="1:10">
      <c r="A47" s="36" t="s">
        <v>21</v>
      </c>
      <c r="B47" s="33">
        <f>SUM(B48:B65)</f>
        <v>225602</v>
      </c>
      <c r="C47" s="89">
        <v>330169</v>
      </c>
      <c r="D47" s="471">
        <f t="shared" si="0"/>
        <v>-0.31670750433868716</v>
      </c>
      <c r="E47" s="33">
        <f>SUM(E48:E65)</f>
        <v>274341658</v>
      </c>
      <c r="F47" s="89">
        <v>354326411</v>
      </c>
      <c r="G47" s="471">
        <f t="shared" si="1"/>
        <v>-0.22573748531548218</v>
      </c>
      <c r="H47" s="525">
        <f t="shared" si="5"/>
        <v>1216.0426680614535</v>
      </c>
      <c r="I47" s="529">
        <f t="shared" si="6"/>
        <v>1073.166805484464</v>
      </c>
      <c r="J47" s="471">
        <f t="shared" si="4"/>
        <v>0.13313481356935042</v>
      </c>
    </row>
    <row r="48" spans="1:10">
      <c r="A48" s="453" t="s">
        <v>159</v>
      </c>
      <c r="B48" s="27">
        <f>整車!E48</f>
        <v>45229</v>
      </c>
      <c r="C48" s="87">
        <v>71102</v>
      </c>
      <c r="D48" s="471">
        <f t="shared" si="0"/>
        <v>-0.36388568535343591</v>
      </c>
      <c r="E48" s="27">
        <f>整車!G48</f>
        <v>45618106</v>
      </c>
      <c r="F48" s="87">
        <v>64592739</v>
      </c>
      <c r="G48" s="471">
        <f t="shared" si="1"/>
        <v>-0.29375798725612179</v>
      </c>
      <c r="H48" s="525">
        <f t="shared" si="5"/>
        <v>1008.6030201861637</v>
      </c>
      <c r="I48" s="527">
        <f t="shared" si="6"/>
        <v>908.45178757278279</v>
      </c>
      <c r="J48" s="471">
        <f t="shared" si="4"/>
        <v>0.11024386102092076</v>
      </c>
    </row>
    <row r="49" spans="1:10">
      <c r="A49" s="425" t="s">
        <v>219</v>
      </c>
      <c r="B49" s="27">
        <f>整車!E49</f>
        <v>30195</v>
      </c>
      <c r="C49" s="87">
        <v>50360</v>
      </c>
      <c r="D49" s="471">
        <f t="shared" si="0"/>
        <v>-0.40041699761715649</v>
      </c>
      <c r="E49" s="27">
        <f>整車!G49</f>
        <v>23132196</v>
      </c>
      <c r="F49" s="87">
        <v>39765571</v>
      </c>
      <c r="G49" s="471">
        <f t="shared" si="1"/>
        <v>-0.41828583324001561</v>
      </c>
      <c r="H49" s="525">
        <f t="shared" si="5"/>
        <v>766.09359165424735</v>
      </c>
      <c r="I49" s="527">
        <f t="shared" si="6"/>
        <v>789.62611199364574</v>
      </c>
      <c r="J49" s="471">
        <f t="shared" si="4"/>
        <v>-2.9802105049418322E-2</v>
      </c>
    </row>
    <row r="50" spans="1:10">
      <c r="A50" s="282" t="s">
        <v>220</v>
      </c>
      <c r="B50" s="27">
        <f>整車!E50</f>
        <v>1736</v>
      </c>
      <c r="C50" s="87">
        <v>2086</v>
      </c>
      <c r="D50" s="471">
        <f t="shared" si="0"/>
        <v>-0.16778523489932887</v>
      </c>
      <c r="E50" s="27">
        <f>整車!G50</f>
        <v>1678674</v>
      </c>
      <c r="F50" s="87">
        <v>2161286</v>
      </c>
      <c r="G50" s="471">
        <f t="shared" si="1"/>
        <v>-0.22329853614931111</v>
      </c>
      <c r="H50" s="525">
        <f t="shared" si="5"/>
        <v>966.97811059907838</v>
      </c>
      <c r="I50" s="527">
        <f t="shared" si="6"/>
        <v>1036.091083413231</v>
      </c>
      <c r="J50" s="471">
        <f t="shared" si="4"/>
        <v>-6.6705499082639855E-2</v>
      </c>
    </row>
    <row r="51" spans="1:10">
      <c r="A51" s="425" t="s">
        <v>221</v>
      </c>
      <c r="B51" s="27">
        <f>整車!E51</f>
        <v>1617</v>
      </c>
      <c r="C51" s="87">
        <v>3465</v>
      </c>
      <c r="D51" s="471">
        <f t="shared" si="0"/>
        <v>-0.53333333333333333</v>
      </c>
      <c r="E51" s="27">
        <f>整車!G51</f>
        <v>2980499</v>
      </c>
      <c r="F51" s="87">
        <v>5253517</v>
      </c>
      <c r="G51" s="471">
        <f t="shared" si="1"/>
        <v>-0.4326659645338542</v>
      </c>
      <c r="H51" s="525">
        <f t="shared" si="5"/>
        <v>1843.2275819418676</v>
      </c>
      <c r="I51" s="527">
        <f t="shared" si="6"/>
        <v>1516.1665223665223</v>
      </c>
      <c r="J51" s="471">
        <f t="shared" si="4"/>
        <v>0.21571579028459822</v>
      </c>
    </row>
    <row r="52" spans="1:10">
      <c r="A52" s="426" t="s">
        <v>22</v>
      </c>
      <c r="B52" s="27">
        <f>整車!E52</f>
        <v>789</v>
      </c>
      <c r="C52" s="87">
        <v>659</v>
      </c>
      <c r="D52" s="471">
        <f t="shared" si="0"/>
        <v>0.19726858877086495</v>
      </c>
      <c r="E52" s="27">
        <f>整車!G52</f>
        <v>1592284</v>
      </c>
      <c r="F52" s="87">
        <v>1091590</v>
      </c>
      <c r="G52" s="471">
        <f t="shared" si="1"/>
        <v>0.45868320523273393</v>
      </c>
      <c r="H52" s="525">
        <f t="shared" si="5"/>
        <v>2018.103929024081</v>
      </c>
      <c r="I52" s="527">
        <f t="shared" si="6"/>
        <v>1656.4339908952959</v>
      </c>
      <c r="J52" s="471">
        <f t="shared" si="4"/>
        <v>0.21834249968107936</v>
      </c>
    </row>
    <row r="53" spans="1:10">
      <c r="A53" s="425" t="s">
        <v>222</v>
      </c>
      <c r="B53" s="27">
        <f>整車!E53</f>
        <v>1893</v>
      </c>
      <c r="C53" s="87">
        <v>2565</v>
      </c>
      <c r="D53" s="471">
        <f t="shared" si="0"/>
        <v>-0.26198830409356727</v>
      </c>
      <c r="E53" s="27">
        <f>整車!G53</f>
        <v>2709505</v>
      </c>
      <c r="F53" s="87">
        <v>3925455</v>
      </c>
      <c r="G53" s="471">
        <f t="shared" si="1"/>
        <v>-0.30976026982859312</v>
      </c>
      <c r="H53" s="525">
        <f t="shared" si="5"/>
        <v>1431.3285789751717</v>
      </c>
      <c r="I53" s="527">
        <f t="shared" si="6"/>
        <v>1530.3918128654971</v>
      </c>
      <c r="J53" s="471">
        <f t="shared" si="4"/>
        <v>-6.473063502923472E-2</v>
      </c>
    </row>
    <row r="54" spans="1:10">
      <c r="A54" s="426" t="s">
        <v>223</v>
      </c>
      <c r="B54" s="27">
        <f>整車!E54</f>
        <v>26679</v>
      </c>
      <c r="C54" s="87">
        <v>41478</v>
      </c>
      <c r="D54" s="471">
        <f t="shared" si="0"/>
        <v>-0.35679155214812674</v>
      </c>
      <c r="E54" s="27">
        <f>整車!G54</f>
        <v>31810120</v>
      </c>
      <c r="F54" s="87">
        <v>56561951</v>
      </c>
      <c r="G54" s="471">
        <f t="shared" si="1"/>
        <v>-0.43760567947877188</v>
      </c>
      <c r="H54" s="525">
        <f t="shared" si="5"/>
        <v>1192.3280482776715</v>
      </c>
      <c r="I54" s="527">
        <f t="shared" si="6"/>
        <v>1363.6614831959112</v>
      </c>
      <c r="J54" s="471">
        <f t="shared" si="4"/>
        <v>-0.12564220448369509</v>
      </c>
    </row>
    <row r="55" spans="1:10">
      <c r="A55" s="426" t="s">
        <v>23</v>
      </c>
      <c r="B55" s="27">
        <f>整車!E55</f>
        <v>533</v>
      </c>
      <c r="C55" s="87">
        <v>3763</v>
      </c>
      <c r="D55" s="471">
        <f t="shared" si="0"/>
        <v>-0.85835769332979006</v>
      </c>
      <c r="E55" s="27">
        <f>整車!G55</f>
        <v>810583</v>
      </c>
      <c r="F55" s="87">
        <v>4643062</v>
      </c>
      <c r="G55" s="471">
        <f t="shared" si="1"/>
        <v>-0.82542059528819556</v>
      </c>
      <c r="H55" s="525">
        <f t="shared" si="5"/>
        <v>1520.7936210131331</v>
      </c>
      <c r="I55" s="527">
        <f t="shared" si="6"/>
        <v>1233.872442200372</v>
      </c>
      <c r="J55" s="471">
        <f t="shared" si="4"/>
        <v>0.23253714808727952</v>
      </c>
    </row>
    <row r="56" spans="1:10">
      <c r="A56" s="426" t="s">
        <v>224</v>
      </c>
      <c r="B56" s="27">
        <f>整車!E56</f>
        <v>92223</v>
      </c>
      <c r="C56" s="87">
        <v>105147</v>
      </c>
      <c r="D56" s="471">
        <f t="shared" si="0"/>
        <v>-0.12291363519643927</v>
      </c>
      <c r="E56" s="27">
        <f>整車!G56</f>
        <v>125998459</v>
      </c>
      <c r="F56" s="87">
        <v>108068517</v>
      </c>
      <c r="G56" s="471">
        <f t="shared" si="1"/>
        <v>0.16591272368436405</v>
      </c>
      <c r="H56" s="525">
        <f t="shared" si="5"/>
        <v>1366.2368281231363</v>
      </c>
      <c r="I56" s="527">
        <f t="shared" si="6"/>
        <v>1027.7850723273132</v>
      </c>
      <c r="J56" s="471">
        <f t="shared" si="4"/>
        <v>0.32930207385619453</v>
      </c>
    </row>
    <row r="57" spans="1:10">
      <c r="A57" s="428" t="s">
        <v>225</v>
      </c>
      <c r="B57" s="27">
        <f>整車!E57</f>
        <v>9673</v>
      </c>
      <c r="C57" s="87">
        <v>24777</v>
      </c>
      <c r="D57" s="471">
        <f t="shared" si="0"/>
        <v>-0.60959761068733098</v>
      </c>
      <c r="E57" s="27">
        <f>整車!G57</f>
        <v>15965743</v>
      </c>
      <c r="F57" s="87">
        <v>34837863</v>
      </c>
      <c r="G57" s="471">
        <f t="shared" si="1"/>
        <v>-0.54171290586911147</v>
      </c>
      <c r="H57" s="525">
        <f t="shared" si="5"/>
        <v>1650.5471932182363</v>
      </c>
      <c r="I57" s="527">
        <f t="shared" si="6"/>
        <v>1406.0565443758323</v>
      </c>
      <c r="J57" s="471">
        <f t="shared" si="4"/>
        <v>0.17388393789734588</v>
      </c>
    </row>
    <row r="58" spans="1:10">
      <c r="A58" s="426" t="s">
        <v>24</v>
      </c>
      <c r="B58" s="27">
        <f>整車!E58</f>
        <v>3464</v>
      </c>
      <c r="C58" s="87">
        <v>4747</v>
      </c>
      <c r="D58" s="471">
        <f t="shared" si="0"/>
        <v>-0.27027596376658941</v>
      </c>
      <c r="E58" s="27">
        <f>整車!G58</f>
        <v>3566850</v>
      </c>
      <c r="F58" s="87">
        <v>2253138</v>
      </c>
      <c r="G58" s="471">
        <f t="shared" si="1"/>
        <v>0.58305882728887448</v>
      </c>
      <c r="H58" s="525">
        <f t="shared" si="5"/>
        <v>1029.6911085450347</v>
      </c>
      <c r="I58" s="527">
        <f t="shared" si="6"/>
        <v>474.64461765325467</v>
      </c>
      <c r="J58" s="471">
        <f t="shared" si="4"/>
        <v>1.1693938375116302</v>
      </c>
    </row>
    <row r="59" spans="1:10">
      <c r="A59" s="426" t="s">
        <v>25</v>
      </c>
      <c r="B59" s="27">
        <f>整車!E59</f>
        <v>151</v>
      </c>
      <c r="C59" s="87">
        <v>119</v>
      </c>
      <c r="D59" s="471">
        <f t="shared" si="0"/>
        <v>0.26890756302521007</v>
      </c>
      <c r="E59" s="27">
        <f>整車!G59</f>
        <v>63160</v>
      </c>
      <c r="F59" s="87">
        <v>44021</v>
      </c>
      <c r="G59" s="471">
        <f t="shared" si="1"/>
        <v>0.4347697689738988</v>
      </c>
      <c r="H59" s="525">
        <f t="shared" si="5"/>
        <v>418.27814569536423</v>
      </c>
      <c r="I59" s="527">
        <f t="shared" si="6"/>
        <v>369.92436974789916</v>
      </c>
      <c r="J59" s="471">
        <f t="shared" si="4"/>
        <v>0.13071259939002619</v>
      </c>
    </row>
    <row r="60" spans="1:10">
      <c r="A60" s="426" t="s">
        <v>26</v>
      </c>
      <c r="B60" s="27">
        <f>整車!E60</f>
        <v>3316</v>
      </c>
      <c r="C60" s="87">
        <v>8455</v>
      </c>
      <c r="D60" s="471">
        <f t="shared" si="0"/>
        <v>-0.60780603193376703</v>
      </c>
      <c r="E60" s="27">
        <f>整車!G60</f>
        <v>4358555</v>
      </c>
      <c r="F60" s="87">
        <v>11138743</v>
      </c>
      <c r="G60" s="471">
        <f t="shared" si="1"/>
        <v>-0.60870315438645095</v>
      </c>
      <c r="H60" s="525">
        <f t="shared" si="5"/>
        <v>1314.4013872135104</v>
      </c>
      <c r="I60" s="527">
        <f t="shared" si="6"/>
        <v>1317.4149024246008</v>
      </c>
      <c r="J60" s="471">
        <f t="shared" si="4"/>
        <v>-2.2874458194941201E-3</v>
      </c>
    </row>
    <row r="61" spans="1:10">
      <c r="A61" s="427" t="s">
        <v>226</v>
      </c>
      <c r="B61" s="27">
        <f>整車!E61</f>
        <v>2559</v>
      </c>
      <c r="C61" s="87">
        <v>3865</v>
      </c>
      <c r="D61" s="471">
        <f t="shared" si="0"/>
        <v>-0.33790426908150067</v>
      </c>
      <c r="E61" s="27">
        <f>整車!G61</f>
        <v>5234467</v>
      </c>
      <c r="F61" s="87">
        <v>7725091</v>
      </c>
      <c r="G61" s="471">
        <f t="shared" si="1"/>
        <v>-0.32240707585192202</v>
      </c>
      <c r="H61" s="525">
        <f t="shared" si="5"/>
        <v>2045.5127002735444</v>
      </c>
      <c r="I61" s="527">
        <f t="shared" si="6"/>
        <v>1998.7298835705046</v>
      </c>
      <c r="J61" s="471">
        <f t="shared" si="4"/>
        <v>2.3406272697272912E-2</v>
      </c>
    </row>
    <row r="62" spans="1:10">
      <c r="A62" s="426" t="s">
        <v>27</v>
      </c>
      <c r="B62" s="27">
        <f>整車!E62</f>
        <v>2635</v>
      </c>
      <c r="C62" s="87">
        <v>3139</v>
      </c>
      <c r="D62" s="471">
        <f t="shared" si="0"/>
        <v>-0.16056068811723478</v>
      </c>
      <c r="E62" s="27">
        <f>整車!G62</f>
        <v>4139742</v>
      </c>
      <c r="F62" s="87">
        <v>5093233</v>
      </c>
      <c r="G62" s="471">
        <f t="shared" si="1"/>
        <v>-0.18720741815660114</v>
      </c>
      <c r="H62" s="525">
        <f t="shared" si="5"/>
        <v>1571.0595825426944</v>
      </c>
      <c r="I62" s="527">
        <f t="shared" si="6"/>
        <v>1622.565466709143</v>
      </c>
      <c r="J62" s="471">
        <f t="shared" si="4"/>
        <v>-3.1743485993765086E-2</v>
      </c>
    </row>
    <row r="63" spans="1:10">
      <c r="A63" s="285" t="s">
        <v>227</v>
      </c>
      <c r="B63" s="27">
        <f>整車!E63</f>
        <v>175</v>
      </c>
      <c r="C63" s="87">
        <v>436</v>
      </c>
      <c r="D63" s="471">
        <f t="shared" si="0"/>
        <v>-0.59862385321100919</v>
      </c>
      <c r="E63" s="27">
        <f>整車!G63</f>
        <v>285886</v>
      </c>
      <c r="F63" s="87">
        <v>849307</v>
      </c>
      <c r="G63" s="471">
        <f t="shared" si="1"/>
        <v>-0.66338909251895961</v>
      </c>
      <c r="H63" s="525">
        <f t="shared" si="5"/>
        <v>1633.6342857142856</v>
      </c>
      <c r="I63" s="527">
        <f t="shared" si="6"/>
        <v>1947.9518348623853</v>
      </c>
      <c r="J63" s="471">
        <f t="shared" si="4"/>
        <v>-0.16135796764723648</v>
      </c>
    </row>
    <row r="64" spans="1:10">
      <c r="A64" s="426" t="s">
        <v>28</v>
      </c>
      <c r="B64" s="27">
        <f>整車!E64</f>
        <v>1111</v>
      </c>
      <c r="C64" s="87">
        <v>2160</v>
      </c>
      <c r="D64" s="471">
        <f t="shared" si="0"/>
        <v>-0.48564814814814816</v>
      </c>
      <c r="E64" s="27">
        <f>整車!G64</f>
        <v>2373767</v>
      </c>
      <c r="F64" s="87">
        <v>4219477</v>
      </c>
      <c r="G64" s="471">
        <f t="shared" si="1"/>
        <v>-0.43742624974611782</v>
      </c>
      <c r="H64" s="525">
        <f t="shared" si="5"/>
        <v>2136.6039603960394</v>
      </c>
      <c r="I64" s="527">
        <f t="shared" si="6"/>
        <v>1953.4615740740742</v>
      </c>
      <c r="J64" s="471">
        <f t="shared" si="4"/>
        <v>9.3752745768123591E-2</v>
      </c>
    </row>
    <row r="65" spans="1:10">
      <c r="A65" s="285" t="s">
        <v>228</v>
      </c>
      <c r="B65" s="27">
        <f>整車!E65</f>
        <v>1624</v>
      </c>
      <c r="C65" s="87">
        <v>1846</v>
      </c>
      <c r="D65" s="471">
        <f t="shared" si="0"/>
        <v>-0.12026002166847237</v>
      </c>
      <c r="E65" s="27">
        <f>整車!G65</f>
        <v>2023062</v>
      </c>
      <c r="F65" s="87">
        <v>2101850</v>
      </c>
      <c r="G65" s="471">
        <f t="shared" si="1"/>
        <v>-3.748507267407284E-2</v>
      </c>
      <c r="H65" s="525">
        <f t="shared" si="5"/>
        <v>1245.7278325123152</v>
      </c>
      <c r="I65" s="527">
        <f t="shared" si="6"/>
        <v>1138.5969664138679</v>
      </c>
      <c r="J65" s="471">
        <f t="shared" si="4"/>
        <v>9.4090243746096883E-2</v>
      </c>
    </row>
    <row r="66" spans="1:10">
      <c r="A66" s="30" t="s">
        <v>29</v>
      </c>
      <c r="B66" s="27">
        <f>B67-B47-B41-B12-B7</f>
        <v>15855</v>
      </c>
      <c r="C66" s="88">
        <v>24587</v>
      </c>
      <c r="D66" s="471">
        <f t="shared" si="0"/>
        <v>-0.35514702891772076</v>
      </c>
      <c r="E66" s="27">
        <f>E67-E47-E41-E12-E7</f>
        <v>22304060</v>
      </c>
      <c r="F66" s="88">
        <v>33160192</v>
      </c>
      <c r="G66" s="471">
        <f t="shared" si="1"/>
        <v>-0.32738447352777694</v>
      </c>
      <c r="H66" s="525">
        <f t="shared" si="5"/>
        <v>1406.7524440239672</v>
      </c>
      <c r="I66" s="528">
        <f t="shared" si="6"/>
        <v>1348.6880058567535</v>
      </c>
      <c r="J66" s="471">
        <f t="shared" si="4"/>
        <v>4.305253543819295E-2</v>
      </c>
    </row>
    <row r="67" spans="1:10">
      <c r="A67" s="32" t="s">
        <v>400</v>
      </c>
      <c r="B67" s="33">
        <f>整車!E67</f>
        <v>750306</v>
      </c>
      <c r="C67" s="87">
        <v>1172444</v>
      </c>
      <c r="D67" s="471">
        <f t="shared" si="0"/>
        <v>-0.36004960578074519</v>
      </c>
      <c r="E67" s="33">
        <f>整車!G67</f>
        <v>859876081</v>
      </c>
      <c r="F67" s="87">
        <v>1201097214</v>
      </c>
      <c r="G67" s="471">
        <f t="shared" si="1"/>
        <v>-0.28409118681046247</v>
      </c>
      <c r="H67" s="525">
        <f t="shared" ref="H67" si="7">E67/B67</f>
        <v>1146.0338595186497</v>
      </c>
      <c r="I67" s="528">
        <f t="shared" si="6"/>
        <v>1024.4388763983611</v>
      </c>
      <c r="J67" s="471">
        <f t="shared" si="4"/>
        <v>0.11869422951594959</v>
      </c>
    </row>
    <row r="68" spans="1:10">
      <c r="A68" s="94"/>
      <c r="B68" s="95"/>
      <c r="C68" s="96"/>
      <c r="D68" s="97"/>
      <c r="E68" s="95"/>
      <c r="F68" s="96"/>
      <c r="G68" s="98"/>
      <c r="H68" s="530"/>
      <c r="I68" s="530"/>
      <c r="J68" s="93"/>
    </row>
    <row r="69" spans="1:10">
      <c r="A69" s="99" t="s">
        <v>149</v>
      </c>
      <c r="B69" s="100"/>
      <c r="C69" s="101"/>
      <c r="D69" s="102"/>
      <c r="E69" s="100"/>
      <c r="F69" s="101"/>
      <c r="G69" s="103"/>
      <c r="H69" s="530"/>
      <c r="I69" s="530"/>
      <c r="J69" s="93"/>
    </row>
    <row r="70" spans="1:10">
      <c r="A70" s="69" t="s">
        <v>495</v>
      </c>
      <c r="B70" s="8" t="s">
        <v>446</v>
      </c>
      <c r="C70" s="70" t="s">
        <v>463</v>
      </c>
      <c r="D70" s="71" t="s">
        <v>155</v>
      </c>
      <c r="E70" s="8" t="s">
        <v>446</v>
      </c>
      <c r="F70" s="70" t="s">
        <v>463</v>
      </c>
      <c r="G70" s="73" t="s">
        <v>156</v>
      </c>
      <c r="H70" s="519" t="s">
        <v>446</v>
      </c>
      <c r="I70" s="520" t="s">
        <v>448</v>
      </c>
      <c r="J70" s="74" t="s">
        <v>36</v>
      </c>
    </row>
    <row r="71" spans="1:10">
      <c r="A71" s="46"/>
      <c r="B71" s="104" t="s">
        <v>32</v>
      </c>
      <c r="C71" s="105" t="s">
        <v>32</v>
      </c>
      <c r="D71" s="422" t="s">
        <v>1</v>
      </c>
      <c r="E71" s="48" t="s">
        <v>33</v>
      </c>
      <c r="F71" s="105" t="s">
        <v>33</v>
      </c>
      <c r="G71" s="423" t="s">
        <v>1</v>
      </c>
      <c r="H71" s="521" t="s">
        <v>34</v>
      </c>
      <c r="I71" s="522" t="s">
        <v>107</v>
      </c>
      <c r="J71" s="422" t="s">
        <v>1</v>
      </c>
    </row>
    <row r="72" spans="1:10">
      <c r="A72" s="32" t="s">
        <v>30</v>
      </c>
      <c r="B72" s="33">
        <f>整車!E72</f>
        <v>19677</v>
      </c>
      <c r="C72" s="87">
        <v>26386</v>
      </c>
      <c r="D72" s="84">
        <f>(B72-C72)/C72</f>
        <v>-0.2542636246494353</v>
      </c>
      <c r="E72" s="33">
        <f>整車!G72</f>
        <v>5140188</v>
      </c>
      <c r="F72" s="87">
        <v>10349017</v>
      </c>
      <c r="G72" s="91">
        <f>(E72-F72)/F72</f>
        <v>-0.50331630530706439</v>
      </c>
      <c r="H72" s="525">
        <f>E72/B72</f>
        <v>261.22823601158711</v>
      </c>
      <c r="I72" s="528">
        <f t="shared" ref="I72" si="8">IF(C72,F72/C72,0)</f>
        <v>392.21621314333356</v>
      </c>
      <c r="J72" s="90">
        <f>(H72-I72)/I72</f>
        <v>-0.33396879767404597</v>
      </c>
    </row>
    <row r="73" spans="1:10" ht="12.75" customHeight="1">
      <c r="A73" s="106"/>
      <c r="B73" s="107"/>
      <c r="C73" s="108"/>
      <c r="D73" s="107"/>
      <c r="E73" s="107"/>
      <c r="F73" s="107"/>
      <c r="G73" s="107"/>
      <c r="H73" s="531"/>
      <c r="I73" s="531"/>
      <c r="J73" s="107"/>
    </row>
    <row r="74" spans="1:10" s="107" customFormat="1">
      <c r="A74" s="513" t="s">
        <v>465</v>
      </c>
      <c r="B74" s="13"/>
      <c r="C74" s="58"/>
      <c r="D74" s="59"/>
      <c r="E74" s="13"/>
      <c r="F74" s="58"/>
      <c r="G74" s="59"/>
      <c r="H74" s="517"/>
      <c r="I74" s="517"/>
      <c r="J74" s="5"/>
    </row>
  </sheetData>
  <mergeCells count="1">
    <mergeCell ref="A1:J1"/>
  </mergeCells>
  <phoneticPr fontId="3" type="noConversion"/>
  <conditionalFormatting sqref="D2:D4 D72:D1048576">
    <cfRule type="cellIs" dxfId="64" priority="9" operator="greaterThanOrEqual">
      <formula>0</formula>
    </cfRule>
    <cfRule type="cellIs" dxfId="63" priority="10" operator="lessThan">
      <formula>0</formula>
    </cfRule>
  </conditionalFormatting>
  <conditionalFormatting sqref="D6:J6 D7:E67 G7:H67 J7:J67 D68:J69 D70:E70 G70:H70 J70">
    <cfRule type="cellIs" dxfId="62" priority="1" operator="greaterThanOrEqual">
      <formula>0</formula>
    </cfRule>
    <cfRule type="cellIs" dxfId="61" priority="2" operator="lessThan">
      <formula>0</formula>
    </cfRule>
  </conditionalFormatting>
  <conditionalFormatting sqref="G2:G4 G72:G1048576">
    <cfRule type="cellIs" dxfId="60" priority="7" operator="greaterThanOrEqual">
      <formula>0</formula>
    </cfRule>
    <cfRule type="cellIs" dxfId="59" priority="8" operator="lessThan">
      <formula>0</formula>
    </cfRule>
  </conditionalFormatting>
  <conditionalFormatting sqref="J2:J3 J72:J1048576">
    <cfRule type="cellIs" dxfId="58" priority="5" operator="greaterThanOrEqual">
      <formula>0</formula>
    </cfRule>
    <cfRule type="cellIs" dxfId="57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148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229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117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118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119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120</v>
      </c>
      <c r="C6" s="371"/>
      <c r="D6" s="370" t="s">
        <v>121</v>
      </c>
      <c r="E6" s="371"/>
      <c r="F6" s="370" t="s">
        <v>122</v>
      </c>
      <c r="G6" s="371"/>
      <c r="H6" s="370" t="s">
        <v>123</v>
      </c>
      <c r="I6" s="371"/>
      <c r="J6" s="372" t="s">
        <v>124</v>
      </c>
      <c r="K6" s="373"/>
      <c r="L6" s="370" t="s">
        <v>125</v>
      </c>
      <c r="M6" s="371"/>
      <c r="N6" s="370" t="s">
        <v>126</v>
      </c>
      <c r="O6" s="371"/>
      <c r="P6" s="370" t="s">
        <v>127</v>
      </c>
      <c r="Q6" s="371"/>
      <c r="R6" s="370" t="s">
        <v>128</v>
      </c>
      <c r="S6" s="371"/>
      <c r="T6" s="370" t="s">
        <v>129</v>
      </c>
      <c r="U6" s="371"/>
      <c r="V6" s="370" t="s">
        <v>130</v>
      </c>
      <c r="W6" s="371"/>
      <c r="X6" s="370" t="s">
        <v>131</v>
      </c>
      <c r="Y6" s="371"/>
      <c r="Z6" s="370" t="s">
        <v>103</v>
      </c>
      <c r="AA6" s="371"/>
    </row>
    <row r="7" spans="1:27">
      <c r="A7" s="374" t="s">
        <v>132</v>
      </c>
      <c r="B7" s="375" t="s">
        <v>133</v>
      </c>
      <c r="C7" s="375" t="s">
        <v>134</v>
      </c>
      <c r="D7" s="375" t="s">
        <v>135</v>
      </c>
      <c r="E7" s="375" t="s">
        <v>136</v>
      </c>
      <c r="F7" s="375" t="s">
        <v>135</v>
      </c>
      <c r="G7" s="375" t="s">
        <v>136</v>
      </c>
      <c r="H7" s="375" t="s">
        <v>135</v>
      </c>
      <c r="I7" s="375" t="s">
        <v>136</v>
      </c>
      <c r="J7" s="376" t="s">
        <v>135</v>
      </c>
      <c r="K7" s="377" t="s">
        <v>136</v>
      </c>
      <c r="L7" s="375" t="s">
        <v>135</v>
      </c>
      <c r="M7" s="375" t="s">
        <v>136</v>
      </c>
      <c r="N7" s="375" t="s">
        <v>135</v>
      </c>
      <c r="O7" s="375" t="s">
        <v>136</v>
      </c>
      <c r="P7" s="375" t="s">
        <v>135</v>
      </c>
      <c r="Q7" s="375" t="s">
        <v>136</v>
      </c>
      <c r="R7" s="375" t="s">
        <v>135</v>
      </c>
      <c r="S7" s="375" t="s">
        <v>136</v>
      </c>
      <c r="T7" s="375" t="s">
        <v>135</v>
      </c>
      <c r="U7" s="375" t="s">
        <v>136</v>
      </c>
      <c r="V7" s="375" t="s">
        <v>135</v>
      </c>
      <c r="W7" s="375" t="s">
        <v>136</v>
      </c>
      <c r="X7" s="375" t="s">
        <v>135</v>
      </c>
      <c r="Y7" s="375" t="s">
        <v>136</v>
      </c>
      <c r="Z7" s="375" t="s">
        <v>135</v>
      </c>
      <c r="AA7" s="375" t="s">
        <v>136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103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137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219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230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231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168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174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177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179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178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233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189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234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57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176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57</v>
      </c>
      <c r="K23" s="397" t="s">
        <v>57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235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236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57</v>
      </c>
      <c r="K25" s="397" t="s">
        <v>57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237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57</v>
      </c>
      <c r="K26" s="397" t="s">
        <v>57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195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238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57</v>
      </c>
      <c r="K28" s="397" t="s">
        <v>57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165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240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57</v>
      </c>
      <c r="K30" s="397" t="s">
        <v>57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241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57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242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57</v>
      </c>
      <c r="K32" s="397" t="s">
        <v>57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243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57</v>
      </c>
      <c r="K33" s="397" t="s">
        <v>57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244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57</v>
      </c>
      <c r="K34" s="397" t="s">
        <v>57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138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158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161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175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159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167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248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185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162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188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251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191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57</v>
      </c>
      <c r="K49" s="397" t="s">
        <v>57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252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183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254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166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57</v>
      </c>
      <c r="K53" s="397" t="s">
        <v>57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173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163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169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57</v>
      </c>
      <c r="K56" s="397" t="s">
        <v>57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260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57</v>
      </c>
      <c r="K57" s="397" t="s">
        <v>57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262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265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57</v>
      </c>
      <c r="K60" s="397" t="s">
        <v>57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266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268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57</v>
      </c>
      <c r="K62" s="397" t="s">
        <v>57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404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187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182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272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180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273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274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276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57</v>
      </c>
      <c r="K72" s="397" t="s">
        <v>57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275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57</v>
      </c>
      <c r="K73" s="397" t="s">
        <v>57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139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278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279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57</v>
      </c>
      <c r="K77" s="397" t="s">
        <v>57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280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57</v>
      </c>
      <c r="K78" s="397" t="s">
        <v>57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281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57</v>
      </c>
      <c r="K79" s="397" t="s">
        <v>57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283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285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57</v>
      </c>
      <c r="K81" s="397" t="s">
        <v>57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284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57</v>
      </c>
      <c r="K82" s="397" t="s">
        <v>57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286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57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172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287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171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290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57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289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291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57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394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57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293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57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292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57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294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57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140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160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170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193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295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57</v>
      </c>
      <c r="K103" s="397" t="s">
        <v>57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296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57</v>
      </c>
      <c r="K104" s="397" t="s">
        <v>57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186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298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57</v>
      </c>
      <c r="K106" s="397" t="s">
        <v>57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299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300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395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301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57</v>
      </c>
      <c r="K110" s="397" t="s">
        <v>57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302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304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305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306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57</v>
      </c>
      <c r="K114" s="397" t="s">
        <v>57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184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57</v>
      </c>
      <c r="K115" s="397" t="s">
        <v>57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307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57</v>
      </c>
      <c r="K116" s="397" t="s">
        <v>57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308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57</v>
      </c>
      <c r="K117" s="397" t="s">
        <v>57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309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57</v>
      </c>
      <c r="K118" s="397" t="s">
        <v>57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310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57</v>
      </c>
      <c r="K119" s="397" t="s">
        <v>57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396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57</v>
      </c>
      <c r="K120" s="397" t="s">
        <v>57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311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57</v>
      </c>
      <c r="K121" s="397" t="s">
        <v>57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312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57</v>
      </c>
      <c r="K122" s="397" t="s">
        <v>57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313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57</v>
      </c>
      <c r="K123" s="397" t="s">
        <v>57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314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57</v>
      </c>
      <c r="K124" s="397" t="s">
        <v>57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315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57</v>
      </c>
      <c r="K125" s="397" t="s">
        <v>57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190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57</v>
      </c>
      <c r="K126" s="397" t="s">
        <v>57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316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317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57</v>
      </c>
      <c r="K128" s="397" t="s">
        <v>57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318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57</v>
      </c>
      <c r="K129" s="397" t="s">
        <v>57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319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57</v>
      </c>
      <c r="K130" s="397" t="s">
        <v>57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320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57</v>
      </c>
      <c r="K131" s="397" t="s">
        <v>57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321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57</v>
      </c>
      <c r="K132" s="397" t="s">
        <v>57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322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57</v>
      </c>
      <c r="K133" s="397" t="s">
        <v>57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323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57</v>
      </c>
      <c r="K134" s="417" t="s">
        <v>57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141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220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164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192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324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325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326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327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328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329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330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331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332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333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334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335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181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337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338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339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196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340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341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342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343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344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345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346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347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348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349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350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351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405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352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353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354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194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355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356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357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358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359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360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361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362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363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364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365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366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367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368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369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370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142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371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372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373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374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143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375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376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377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397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57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144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378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57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398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57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399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8" t="s">
        <v>145</v>
      </c>
      <c r="C204" s="589"/>
      <c r="D204" s="370" t="s">
        <v>121</v>
      </c>
      <c r="E204" s="371"/>
      <c r="F204" s="370" t="s">
        <v>122</v>
      </c>
      <c r="G204" s="371"/>
      <c r="H204" s="370" t="s">
        <v>123</v>
      </c>
      <c r="I204" s="371"/>
      <c r="J204" s="372" t="s">
        <v>124</v>
      </c>
      <c r="K204" s="373"/>
      <c r="L204" s="370" t="s">
        <v>125</v>
      </c>
      <c r="M204" s="371"/>
      <c r="N204" s="370" t="s">
        <v>126</v>
      </c>
      <c r="O204" s="371"/>
      <c r="P204" s="370" t="s">
        <v>127</v>
      </c>
      <c r="Q204" s="371"/>
      <c r="R204" s="370" t="s">
        <v>128</v>
      </c>
      <c r="S204" s="371"/>
      <c r="T204" s="370" t="s">
        <v>129</v>
      </c>
      <c r="U204" s="371"/>
      <c r="V204" s="370" t="s">
        <v>130</v>
      </c>
      <c r="W204" s="371"/>
      <c r="X204" s="370" t="s">
        <v>131</v>
      </c>
      <c r="Y204" s="371"/>
      <c r="Z204" s="588" t="s">
        <v>103</v>
      </c>
      <c r="AA204" s="589"/>
    </row>
    <row r="205" spans="1:27">
      <c r="A205" s="421" t="s">
        <v>146</v>
      </c>
      <c r="B205" s="375" t="s">
        <v>133</v>
      </c>
      <c r="C205" s="375" t="s">
        <v>134</v>
      </c>
      <c r="D205" s="375" t="s">
        <v>135</v>
      </c>
      <c r="E205" s="375" t="s">
        <v>136</v>
      </c>
      <c r="F205" s="375" t="s">
        <v>135</v>
      </c>
      <c r="G205" s="375" t="s">
        <v>136</v>
      </c>
      <c r="H205" s="375" t="s">
        <v>135</v>
      </c>
      <c r="I205" s="375" t="s">
        <v>136</v>
      </c>
      <c r="J205" s="376" t="s">
        <v>135</v>
      </c>
      <c r="K205" s="377" t="s">
        <v>136</v>
      </c>
      <c r="L205" s="375" t="s">
        <v>135</v>
      </c>
      <c r="M205" s="375" t="s">
        <v>136</v>
      </c>
      <c r="N205" s="375" t="s">
        <v>135</v>
      </c>
      <c r="O205" s="375" t="s">
        <v>136</v>
      </c>
      <c r="P205" s="375" t="s">
        <v>135</v>
      </c>
      <c r="Q205" s="375" t="s">
        <v>136</v>
      </c>
      <c r="R205" s="375" t="s">
        <v>135</v>
      </c>
      <c r="S205" s="375" t="s">
        <v>136</v>
      </c>
      <c r="T205" s="375" t="s">
        <v>135</v>
      </c>
      <c r="U205" s="375" t="s">
        <v>136</v>
      </c>
      <c r="V205" s="375" t="s">
        <v>135</v>
      </c>
      <c r="W205" s="375" t="s">
        <v>136</v>
      </c>
      <c r="X205" s="375" t="s">
        <v>135</v>
      </c>
      <c r="Y205" s="375" t="s">
        <v>136</v>
      </c>
      <c r="Z205" s="375" t="s">
        <v>135</v>
      </c>
      <c r="AA205" s="375" t="s">
        <v>136</v>
      </c>
    </row>
    <row r="206" spans="1:27">
      <c r="A206" s="374" t="s">
        <v>147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7" customWidth="1"/>
    <col min="5" max="5" width="13.375" style="5" customWidth="1"/>
    <col min="6" max="6" width="14.125" style="58" customWidth="1"/>
    <col min="7" max="7" width="11.125" style="107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8.75" customHeight="1">
      <c r="A1" s="464" t="s">
        <v>496</v>
      </c>
      <c r="B1" s="127"/>
      <c r="C1" s="128"/>
      <c r="D1" s="129"/>
      <c r="E1" s="127"/>
      <c r="F1" s="128"/>
      <c r="G1" s="129"/>
    </row>
    <row r="2" spans="1:7" ht="7.5" customHeight="1"/>
    <row r="3" spans="1:7" s="120" customFormat="1">
      <c r="A3" s="130" t="s">
        <v>412</v>
      </c>
      <c r="B3" s="131"/>
      <c r="C3" s="132"/>
      <c r="D3" s="133"/>
      <c r="E3" s="131"/>
      <c r="F3" s="134"/>
      <c r="G3" s="135"/>
    </row>
    <row r="4" spans="1:7">
      <c r="A4" s="136" t="s">
        <v>444</v>
      </c>
      <c r="B4" s="67"/>
      <c r="C4" s="137"/>
      <c r="D4" s="138"/>
      <c r="E4" s="67"/>
      <c r="F4" s="139"/>
      <c r="G4" s="140"/>
    </row>
    <row r="5" spans="1:7">
      <c r="A5" s="590" t="s">
        <v>49</v>
      </c>
      <c r="B5" s="141" t="s">
        <v>50</v>
      </c>
      <c r="C5" s="142"/>
      <c r="D5" s="143"/>
      <c r="E5" s="144" t="s">
        <v>51</v>
      </c>
      <c r="F5" s="142"/>
      <c r="G5" s="143"/>
    </row>
    <row r="6" spans="1:7">
      <c r="A6" s="591"/>
      <c r="B6" s="30" t="s">
        <v>442</v>
      </c>
      <c r="C6" s="145" t="s">
        <v>443</v>
      </c>
      <c r="D6" s="146" t="s">
        <v>413</v>
      </c>
      <c r="E6" s="30" t="s">
        <v>442</v>
      </c>
      <c r="F6" s="145" t="s">
        <v>443</v>
      </c>
      <c r="G6" s="146" t="s">
        <v>413</v>
      </c>
    </row>
    <row r="7" spans="1:7">
      <c r="A7" s="31">
        <v>1</v>
      </c>
      <c r="B7" s="352">
        <v>75072</v>
      </c>
      <c r="C7" s="357">
        <v>162493</v>
      </c>
      <c r="D7" s="458">
        <f>IFERROR((B7-C7)/C7,0)</f>
        <v>-0.53799855993796653</v>
      </c>
      <c r="E7" s="459">
        <v>84279913</v>
      </c>
      <c r="F7" s="357">
        <v>152006314</v>
      </c>
      <c r="G7" s="458">
        <f>IFERROR((E7-F7)/F7,0)</f>
        <v>-0.44554991972241365</v>
      </c>
    </row>
    <row r="8" spans="1:7">
      <c r="A8" s="31">
        <v>2</v>
      </c>
      <c r="B8" s="27">
        <v>71119</v>
      </c>
      <c r="C8" s="357">
        <v>115013</v>
      </c>
      <c r="D8" s="458">
        <f>IFERROR((B8-C8)/C8,0)</f>
        <v>-0.38164381417752774</v>
      </c>
      <c r="E8" s="459">
        <v>75549991</v>
      </c>
      <c r="F8" s="357">
        <v>109496132</v>
      </c>
      <c r="G8" s="458">
        <f>IFERROR((E8-F8)/F8,0)</f>
        <v>-0.31002137134853314</v>
      </c>
    </row>
    <row r="9" spans="1:7">
      <c r="A9" s="31">
        <v>3</v>
      </c>
      <c r="B9" s="352">
        <v>86310</v>
      </c>
      <c r="C9" s="357">
        <v>134607</v>
      </c>
      <c r="D9" s="458">
        <f t="shared" ref="D9:D18" si="0">IFERROR((B9-C9)/C9,0)</f>
        <v>-0.35880006240388684</v>
      </c>
      <c r="E9" s="459">
        <v>92588841</v>
      </c>
      <c r="F9" s="357">
        <v>122140642</v>
      </c>
      <c r="G9" s="458">
        <f t="shared" ref="G9:G18" si="1">IFERROR((E9-F9)/F9,0)</f>
        <v>-0.24194895749770171</v>
      </c>
    </row>
    <row r="10" spans="1:7">
      <c r="A10" s="31">
        <v>4</v>
      </c>
      <c r="B10" s="356">
        <v>71548</v>
      </c>
      <c r="C10" s="355">
        <v>133349</v>
      </c>
      <c r="D10" s="458">
        <f t="shared" si="0"/>
        <v>-0.46345304426729861</v>
      </c>
      <c r="E10" s="459">
        <v>79101984</v>
      </c>
      <c r="F10" s="355">
        <v>126190344</v>
      </c>
      <c r="G10" s="458">
        <f t="shared" si="1"/>
        <v>-0.373153432405256</v>
      </c>
    </row>
    <row r="11" spans="1:7">
      <c r="A11" s="31">
        <v>5</v>
      </c>
      <c r="B11" s="352">
        <v>68033</v>
      </c>
      <c r="C11" s="357">
        <v>676162</v>
      </c>
      <c r="D11" s="458">
        <f t="shared" si="0"/>
        <v>-0.89938357967469329</v>
      </c>
      <c r="E11" s="459">
        <v>81820830</v>
      </c>
      <c r="F11" s="357">
        <v>634747287</v>
      </c>
      <c r="G11" s="458">
        <f t="shared" si="1"/>
        <v>-0.8710969992692541</v>
      </c>
    </row>
    <row r="12" spans="1:7">
      <c r="A12" s="31">
        <v>6</v>
      </c>
      <c r="B12" s="352">
        <v>83757</v>
      </c>
      <c r="C12" s="357">
        <v>105847</v>
      </c>
      <c r="D12" s="458">
        <f t="shared" si="0"/>
        <v>-0.20869745954065774</v>
      </c>
      <c r="E12" s="459">
        <v>104083035</v>
      </c>
      <c r="F12" s="357">
        <v>117464564</v>
      </c>
      <c r="G12" s="458">
        <f t="shared" si="1"/>
        <v>-0.11391970943679662</v>
      </c>
    </row>
    <row r="13" spans="1:7">
      <c r="A13" s="31">
        <v>7</v>
      </c>
      <c r="B13" s="352">
        <v>67057</v>
      </c>
      <c r="C13" s="357">
        <v>104885</v>
      </c>
      <c r="D13" s="458">
        <f t="shared" si="0"/>
        <v>-0.36066167707489155</v>
      </c>
      <c r="E13" s="459">
        <v>75867574</v>
      </c>
      <c r="F13" s="357">
        <v>119683695</v>
      </c>
      <c r="G13" s="458">
        <f t="shared" si="1"/>
        <v>-0.36609933374800968</v>
      </c>
    </row>
    <row r="14" spans="1:7">
      <c r="A14" s="31">
        <v>8</v>
      </c>
      <c r="B14" s="352">
        <v>90894</v>
      </c>
      <c r="C14" s="357">
        <v>110278</v>
      </c>
      <c r="D14" s="458">
        <f t="shared" si="0"/>
        <v>-0.17577395310034641</v>
      </c>
      <c r="E14" s="459">
        <v>107821952</v>
      </c>
      <c r="F14" s="357">
        <v>131898544</v>
      </c>
      <c r="G14" s="458">
        <f t="shared" si="1"/>
        <v>-0.18253872461245668</v>
      </c>
    </row>
    <row r="15" spans="1:7">
      <c r="A15" s="31">
        <v>9</v>
      </c>
      <c r="B15" s="27">
        <v>67360</v>
      </c>
      <c r="C15" s="88">
        <v>92961</v>
      </c>
      <c r="D15" s="458">
        <f t="shared" si="0"/>
        <v>-0.27539505814266196</v>
      </c>
      <c r="E15" s="459">
        <v>75470252</v>
      </c>
      <c r="F15" s="88">
        <v>107794928</v>
      </c>
      <c r="G15" s="458">
        <f t="shared" si="1"/>
        <v>-0.29987195686980744</v>
      </c>
    </row>
    <row r="16" spans="1:7">
      <c r="A16" s="31">
        <v>10</v>
      </c>
      <c r="B16" s="27">
        <v>69156</v>
      </c>
      <c r="C16" s="88">
        <v>82311</v>
      </c>
      <c r="D16" s="458">
        <f t="shared" si="0"/>
        <v>-0.15982068010350986</v>
      </c>
      <c r="E16" s="459">
        <v>83291709</v>
      </c>
      <c r="F16" s="578">
        <v>89508196</v>
      </c>
      <c r="G16" s="458">
        <f t="shared" si="1"/>
        <v>-6.9451595248327877E-2</v>
      </c>
    </row>
    <row r="17" spans="1:7">
      <c r="A17" s="31">
        <v>11</v>
      </c>
      <c r="B17" s="27"/>
      <c r="C17" s="88"/>
      <c r="D17" s="458">
        <f t="shared" si="0"/>
        <v>0</v>
      </c>
      <c r="E17" s="459"/>
      <c r="F17" s="88"/>
      <c r="G17" s="458">
        <f t="shared" si="1"/>
        <v>0</v>
      </c>
    </row>
    <row r="18" spans="1:7">
      <c r="A18" s="31">
        <v>12</v>
      </c>
      <c r="B18" s="27"/>
      <c r="C18" s="88"/>
      <c r="D18" s="458">
        <f t="shared" si="0"/>
        <v>0</v>
      </c>
      <c r="E18" s="459"/>
      <c r="F18" s="88"/>
      <c r="G18" s="458">
        <f t="shared" si="1"/>
        <v>0</v>
      </c>
    </row>
    <row r="19" spans="1:7" s="113" customFormat="1">
      <c r="A19" s="32" t="s">
        <v>48</v>
      </c>
      <c r="B19" s="33">
        <f>SUM(B7:B18)</f>
        <v>750306</v>
      </c>
      <c r="C19" s="88">
        <f>SUM(C7:C18)</f>
        <v>1717906</v>
      </c>
      <c r="D19" s="458">
        <f>(B19-C19)/C19</f>
        <v>-0.56324385618305073</v>
      </c>
      <c r="E19" s="33">
        <f>SUM(E7:E18)</f>
        <v>859876081</v>
      </c>
      <c r="F19" s="88">
        <f>SUM(F7:F18)</f>
        <v>1710930646</v>
      </c>
      <c r="G19" s="515">
        <f>(E19-F19)/F19</f>
        <v>-0.49742201239406636</v>
      </c>
    </row>
    <row r="20" spans="1:7" s="113" customFormat="1" ht="6" customHeight="1">
      <c r="A20" s="38"/>
      <c r="B20" s="39"/>
      <c r="C20" s="460"/>
      <c r="D20" s="147"/>
      <c r="E20" s="39"/>
      <c r="F20" s="460"/>
      <c r="G20" s="147"/>
    </row>
    <row r="21" spans="1:7" ht="15" customHeight="1">
      <c r="A21" s="1" t="s">
        <v>497</v>
      </c>
      <c r="B21" s="127"/>
      <c r="C21" s="128"/>
      <c r="D21" s="129"/>
      <c r="E21" s="127"/>
      <c r="F21" s="128"/>
      <c r="G21" s="129"/>
    </row>
    <row r="22" spans="1:7" ht="9.75" customHeight="1">
      <c r="B22" s="95"/>
      <c r="C22" s="148"/>
      <c r="D22" s="149"/>
      <c r="E22" s="95"/>
      <c r="F22" s="148"/>
      <c r="G22" s="149"/>
    </row>
    <row r="23" spans="1:7" s="120" customFormat="1">
      <c r="A23" s="150" t="s">
        <v>451</v>
      </c>
      <c r="B23" s="151"/>
      <c r="C23" s="152"/>
      <c r="D23" s="153"/>
      <c r="E23" s="151"/>
      <c r="F23" s="154"/>
      <c r="G23" s="155"/>
    </row>
    <row r="24" spans="1:7">
      <c r="A24" s="136" t="s">
        <v>445</v>
      </c>
      <c r="B24" s="156"/>
      <c r="C24" s="157"/>
      <c r="D24" s="158"/>
      <c r="E24" s="156"/>
      <c r="F24" s="159"/>
      <c r="G24" s="160"/>
    </row>
    <row r="25" spans="1:7">
      <c r="A25" s="590" t="s">
        <v>49</v>
      </c>
      <c r="B25" s="161" t="s">
        <v>50</v>
      </c>
      <c r="C25" s="162"/>
      <c r="D25" s="163"/>
      <c r="E25" s="164" t="s">
        <v>51</v>
      </c>
      <c r="F25" s="162"/>
      <c r="G25" s="163"/>
    </row>
    <row r="26" spans="1:7">
      <c r="A26" s="591"/>
      <c r="B26" s="30" t="s">
        <v>442</v>
      </c>
      <c r="C26" s="145" t="s">
        <v>443</v>
      </c>
      <c r="D26" s="146" t="s">
        <v>413</v>
      </c>
      <c r="E26" s="30" t="s">
        <v>442</v>
      </c>
      <c r="F26" s="145" t="s">
        <v>443</v>
      </c>
      <c r="G26" s="146" t="s">
        <v>413</v>
      </c>
    </row>
    <row r="27" spans="1:7">
      <c r="A27" s="31">
        <v>1</v>
      </c>
      <c r="B27" s="461">
        <v>1098</v>
      </c>
      <c r="C27" s="357">
        <v>1565</v>
      </c>
      <c r="D27" s="458">
        <f>IFERROR((B27-C27)/C27,0)</f>
        <v>-0.29840255591054315</v>
      </c>
      <c r="E27" s="459">
        <v>559193</v>
      </c>
      <c r="F27" s="357">
        <v>764739</v>
      </c>
      <c r="G27" s="458">
        <f>IFERROR((E27-F27)/F27,0)</f>
        <v>-0.26877928286644204</v>
      </c>
    </row>
    <row r="28" spans="1:7">
      <c r="A28" s="31">
        <v>2</v>
      </c>
      <c r="B28" s="27">
        <v>1715</v>
      </c>
      <c r="C28" s="357">
        <v>1930</v>
      </c>
      <c r="D28" s="458">
        <f>IFERROR((B28-C28)/C28,0)</f>
        <v>-0.11139896373056994</v>
      </c>
      <c r="E28" s="459">
        <v>415174</v>
      </c>
      <c r="F28" s="357">
        <v>1217458</v>
      </c>
      <c r="G28" s="458">
        <f t="shared" ref="G28:G29" si="2">IFERROR((E28-F28)/F28,0)</f>
        <v>-0.65898289715127745</v>
      </c>
    </row>
    <row r="29" spans="1:7">
      <c r="A29" s="31">
        <v>3</v>
      </c>
      <c r="B29" s="461">
        <v>1861</v>
      </c>
      <c r="C29" s="357">
        <v>3134</v>
      </c>
      <c r="D29" s="458">
        <f t="shared" ref="D29:D39" si="3">IFERROR((B29-C29)/C29,0)</f>
        <v>-0.40619017230376514</v>
      </c>
      <c r="E29" s="459">
        <v>424138</v>
      </c>
      <c r="F29" s="357">
        <v>1286924</v>
      </c>
      <c r="G29" s="458">
        <f t="shared" si="2"/>
        <v>-0.67042498236104076</v>
      </c>
    </row>
    <row r="30" spans="1:7">
      <c r="A30" s="31">
        <v>4</v>
      </c>
      <c r="B30" s="27">
        <v>2294</v>
      </c>
      <c r="C30" s="357">
        <v>4931</v>
      </c>
      <c r="D30" s="458">
        <f t="shared" si="3"/>
        <v>-0.53477996349624823</v>
      </c>
      <c r="E30" s="27">
        <v>763396</v>
      </c>
      <c r="F30" s="355">
        <v>1618535</v>
      </c>
      <c r="G30" s="458">
        <f t="shared" ref="G30:G39" si="4">IFERROR((E30-F30)/F30,0)</f>
        <v>-0.5283413704368457</v>
      </c>
    </row>
    <row r="31" spans="1:7">
      <c r="A31" s="31">
        <v>5</v>
      </c>
      <c r="B31" s="461">
        <v>1577</v>
      </c>
      <c r="C31" s="357">
        <v>5530</v>
      </c>
      <c r="D31" s="458">
        <f t="shared" si="3"/>
        <v>-0.71482820976491868</v>
      </c>
      <c r="E31" s="459">
        <v>402746</v>
      </c>
      <c r="F31" s="357">
        <v>2047150</v>
      </c>
      <c r="G31" s="458">
        <f t="shared" si="4"/>
        <v>-0.80326502698874047</v>
      </c>
    </row>
    <row r="32" spans="1:7">
      <c r="A32" s="31">
        <v>6</v>
      </c>
      <c r="B32" s="461">
        <v>2880</v>
      </c>
      <c r="C32" s="357">
        <v>2471</v>
      </c>
      <c r="D32" s="458">
        <f t="shared" si="3"/>
        <v>0.16552003237555646</v>
      </c>
      <c r="E32" s="459">
        <v>499132</v>
      </c>
      <c r="F32" s="357">
        <v>1171692</v>
      </c>
      <c r="G32" s="458">
        <f t="shared" si="4"/>
        <v>-0.57400750367844111</v>
      </c>
    </row>
    <row r="33" spans="1:12">
      <c r="A33" s="31">
        <v>7</v>
      </c>
      <c r="B33" s="461">
        <v>1298</v>
      </c>
      <c r="C33" s="357">
        <v>2849</v>
      </c>
      <c r="D33" s="458">
        <f t="shared" si="3"/>
        <v>-0.54440154440154442</v>
      </c>
      <c r="E33" s="459">
        <v>364769</v>
      </c>
      <c r="F33" s="357">
        <v>726920</v>
      </c>
      <c r="G33" s="458">
        <f t="shared" si="4"/>
        <v>-0.49819925163704398</v>
      </c>
    </row>
    <row r="34" spans="1:12">
      <c r="A34" s="31">
        <v>8</v>
      </c>
      <c r="B34" s="461">
        <v>1004</v>
      </c>
      <c r="C34" s="357">
        <v>2069</v>
      </c>
      <c r="D34" s="458">
        <f t="shared" si="3"/>
        <v>-0.51474142097631703</v>
      </c>
      <c r="E34" s="459">
        <v>396532</v>
      </c>
      <c r="F34" s="357">
        <v>778476</v>
      </c>
      <c r="G34" s="458">
        <f t="shared" si="4"/>
        <v>-0.49063041121370471</v>
      </c>
    </row>
    <row r="35" spans="1:12">
      <c r="A35" s="31">
        <v>9</v>
      </c>
      <c r="B35" s="462">
        <v>3312</v>
      </c>
      <c r="C35" s="88">
        <v>1907</v>
      </c>
      <c r="D35" s="458">
        <f t="shared" si="3"/>
        <v>0.73675930781331933</v>
      </c>
      <c r="E35" s="27">
        <v>631771</v>
      </c>
      <c r="F35" s="88">
        <v>737123</v>
      </c>
      <c r="G35" s="458">
        <f t="shared" si="4"/>
        <v>-0.14292322990871265</v>
      </c>
    </row>
    <row r="36" spans="1:12">
      <c r="A36" s="31">
        <v>10</v>
      </c>
      <c r="B36" s="462">
        <v>2638</v>
      </c>
      <c r="C36" s="88">
        <v>2024</v>
      </c>
      <c r="D36" s="458">
        <f t="shared" si="3"/>
        <v>0.30335968379446643</v>
      </c>
      <c r="E36" s="27">
        <v>683337</v>
      </c>
      <c r="F36" s="88">
        <v>477901</v>
      </c>
      <c r="G36" s="458">
        <f t="shared" si="4"/>
        <v>0.42987145873308491</v>
      </c>
    </row>
    <row r="37" spans="1:12">
      <c r="A37" s="31">
        <v>11</v>
      </c>
      <c r="B37" s="462"/>
      <c r="C37" s="88"/>
      <c r="D37" s="458">
        <f t="shared" si="3"/>
        <v>0</v>
      </c>
      <c r="E37" s="27"/>
      <c r="F37" s="88"/>
      <c r="G37" s="458">
        <f t="shared" si="4"/>
        <v>0</v>
      </c>
      <c r="I37" s="455"/>
      <c r="J37" s="455"/>
      <c r="K37" s="455"/>
      <c r="L37" s="455"/>
    </row>
    <row r="38" spans="1:12">
      <c r="A38" s="31">
        <v>12</v>
      </c>
      <c r="B38" s="33"/>
      <c r="C38" s="88"/>
      <c r="D38" s="458">
        <f t="shared" si="3"/>
        <v>0</v>
      </c>
      <c r="E38" s="33"/>
      <c r="F38" s="88"/>
      <c r="G38" s="458">
        <f t="shared" si="4"/>
        <v>0</v>
      </c>
      <c r="I38" s="455"/>
      <c r="J38" s="455"/>
      <c r="K38" s="455"/>
      <c r="L38" s="455"/>
    </row>
    <row r="39" spans="1:12" s="113" customFormat="1">
      <c r="A39" s="32" t="s">
        <v>48</v>
      </c>
      <c r="B39" s="33">
        <f>SUM(B27:B38)</f>
        <v>19677</v>
      </c>
      <c r="C39" s="88">
        <f>SUM(C27:C38)</f>
        <v>28410</v>
      </c>
      <c r="D39" s="458">
        <f t="shared" si="3"/>
        <v>-0.30739176346356917</v>
      </c>
      <c r="E39" s="33">
        <f>SUM(E27:E38)</f>
        <v>5140188</v>
      </c>
      <c r="F39" s="88">
        <f>SUM(F27:F38)</f>
        <v>10826918</v>
      </c>
      <c r="G39" s="458">
        <f t="shared" si="4"/>
        <v>-0.52523996210186497</v>
      </c>
    </row>
    <row r="40" spans="1:12" s="113" customFormat="1" ht="6.75" customHeight="1">
      <c r="A40" s="38"/>
      <c r="B40" s="39"/>
      <c r="C40" s="460"/>
      <c r="D40" s="147"/>
      <c r="E40" s="39"/>
      <c r="F40" s="460"/>
      <c r="G40" s="165"/>
    </row>
    <row r="41" spans="1:12" s="13" customFormat="1">
      <c r="A41" s="54" t="s">
        <v>465</v>
      </c>
      <c r="C41" s="166"/>
      <c r="D41" s="167"/>
      <c r="F41" s="166"/>
      <c r="G41" s="167"/>
    </row>
  </sheetData>
  <mergeCells count="2">
    <mergeCell ref="A5:A6"/>
    <mergeCell ref="A25:A26"/>
  </mergeCells>
  <phoneticPr fontId="3" type="noConversion"/>
  <conditionalFormatting sqref="B7:C9 B11:C14">
    <cfRule type="cellIs" dxfId="56" priority="11" operator="lessThan">
      <formula>0</formula>
    </cfRule>
  </conditionalFormatting>
  <conditionalFormatting sqref="B27:C34">
    <cfRule type="cellIs" dxfId="55" priority="8" operator="lessThan">
      <formula>0</formula>
    </cfRule>
    <cfRule type="cellIs" dxfId="54" priority="9" operator="lessThan">
      <formula>0</formula>
    </cfRule>
  </conditionalFormatting>
  <conditionalFormatting sqref="E10:E18">
    <cfRule type="cellIs" dxfId="53" priority="1" operator="lessThan">
      <formula>0</formula>
    </cfRule>
  </conditionalFormatting>
  <conditionalFormatting sqref="E7:F9 F11:F14">
    <cfRule type="cellIs" dxfId="52" priority="10" operator="lessThan">
      <formula>0</formula>
    </cfRule>
  </conditionalFormatting>
  <conditionalFormatting sqref="E27:F29">
    <cfRule type="cellIs" dxfId="51" priority="6" operator="lessThan">
      <formula>0</formula>
    </cfRule>
    <cfRule type="cellIs" dxfId="50" priority="7" operator="lessThan">
      <formula>0</formula>
    </cfRule>
  </conditionalFormatting>
  <conditionalFormatting sqref="E31:F34">
    <cfRule type="cellIs" dxfId="49" priority="2" operator="lessThan">
      <formula>0</formula>
    </cfRule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4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9" customFormat="1" ht="19.5">
      <c r="B1" s="1"/>
      <c r="C1" s="1"/>
      <c r="D1" s="1"/>
      <c r="E1" s="176" t="s">
        <v>498</v>
      </c>
      <c r="F1" s="1"/>
      <c r="G1" s="1"/>
      <c r="H1" s="1"/>
      <c r="I1" s="1"/>
      <c r="J1" s="1"/>
      <c r="K1" s="5"/>
      <c r="L1" s="5"/>
      <c r="M1" s="5"/>
      <c r="N1" s="5"/>
    </row>
    <row r="3" spans="1:14" s="113" customFormat="1">
      <c r="A3" s="110" t="s">
        <v>471</v>
      </c>
      <c r="B3" s="111"/>
      <c r="C3" s="111"/>
      <c r="D3" s="111"/>
      <c r="E3" s="111"/>
      <c r="F3" s="111"/>
      <c r="G3" s="111"/>
      <c r="H3" s="111"/>
      <c r="I3" s="111"/>
      <c r="J3" s="112"/>
      <c r="K3" s="5"/>
      <c r="L3" s="5"/>
      <c r="M3" s="5"/>
      <c r="N3" s="5"/>
    </row>
    <row r="4" spans="1:14" s="13" customFormat="1">
      <c r="A4" s="114" t="s">
        <v>37</v>
      </c>
      <c r="B4" s="115"/>
      <c r="C4" s="115"/>
      <c r="D4" s="115"/>
      <c r="E4" s="115"/>
      <c r="F4" s="115"/>
      <c r="G4" s="115"/>
      <c r="H4" s="115"/>
      <c r="I4" s="115"/>
      <c r="J4" s="116"/>
      <c r="K4" s="5"/>
      <c r="L4" s="5"/>
      <c r="M4" s="5"/>
      <c r="N4" s="5"/>
    </row>
    <row r="5" spans="1:14" s="120" customFormat="1">
      <c r="A5" s="117" t="s">
        <v>38</v>
      </c>
      <c r="B5" s="118" t="s">
        <v>39</v>
      </c>
      <c r="C5" s="119" t="s">
        <v>40</v>
      </c>
      <c r="D5" s="118" t="s">
        <v>41</v>
      </c>
      <c r="E5" s="118" t="s">
        <v>42</v>
      </c>
      <c r="F5" s="118" t="s">
        <v>43</v>
      </c>
      <c r="G5" s="118" t="s">
        <v>44</v>
      </c>
      <c r="H5" s="118" t="s">
        <v>45</v>
      </c>
      <c r="I5" s="532" t="s">
        <v>469</v>
      </c>
      <c r="J5" s="118" t="s">
        <v>46</v>
      </c>
      <c r="K5" s="5"/>
      <c r="L5" s="5"/>
      <c r="M5" s="5"/>
      <c r="N5" s="5"/>
    </row>
    <row r="6" spans="1:14" s="120" customFormat="1">
      <c r="A6" s="121"/>
      <c r="B6" s="122" t="s">
        <v>47</v>
      </c>
      <c r="C6" s="123"/>
      <c r="D6" s="123"/>
      <c r="E6" s="123"/>
      <c r="F6" s="123"/>
      <c r="G6" s="123"/>
      <c r="H6" s="123"/>
      <c r="I6" s="123"/>
      <c r="J6" s="123"/>
      <c r="K6" s="5"/>
      <c r="L6" s="5"/>
      <c r="M6" s="5"/>
      <c r="N6" s="5"/>
    </row>
    <row r="7" spans="1:14">
      <c r="A7" s="124">
        <v>1</v>
      </c>
      <c r="B7" s="27">
        <f t="shared" ref="B7:B16" si="0">SUM(C7:I7)</f>
        <v>75072</v>
      </c>
      <c r="C7" s="352">
        <v>27895</v>
      </c>
      <c r="D7" s="501">
        <f>28137+90</f>
        <v>28227</v>
      </c>
      <c r="E7" s="352">
        <v>15926</v>
      </c>
      <c r="F7" s="352">
        <v>780</v>
      </c>
      <c r="G7" s="352">
        <v>235</v>
      </c>
      <c r="H7" s="352">
        <v>1957</v>
      </c>
      <c r="I7" s="353">
        <v>52</v>
      </c>
      <c r="J7" s="353">
        <v>0</v>
      </c>
    </row>
    <row r="8" spans="1:14">
      <c r="A8" s="125"/>
      <c r="B8" s="27">
        <f t="shared" si="0"/>
        <v>84279913</v>
      </c>
      <c r="C8" s="354">
        <v>28357488</v>
      </c>
      <c r="D8" s="501">
        <f>33798386+16677</f>
        <v>33815063</v>
      </c>
      <c r="E8" s="354">
        <v>17808712</v>
      </c>
      <c r="F8" s="354">
        <v>1216581</v>
      </c>
      <c r="G8" s="354">
        <v>190649</v>
      </c>
      <c r="H8" s="354">
        <v>2850675</v>
      </c>
      <c r="I8" s="352">
        <v>40745</v>
      </c>
      <c r="J8" s="352">
        <v>0</v>
      </c>
    </row>
    <row r="9" spans="1:14">
      <c r="A9" s="124">
        <v>2</v>
      </c>
      <c r="B9" s="27">
        <f t="shared" si="0"/>
        <v>71119</v>
      </c>
      <c r="C9" s="352">
        <v>24935</v>
      </c>
      <c r="D9" s="501">
        <v>30905</v>
      </c>
      <c r="E9" s="352">
        <v>10198</v>
      </c>
      <c r="F9" s="352">
        <v>1414</v>
      </c>
      <c r="G9" s="352">
        <v>301</v>
      </c>
      <c r="H9" s="352">
        <v>2980</v>
      </c>
      <c r="I9" s="352">
        <v>386</v>
      </c>
      <c r="J9" s="353">
        <v>0</v>
      </c>
    </row>
    <row r="10" spans="1:14">
      <c r="A10" s="125"/>
      <c r="B10" s="27">
        <f t="shared" si="0"/>
        <v>75549991</v>
      </c>
      <c r="C10" s="354">
        <v>23275171</v>
      </c>
      <c r="D10" s="501">
        <v>32375071</v>
      </c>
      <c r="E10" s="354">
        <v>14064909</v>
      </c>
      <c r="F10" s="354">
        <v>2125214</v>
      </c>
      <c r="G10" s="354">
        <v>150112</v>
      </c>
      <c r="H10" s="354">
        <v>2797130</v>
      </c>
      <c r="I10" s="354">
        <v>762384</v>
      </c>
      <c r="J10" s="352">
        <v>0</v>
      </c>
    </row>
    <row r="11" spans="1:14">
      <c r="A11" s="124">
        <v>3</v>
      </c>
      <c r="B11" s="27">
        <f t="shared" si="0"/>
        <v>86310</v>
      </c>
      <c r="C11" s="352">
        <v>28425</v>
      </c>
      <c r="D11" s="352">
        <v>34628</v>
      </c>
      <c r="E11" s="352">
        <v>18448</v>
      </c>
      <c r="F11" s="352">
        <v>1580</v>
      </c>
      <c r="G11" s="352">
        <v>27</v>
      </c>
      <c r="H11" s="352">
        <v>2882</v>
      </c>
      <c r="I11" s="352">
        <v>320</v>
      </c>
      <c r="J11" s="353">
        <v>0</v>
      </c>
    </row>
    <row r="12" spans="1:14">
      <c r="A12" s="125"/>
      <c r="B12" s="27">
        <f t="shared" si="0"/>
        <v>92588841</v>
      </c>
      <c r="C12" s="354">
        <v>33425153</v>
      </c>
      <c r="D12" s="354">
        <v>31822454</v>
      </c>
      <c r="E12" s="354">
        <v>20960589</v>
      </c>
      <c r="F12" s="354">
        <v>2512035</v>
      </c>
      <c r="G12" s="354">
        <v>50238</v>
      </c>
      <c r="H12" s="354">
        <v>3226291</v>
      </c>
      <c r="I12" s="354">
        <v>592081</v>
      </c>
      <c r="J12" s="352">
        <v>0</v>
      </c>
      <c r="L12" s="455"/>
    </row>
    <row r="13" spans="1:14">
      <c r="A13" s="124">
        <v>4</v>
      </c>
      <c r="B13" s="27">
        <f t="shared" si="0"/>
        <v>71548</v>
      </c>
      <c r="C13" s="353">
        <v>27557</v>
      </c>
      <c r="D13" s="353">
        <v>28654</v>
      </c>
      <c r="E13" s="353">
        <v>13398</v>
      </c>
      <c r="F13" s="353">
        <v>847</v>
      </c>
      <c r="G13" s="353">
        <v>123</v>
      </c>
      <c r="H13" s="353">
        <v>680</v>
      </c>
      <c r="I13" s="353">
        <v>289</v>
      </c>
      <c r="J13" s="353">
        <v>0</v>
      </c>
    </row>
    <row r="14" spans="1:14">
      <c r="A14" s="125"/>
      <c r="B14" s="27">
        <f t="shared" si="0"/>
        <v>79101984</v>
      </c>
      <c r="C14" s="352">
        <v>30062551</v>
      </c>
      <c r="D14" s="352">
        <v>28060875</v>
      </c>
      <c r="E14" s="352">
        <v>17352891</v>
      </c>
      <c r="F14" s="352">
        <v>1530186</v>
      </c>
      <c r="G14" s="352">
        <v>292647</v>
      </c>
      <c r="H14" s="352">
        <v>1284017</v>
      </c>
      <c r="I14" s="352">
        <v>518817</v>
      </c>
      <c r="J14" s="352">
        <v>0</v>
      </c>
    </row>
    <row r="15" spans="1:14">
      <c r="A15" s="126">
        <v>5</v>
      </c>
      <c r="B15" s="27">
        <f t="shared" si="0"/>
        <v>68033</v>
      </c>
      <c r="C15" s="352">
        <v>24680</v>
      </c>
      <c r="D15" s="352">
        <v>25566</v>
      </c>
      <c r="E15" s="352">
        <v>14411</v>
      </c>
      <c r="F15" s="352">
        <v>1167</v>
      </c>
      <c r="G15" s="352">
        <v>232</v>
      </c>
      <c r="H15" s="352">
        <v>1641</v>
      </c>
      <c r="I15" s="352">
        <v>336</v>
      </c>
      <c r="J15" s="352">
        <v>0</v>
      </c>
    </row>
    <row r="16" spans="1:14">
      <c r="A16" s="126"/>
      <c r="B16" s="27">
        <f t="shared" si="0"/>
        <v>81820830</v>
      </c>
      <c r="C16" s="352">
        <v>31968911</v>
      </c>
      <c r="D16" s="352">
        <v>27734644</v>
      </c>
      <c r="E16" s="352">
        <v>16942783</v>
      </c>
      <c r="F16" s="352">
        <v>1864433</v>
      </c>
      <c r="G16" s="352">
        <v>266194</v>
      </c>
      <c r="H16" s="352">
        <v>2432514</v>
      </c>
      <c r="I16" s="352">
        <v>611351</v>
      </c>
      <c r="J16" s="352">
        <v>0</v>
      </c>
    </row>
    <row r="17" spans="1:10">
      <c r="A17" s="124">
        <v>6</v>
      </c>
      <c r="B17" s="27">
        <f>SUM(C17:I17)</f>
        <v>83757</v>
      </c>
      <c r="C17" s="352">
        <v>29393</v>
      </c>
      <c r="D17" s="352">
        <v>30599</v>
      </c>
      <c r="E17" s="352">
        <v>18119</v>
      </c>
      <c r="F17" s="352">
        <v>1591</v>
      </c>
      <c r="G17" s="352">
        <v>170</v>
      </c>
      <c r="H17" s="352">
        <v>3661</v>
      </c>
      <c r="I17" s="352">
        <v>224</v>
      </c>
      <c r="J17" s="352">
        <v>0</v>
      </c>
    </row>
    <row r="18" spans="1:10">
      <c r="A18" s="125"/>
      <c r="B18" s="27">
        <f>SUM(C18:I18)</f>
        <v>104083035</v>
      </c>
      <c r="C18" s="352">
        <v>32879418</v>
      </c>
      <c r="D18" s="352">
        <v>39762182</v>
      </c>
      <c r="E18" s="352">
        <v>24002383</v>
      </c>
      <c r="F18" s="352">
        <v>2586263</v>
      </c>
      <c r="G18" s="352">
        <v>417265</v>
      </c>
      <c r="H18" s="352">
        <v>3870827</v>
      </c>
      <c r="I18" s="352">
        <v>564697</v>
      </c>
      <c r="J18" s="352">
        <v>0</v>
      </c>
    </row>
    <row r="19" spans="1:10">
      <c r="A19" s="124">
        <v>7</v>
      </c>
      <c r="B19" s="27">
        <f t="shared" ref="B19:B26" si="1">SUM(C19:J19)</f>
        <v>67057</v>
      </c>
      <c r="C19" s="352">
        <v>29391</v>
      </c>
      <c r="D19" s="352">
        <v>21124</v>
      </c>
      <c r="E19" s="352">
        <v>12414</v>
      </c>
      <c r="F19" s="352">
        <v>500</v>
      </c>
      <c r="G19" s="352">
        <v>439</v>
      </c>
      <c r="H19" s="352">
        <v>2937</v>
      </c>
      <c r="I19" s="352">
        <v>252</v>
      </c>
      <c r="J19" s="352">
        <v>0</v>
      </c>
    </row>
    <row r="20" spans="1:10">
      <c r="A20" s="125"/>
      <c r="B20" s="27">
        <f t="shared" si="1"/>
        <v>75867574</v>
      </c>
      <c r="C20" s="352">
        <v>28554770</v>
      </c>
      <c r="D20" s="352">
        <v>24486705</v>
      </c>
      <c r="E20" s="352">
        <v>16714187</v>
      </c>
      <c r="F20" s="352">
        <v>1016064</v>
      </c>
      <c r="G20" s="352">
        <v>230801</v>
      </c>
      <c r="H20" s="352">
        <v>4363600</v>
      </c>
      <c r="I20" s="352">
        <v>501447</v>
      </c>
      <c r="J20" s="352">
        <v>0</v>
      </c>
    </row>
    <row r="21" spans="1:10">
      <c r="A21" s="124">
        <v>8</v>
      </c>
      <c r="B21" s="27">
        <f t="shared" si="1"/>
        <v>90894</v>
      </c>
      <c r="C21" s="352">
        <v>33177</v>
      </c>
      <c r="D21" s="352">
        <v>36734</v>
      </c>
      <c r="E21" s="352">
        <v>13062</v>
      </c>
      <c r="F21" s="352">
        <v>2074</v>
      </c>
      <c r="G21" s="352">
        <v>726</v>
      </c>
      <c r="H21" s="352">
        <v>4675</v>
      </c>
      <c r="I21" s="352">
        <v>446</v>
      </c>
      <c r="J21" s="352">
        <v>0</v>
      </c>
    </row>
    <row r="22" spans="1:10">
      <c r="A22" s="125"/>
      <c r="B22" s="27">
        <f t="shared" si="1"/>
        <v>107821952</v>
      </c>
      <c r="C22" s="352">
        <v>40069349</v>
      </c>
      <c r="D22" s="352">
        <v>40745228</v>
      </c>
      <c r="E22" s="352">
        <v>16605751</v>
      </c>
      <c r="F22" s="352">
        <v>4097296</v>
      </c>
      <c r="G22" s="352">
        <v>514514</v>
      </c>
      <c r="H22" s="352">
        <v>4874502</v>
      </c>
      <c r="I22" s="352">
        <v>915312</v>
      </c>
      <c r="J22" s="352">
        <v>0</v>
      </c>
    </row>
    <row r="23" spans="1:10">
      <c r="A23" s="124">
        <v>9</v>
      </c>
      <c r="B23" s="27">
        <f t="shared" si="1"/>
        <v>67360</v>
      </c>
      <c r="C23" s="27">
        <v>27451</v>
      </c>
      <c r="D23" s="27">
        <v>19479</v>
      </c>
      <c r="E23" s="27">
        <v>13486</v>
      </c>
      <c r="F23" s="27">
        <v>2094</v>
      </c>
      <c r="G23" s="27">
        <v>427</v>
      </c>
      <c r="H23" s="27">
        <v>3984</v>
      </c>
      <c r="I23" s="27">
        <v>439</v>
      </c>
      <c r="J23" s="352">
        <v>0</v>
      </c>
    </row>
    <row r="24" spans="1:10">
      <c r="A24" s="125"/>
      <c r="B24" s="27">
        <f t="shared" si="1"/>
        <v>75470252</v>
      </c>
      <c r="C24" s="27">
        <v>28175159</v>
      </c>
      <c r="D24" s="27">
        <v>20639803</v>
      </c>
      <c r="E24" s="27">
        <v>18282378</v>
      </c>
      <c r="F24" s="27">
        <v>3683159</v>
      </c>
      <c r="G24" s="27">
        <v>353828</v>
      </c>
      <c r="H24" s="27">
        <v>3507903</v>
      </c>
      <c r="I24" s="27">
        <v>828022</v>
      </c>
      <c r="J24" s="352">
        <v>0</v>
      </c>
    </row>
    <row r="25" spans="1:10">
      <c r="A25" s="124">
        <v>10</v>
      </c>
      <c r="B25" s="361">
        <f t="shared" si="1"/>
        <v>69156</v>
      </c>
      <c r="C25" s="27">
        <v>23841</v>
      </c>
      <c r="D25" s="27">
        <v>25032</v>
      </c>
      <c r="E25" s="27">
        <v>14086</v>
      </c>
      <c r="F25" s="27">
        <v>1049</v>
      </c>
      <c r="G25" s="27">
        <v>128</v>
      </c>
      <c r="H25" s="27">
        <v>4846</v>
      </c>
      <c r="I25" s="27">
        <v>164</v>
      </c>
      <c r="J25" s="352">
        <v>10</v>
      </c>
    </row>
    <row r="26" spans="1:10">
      <c r="A26" s="125"/>
      <c r="B26" s="361">
        <f t="shared" si="1"/>
        <v>83291709</v>
      </c>
      <c r="C26" s="27">
        <v>26159201</v>
      </c>
      <c r="D26" s="27">
        <v>30109283</v>
      </c>
      <c r="E26" s="27">
        <v>17312970</v>
      </c>
      <c r="F26" s="27">
        <v>1791403</v>
      </c>
      <c r="G26" s="27">
        <v>255236</v>
      </c>
      <c r="H26" s="27">
        <v>7381748</v>
      </c>
      <c r="I26" s="27">
        <v>281087</v>
      </c>
      <c r="J26" s="352">
        <v>781</v>
      </c>
    </row>
    <row r="27" spans="1:10">
      <c r="A27" s="124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5"/>
      <c r="B28" s="27"/>
      <c r="C28" s="27"/>
      <c r="D28" s="27"/>
      <c r="E28" s="27"/>
      <c r="F28" s="27"/>
      <c r="G28" s="27"/>
      <c r="H28" s="27"/>
      <c r="I28" s="476"/>
      <c r="J28" s="27"/>
    </row>
    <row r="29" spans="1:10">
      <c r="A29" s="124">
        <v>12</v>
      </c>
      <c r="B29" s="27"/>
      <c r="C29" s="27"/>
      <c r="D29" s="27"/>
      <c r="E29" s="27"/>
      <c r="F29" s="27"/>
      <c r="G29" s="27"/>
      <c r="H29" s="27"/>
      <c r="I29" s="477"/>
      <c r="J29" s="27"/>
    </row>
    <row r="30" spans="1:10">
      <c r="A30" s="125"/>
      <c r="B30" s="27"/>
      <c r="C30" s="27"/>
      <c r="D30" s="27"/>
      <c r="E30" s="27"/>
      <c r="F30" s="27"/>
      <c r="G30" s="27"/>
      <c r="H30" s="27"/>
      <c r="I30" s="207"/>
      <c r="J30" s="27">
        <v>0</v>
      </c>
    </row>
    <row r="31" spans="1:10" s="113" customFormat="1">
      <c r="A31" s="592" t="s">
        <v>48</v>
      </c>
      <c r="B31" s="33">
        <f>SUM(B7,B9,B11,B13,B15,B17,B19,B21,B23,B25,B27,B29)</f>
        <v>750306</v>
      </c>
      <c r="C31" s="33">
        <f>SUM(C7+C9+C11+C13+C15+C17+C19+C21+C23+C25+C27+C29)</f>
        <v>276745</v>
      </c>
      <c r="D31" s="33">
        <f t="shared" ref="D31:J31" si="2">SUM(D7+D9+D11+D13+D15+D17+D19+D21+D23+D25+D27+D29)</f>
        <v>280948</v>
      </c>
      <c r="E31" s="33">
        <f t="shared" si="2"/>
        <v>143548</v>
      </c>
      <c r="F31" s="33">
        <f t="shared" si="2"/>
        <v>13096</v>
      </c>
      <c r="G31" s="33">
        <f t="shared" si="2"/>
        <v>2808</v>
      </c>
      <c r="H31" s="33">
        <f t="shared" si="2"/>
        <v>30243</v>
      </c>
      <c r="I31" s="33">
        <f t="shared" si="2"/>
        <v>2908</v>
      </c>
      <c r="J31" s="33">
        <f t="shared" si="2"/>
        <v>10</v>
      </c>
    </row>
    <row r="32" spans="1:10" s="113" customFormat="1">
      <c r="A32" s="591"/>
      <c r="B32" s="33">
        <f>SUM(B8,B10,B12,B14,B16,B18,B20,B22,B24,B26,B28,B30)</f>
        <v>859876081</v>
      </c>
      <c r="C32" s="33">
        <f t="shared" ref="C32:J32" si="3">SUM(C8,C10,C12,C14,C16,C18,C20,C22,C24,C26,C28,C30)</f>
        <v>302927171</v>
      </c>
      <c r="D32" s="33">
        <f t="shared" si="3"/>
        <v>309551308</v>
      </c>
      <c r="E32" s="33">
        <f t="shared" si="3"/>
        <v>180047553</v>
      </c>
      <c r="F32" s="33">
        <f t="shared" si="3"/>
        <v>22422634</v>
      </c>
      <c r="G32" s="33">
        <f t="shared" si="3"/>
        <v>2721484</v>
      </c>
      <c r="H32" s="33">
        <f t="shared" si="3"/>
        <v>36589207</v>
      </c>
      <c r="I32" s="33">
        <f t="shared" si="3"/>
        <v>5615943</v>
      </c>
      <c r="J32" s="33">
        <f t="shared" si="3"/>
        <v>781</v>
      </c>
    </row>
    <row r="33" spans="1:10" s="113" customFormat="1" ht="12" customHeight="1">
      <c r="A33" s="463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3" t="s">
        <v>465</v>
      </c>
    </row>
    <row r="35" spans="1:10">
      <c r="D35" s="455"/>
      <c r="E35" s="455"/>
      <c r="F35" s="455"/>
      <c r="G35" s="455"/>
      <c r="H35" s="455"/>
    </row>
    <row r="36" spans="1:10">
      <c r="D36" s="455"/>
      <c r="E36" s="455"/>
      <c r="F36" s="455"/>
      <c r="G36" s="455"/>
      <c r="H36" s="455"/>
    </row>
    <row r="37" spans="1:10">
      <c r="D37" s="455"/>
      <c r="F37" s="455"/>
      <c r="G37" s="455"/>
    </row>
    <row r="38" spans="1:10">
      <c r="D38" s="455"/>
      <c r="E38" s="455"/>
      <c r="G38" s="455"/>
      <c r="H38" s="455"/>
    </row>
    <row r="39" spans="1:10">
      <c r="F39" s="455"/>
      <c r="G39" s="455"/>
      <c r="H39" s="455"/>
    </row>
    <row r="40" spans="1:10">
      <c r="F40" s="455"/>
      <c r="G40" s="455"/>
      <c r="H40" s="455"/>
    </row>
    <row r="41" spans="1:10">
      <c r="G41" s="455"/>
      <c r="H41" s="455"/>
    </row>
    <row r="42" spans="1:10">
      <c r="G42" s="455"/>
      <c r="H42" s="455"/>
    </row>
    <row r="43" spans="1:10">
      <c r="G43" s="455"/>
      <c r="H43" s="455"/>
    </row>
    <row r="44" spans="1:10">
      <c r="G44" s="455"/>
      <c r="H44" s="455"/>
    </row>
    <row r="45" spans="1:10">
      <c r="G45" s="455"/>
      <c r="H45" s="455"/>
    </row>
    <row r="46" spans="1:10">
      <c r="G46" s="455"/>
      <c r="H46" s="455"/>
    </row>
    <row r="47" spans="1:10">
      <c r="G47" s="455"/>
    </row>
    <row r="48" spans="1:10">
      <c r="G48" s="455"/>
      <c r="H48" s="455"/>
    </row>
    <row r="49" spans="7:8">
      <c r="G49" s="455"/>
    </row>
    <row r="50" spans="7:8">
      <c r="G50" s="455"/>
    </row>
    <row r="51" spans="7:8">
      <c r="G51" s="455"/>
    </row>
    <row r="52" spans="7:8">
      <c r="G52" s="455"/>
    </row>
    <row r="53" spans="7:8">
      <c r="G53" s="455"/>
    </row>
    <row r="54" spans="7:8">
      <c r="G54" s="455"/>
    </row>
    <row r="55" spans="7:8">
      <c r="G55" s="455"/>
    </row>
    <row r="56" spans="7:8">
      <c r="G56" s="455"/>
    </row>
    <row r="57" spans="7:8">
      <c r="G57" s="455"/>
    </row>
    <row r="58" spans="7:8">
      <c r="G58" s="455"/>
    </row>
    <row r="59" spans="7:8">
      <c r="G59" s="455"/>
    </row>
    <row r="60" spans="7:8">
      <c r="G60" s="455"/>
    </row>
    <row r="62" spans="7:8">
      <c r="G62" s="455"/>
      <c r="H62" s="455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87" t="s">
        <v>499</v>
      </c>
      <c r="B1" s="587"/>
      <c r="C1" s="587"/>
      <c r="D1" s="587"/>
      <c r="E1" s="587"/>
      <c r="F1" s="587"/>
      <c r="G1" s="587"/>
      <c r="H1" s="587"/>
      <c r="I1" s="587"/>
    </row>
    <row r="2" spans="1:9" ht="9" customHeight="1"/>
    <row r="3" spans="1:9">
      <c r="A3" s="593" t="s">
        <v>104</v>
      </c>
      <c r="B3" s="594"/>
      <c r="C3" s="594"/>
      <c r="D3" s="594"/>
      <c r="E3" s="594"/>
      <c r="F3" s="594"/>
      <c r="G3" s="594"/>
      <c r="H3" s="594"/>
      <c r="I3" s="595"/>
    </row>
    <row r="4" spans="1:9">
      <c r="A4" s="8" t="s">
        <v>488</v>
      </c>
      <c r="B4" s="8" t="s">
        <v>489</v>
      </c>
      <c r="C4" s="8" t="s">
        <v>490</v>
      </c>
      <c r="D4" s="9" t="s">
        <v>0</v>
      </c>
      <c r="E4" s="10" t="s">
        <v>491</v>
      </c>
      <c r="F4" s="11" t="s">
        <v>1</v>
      </c>
      <c r="G4" s="8" t="s">
        <v>492</v>
      </c>
      <c r="H4" s="11" t="s">
        <v>1</v>
      </c>
      <c r="I4" s="168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9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4</v>
      </c>
      <c r="C7" s="22">
        <f>SUM(C8:C10)</f>
        <v>26946</v>
      </c>
      <c r="D7" s="23">
        <f>IF(B7,C7/B7,0)</f>
        <v>6736.5</v>
      </c>
      <c r="E7" s="206">
        <f>SUM(E8:E10)</f>
        <v>51</v>
      </c>
      <c r="F7" s="206">
        <f t="shared" ref="F7:G7" si="0">SUM(F8:F10)</f>
        <v>2.9073247481743708E-4</v>
      </c>
      <c r="G7" s="206">
        <f t="shared" si="0"/>
        <v>157251</v>
      </c>
      <c r="H7" s="24">
        <f>G7/$G$66</f>
        <v>6.3096296333151466E-3</v>
      </c>
      <c r="I7" s="25">
        <f>IF(E7,G7/E7,0)</f>
        <v>3083.3529411764707</v>
      </c>
    </row>
    <row r="8" spans="1:9">
      <c r="A8" s="26" t="s">
        <v>387</v>
      </c>
      <c r="B8" s="27">
        <f>VLOOKUP(A8,[6]進出口值表查詢結果!$A$10:$C$22,3,0)</f>
        <v>4</v>
      </c>
      <c r="C8" s="27">
        <f>VLOOKUP(A8,[6]進出口值表查詢結果!$A$10:$C$22,2,0)</f>
        <v>26946</v>
      </c>
      <c r="D8" s="23">
        <f t="shared" ref="D8:D66" si="1">IF(B8,C8/B8,0)</f>
        <v>6736.5</v>
      </c>
      <c r="E8" s="28">
        <f>VLOOKUP(A8,[7]進出口值表查詢結果!$A$10:$C$29,3,0)</f>
        <v>51</v>
      </c>
      <c r="F8" s="24">
        <f>E8/$E$66</f>
        <v>2.9073247481743708E-4</v>
      </c>
      <c r="G8" s="28">
        <f>VLOOKUP(A8,[7]進出口值表查詢結果!$A$10:$C$29,2,0)</f>
        <v>157251</v>
      </c>
      <c r="H8" s="24">
        <f>G8/$G$66</f>
        <v>6.3096296333151466E-3</v>
      </c>
      <c r="I8" s="25">
        <f t="shared" ref="I8:I65" si="2">IF(E8,G8/E8,0)</f>
        <v>3083.3529411764707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 t="shared" ref="F9:F10" si="3"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 t="shared" si="3"/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67</v>
      </c>
      <c r="C12" s="33">
        <f>SUM(C13:C39)</f>
        <v>199907</v>
      </c>
      <c r="D12" s="23">
        <f t="shared" si="1"/>
        <v>2983.686567164179</v>
      </c>
      <c r="E12" s="33">
        <f>SUM(E13:E39)</f>
        <v>294</v>
      </c>
      <c r="F12" s="24">
        <f t="shared" ref="F12" si="4">E12/$E$66</f>
        <v>1.6759872077711081E-3</v>
      </c>
      <c r="G12" s="33">
        <f>SUM(G13:G39)</f>
        <v>1049019</v>
      </c>
      <c r="H12" s="24">
        <f t="shared" ref="H12:H39" si="5">G12/$G$66</f>
        <v>4.209144214224788E-2</v>
      </c>
      <c r="I12" s="25">
        <f t="shared" si="2"/>
        <v>3568.091836734694</v>
      </c>
    </row>
    <row r="13" spans="1:9">
      <c r="A13" s="425" t="s">
        <v>198</v>
      </c>
      <c r="B13" s="27">
        <f>VLOOKUP(A13,[6]進出口值表查詢結果!$A$10:$C$22,3,0)</f>
        <v>1</v>
      </c>
      <c r="C13" s="27">
        <f>VLOOKUP(A13,[6]進出口值表查詢結果!$A$10:$C$22,2,0)</f>
        <v>5095</v>
      </c>
      <c r="D13" s="23">
        <f t="shared" si="1"/>
        <v>5095</v>
      </c>
      <c r="E13" s="28">
        <f>VLOOKUP(A13,[7]進出口值表查詢結果!$A$10:$C$29,3,0)</f>
        <v>2</v>
      </c>
      <c r="F13" s="24">
        <f>E13/$E$66</f>
        <v>1.1401273522252436E-5</v>
      </c>
      <c r="G13" s="28">
        <f>VLOOKUP(A13,[7]進出口值表查詢結果!$A$10:$C$29,2,0)</f>
        <v>5320</v>
      </c>
      <c r="H13" s="24">
        <f t="shared" si="5"/>
        <v>2.1346274204448034E-4</v>
      </c>
      <c r="I13" s="25">
        <f t="shared" si="2"/>
        <v>2660</v>
      </c>
    </row>
    <row r="14" spans="1:9">
      <c r="A14" s="425" t="s">
        <v>199</v>
      </c>
      <c r="B14" s="27">
        <f>VLOOKUP(A14,[6]進出口值表查詢結果!$A$10:$C$22,3,0)</f>
        <v>5</v>
      </c>
      <c r="C14" s="27">
        <f>VLOOKUP(A14,[6]進出口值表查詢結果!$A$10:$C$22,2,0)</f>
        <v>25322</v>
      </c>
      <c r="D14" s="23">
        <f t="shared" si="1"/>
        <v>5064.3999999999996</v>
      </c>
      <c r="E14" s="28">
        <f>VLOOKUP(A14,[7]進出口值表查詢結果!$A$10:$C$29,3,0)</f>
        <v>85</v>
      </c>
      <c r="F14" s="24">
        <f t="shared" ref="F14:F39" si="6">E14/$E$66</f>
        <v>4.8455412469572851E-4</v>
      </c>
      <c r="G14" s="28">
        <f>VLOOKUP(A14,[7]進出口值表查詢結果!$A$10:$C$29,2,0)</f>
        <v>458062</v>
      </c>
      <c r="H14" s="24">
        <f t="shared" si="5"/>
        <v>1.8379543335785481E-2</v>
      </c>
      <c r="I14" s="25">
        <f t="shared" si="2"/>
        <v>5388.964705882353</v>
      </c>
    </row>
    <row r="15" spans="1:9">
      <c r="A15" s="426" t="s">
        <v>9</v>
      </c>
      <c r="B15" s="27">
        <f>VLOOKUP(A15,[6]進出口值表查詢結果!$A$10:$C$22,3,0)</f>
        <v>12</v>
      </c>
      <c r="C15" s="27">
        <f>VLOOKUP(A15,[6]進出口值表查詢結果!$A$10:$C$22,2,0)</f>
        <v>16693</v>
      </c>
      <c r="D15" s="23">
        <f t="shared" si="1"/>
        <v>1391.0833333333333</v>
      </c>
      <c r="E15" s="28">
        <f>VLOOKUP(A15,[7]進出口值表查詢結果!$A$10:$C$29,3,0)</f>
        <v>26</v>
      </c>
      <c r="F15" s="24">
        <f t="shared" si="6"/>
        <v>1.4821655578928165E-4</v>
      </c>
      <c r="G15" s="28">
        <f>VLOOKUP(A15,[7]進出口值表查詢結果!$A$10:$C$29,2,0)</f>
        <v>59527</v>
      </c>
      <c r="H15" s="24">
        <f t="shared" si="5"/>
        <v>2.3884956100905606E-3</v>
      </c>
      <c r="I15" s="25">
        <f t="shared" si="2"/>
        <v>2289.5</v>
      </c>
    </row>
    <row r="16" spans="1:9">
      <c r="A16" s="425" t="s">
        <v>200</v>
      </c>
      <c r="B16" s="27">
        <f>VLOOKUP(A16,[6]進出口值表查詢結果!$A$10:$C$22,3,0)</f>
        <v>1</v>
      </c>
      <c r="C16" s="27">
        <f>VLOOKUP(A16,[6]進出口值表查詢結果!$A$10:$C$22,2,0)</f>
        <v>156</v>
      </c>
      <c r="D16" s="23">
        <f t="shared" si="1"/>
        <v>156</v>
      </c>
      <c r="E16" s="28">
        <f>VLOOKUP(A16,[7]進出口值表查詢結果!$A$10:$C$29,3,0)</f>
        <v>12</v>
      </c>
      <c r="F16" s="24">
        <f t="shared" si="6"/>
        <v>6.8407641133514616E-5</v>
      </c>
      <c r="G16" s="28">
        <f>VLOOKUP(A16,[7]進出口值表查詢結果!$A$10:$C$29,2,0)</f>
        <v>25722</v>
      </c>
      <c r="H16" s="24">
        <f t="shared" si="5"/>
        <v>1.0320843328699479E-3</v>
      </c>
      <c r="I16" s="25">
        <f t="shared" si="2"/>
        <v>2143.5</v>
      </c>
    </row>
    <row r="17" spans="1:9">
      <c r="A17" s="426" t="s">
        <v>10</v>
      </c>
      <c r="B17" s="27">
        <f>VLOOKUP(A17,[6]進出口值表查詢結果!$A$10:$C$22,3,0)</f>
        <v>48</v>
      </c>
      <c r="C17" s="27">
        <f>VLOOKUP(A17,[6]進出口值表查詢結果!$A$10:$C$22,2,0)</f>
        <v>152641</v>
      </c>
      <c r="D17" s="23">
        <f t="shared" si="1"/>
        <v>3180.0208333333335</v>
      </c>
      <c r="E17" s="28">
        <f>VLOOKUP(A17,[7]進出口值表查詢結果!$A$10:$C$29,3,0)</f>
        <v>106</v>
      </c>
      <c r="F17" s="24">
        <f t="shared" si="6"/>
        <v>6.0426749667937907E-4</v>
      </c>
      <c r="G17" s="28">
        <f>VLOOKUP(A17,[7]進出口值表查詢結果!$A$10:$C$29,2,0)</f>
        <v>383613</v>
      </c>
      <c r="H17" s="24">
        <f t="shared" si="5"/>
        <v>1.5392308809005495E-2</v>
      </c>
      <c r="I17" s="25">
        <f t="shared" si="2"/>
        <v>3618.9905660377358</v>
      </c>
    </row>
    <row r="18" spans="1:9">
      <c r="A18" s="426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VLOOKUP(A18,[7]進出口值表查詢結果!$A$10:$C$29,3,0)</f>
        <v>57</v>
      </c>
      <c r="F18" s="24">
        <f t="shared" si="6"/>
        <v>3.2493629538419443E-4</v>
      </c>
      <c r="G18" s="28">
        <f>VLOOKUP(A18,[7]進出口值表查詢結果!$A$10:$C$29,2,0)</f>
        <v>103833</v>
      </c>
      <c r="H18" s="24">
        <f t="shared" si="5"/>
        <v>4.1662550553955881E-3</v>
      </c>
      <c r="I18" s="25">
        <f t="shared" si="2"/>
        <v>1821.6315789473683</v>
      </c>
    </row>
    <row r="19" spans="1:9">
      <c r="A19" s="425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6"/>
        <v>0</v>
      </c>
      <c r="G19" s="28">
        <v>0</v>
      </c>
      <c r="H19" s="24">
        <f t="shared" si="5"/>
        <v>0</v>
      </c>
      <c r="I19" s="25">
        <f t="shared" si="2"/>
        <v>0</v>
      </c>
    </row>
    <row r="20" spans="1:9">
      <c r="A20" s="426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6"/>
        <v>0</v>
      </c>
      <c r="G20" s="28">
        <v>0</v>
      </c>
      <c r="H20" s="24">
        <f t="shared" si="5"/>
        <v>0</v>
      </c>
      <c r="I20" s="25">
        <f t="shared" si="2"/>
        <v>0</v>
      </c>
    </row>
    <row r="21" spans="1:9">
      <c r="A21" s="425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6"/>
        <v>0</v>
      </c>
      <c r="G21" s="28">
        <v>0</v>
      </c>
      <c r="H21" s="24">
        <f t="shared" si="5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6"/>
        <v>0</v>
      </c>
      <c r="G22" s="28">
        <v>0</v>
      </c>
      <c r="H22" s="24">
        <f t="shared" si="5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6"/>
        <v>0</v>
      </c>
      <c r="G23" s="28">
        <v>0</v>
      </c>
      <c r="H23" s="24">
        <f t="shared" si="5"/>
        <v>0</v>
      </c>
      <c r="I23" s="25">
        <f t="shared" si="2"/>
        <v>0</v>
      </c>
    </row>
    <row r="24" spans="1:9">
      <c r="A24" s="426" t="s">
        <v>15</v>
      </c>
      <c r="B24" s="27">
        <v>0</v>
      </c>
      <c r="C24" s="27">
        <v>0</v>
      </c>
      <c r="D24" s="23">
        <f t="shared" si="1"/>
        <v>0</v>
      </c>
      <c r="E24" s="28">
        <f>VLOOKUP(A24,[7]進出口值表查詢結果!$A$10:$C$29,3,0)</f>
        <v>4</v>
      </c>
      <c r="F24" s="24">
        <f t="shared" si="6"/>
        <v>2.2802547044504872E-5</v>
      </c>
      <c r="G24" s="28">
        <f>VLOOKUP(A24,[7]進出口值表查詢結果!$A$10:$C$29,2,0)</f>
        <v>10927</v>
      </c>
      <c r="H24" s="24">
        <f t="shared" si="5"/>
        <v>4.3844123727820237E-4</v>
      </c>
      <c r="I24" s="25">
        <f t="shared" si="2"/>
        <v>2731.75</v>
      </c>
    </row>
    <row r="25" spans="1:9">
      <c r="A25" s="425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6"/>
        <v>0</v>
      </c>
      <c r="G25" s="28">
        <v>0</v>
      </c>
      <c r="H25" s="24">
        <f t="shared" si="5"/>
        <v>0</v>
      </c>
      <c r="I25" s="25">
        <f t="shared" si="2"/>
        <v>0</v>
      </c>
    </row>
    <row r="26" spans="1:9">
      <c r="A26" s="425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si="6"/>
        <v>0</v>
      </c>
      <c r="G26" s="28">
        <v>0</v>
      </c>
      <c r="H26" s="24">
        <f t="shared" si="5"/>
        <v>0</v>
      </c>
      <c r="I26" s="25">
        <f t="shared" si="2"/>
        <v>0</v>
      </c>
    </row>
    <row r="27" spans="1:9">
      <c r="A27" s="427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6"/>
        <v>0</v>
      </c>
      <c r="G27" s="28">
        <v>0</v>
      </c>
      <c r="H27" s="24">
        <f t="shared" si="5"/>
        <v>0</v>
      </c>
      <c r="I27" s="25">
        <f t="shared" si="2"/>
        <v>0</v>
      </c>
    </row>
    <row r="28" spans="1:9">
      <c r="A28" s="427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6"/>
        <v>0</v>
      </c>
      <c r="G28" s="28">
        <v>0</v>
      </c>
      <c r="H28" s="24">
        <f t="shared" si="5"/>
        <v>0</v>
      </c>
      <c r="I28" s="25">
        <f t="shared" si="2"/>
        <v>0</v>
      </c>
    </row>
    <row r="29" spans="1:9">
      <c r="A29" s="426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si="6"/>
        <v>0</v>
      </c>
      <c r="G29" s="28">
        <v>0</v>
      </c>
      <c r="H29" s="24">
        <f t="shared" si="5"/>
        <v>0</v>
      </c>
      <c r="I29" s="25">
        <f t="shared" si="2"/>
        <v>0</v>
      </c>
    </row>
    <row r="30" spans="1:9">
      <c r="A30" s="426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5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5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si="6"/>
        <v>0</v>
      </c>
      <c r="G32" s="28">
        <v>0</v>
      </c>
      <c r="H32" s="24">
        <f t="shared" si="5"/>
        <v>0</v>
      </c>
      <c r="I32" s="25">
        <f t="shared" si="2"/>
        <v>0</v>
      </c>
    </row>
    <row r="33" spans="1:9">
      <c r="A33" s="426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6"/>
        <v>0</v>
      </c>
      <c r="G33" s="28">
        <v>0</v>
      </c>
      <c r="H33" s="24">
        <f t="shared" si="5"/>
        <v>0</v>
      </c>
      <c r="I33" s="25">
        <f t="shared" si="2"/>
        <v>0</v>
      </c>
    </row>
    <row r="34" spans="1:9">
      <c r="A34" s="426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si="6"/>
        <v>0</v>
      </c>
      <c r="G34" s="28">
        <v>0</v>
      </c>
      <c r="H34" s="24">
        <f t="shared" si="5"/>
        <v>0</v>
      </c>
      <c r="I34" s="25">
        <f t="shared" si="2"/>
        <v>0</v>
      </c>
    </row>
    <row r="35" spans="1:9">
      <c r="A35" s="426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6"/>
        <v>0</v>
      </c>
      <c r="G35" s="28">
        <v>0</v>
      </c>
      <c r="H35" s="24">
        <f t="shared" si="5"/>
        <v>0</v>
      </c>
      <c r="I35" s="25">
        <f t="shared" si="2"/>
        <v>0</v>
      </c>
    </row>
    <row r="36" spans="1:9">
      <c r="A36" s="426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6"/>
        <v>0</v>
      </c>
      <c r="G36" s="28">
        <v>0</v>
      </c>
      <c r="H36" s="24">
        <f t="shared" si="5"/>
        <v>0</v>
      </c>
      <c r="I36" s="25">
        <f t="shared" si="2"/>
        <v>0</v>
      </c>
    </row>
    <row r="37" spans="1:9">
      <c r="A37" s="426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6"/>
        <v>0</v>
      </c>
      <c r="G37" s="28">
        <v>0</v>
      </c>
      <c r="H37" s="24">
        <f t="shared" si="5"/>
        <v>0</v>
      </c>
      <c r="I37" s="25">
        <f t="shared" si="2"/>
        <v>0</v>
      </c>
    </row>
    <row r="38" spans="1:9">
      <c r="A38" s="426" t="s">
        <v>215</v>
      </c>
      <c r="B38" s="27">
        <v>0</v>
      </c>
      <c r="C38" s="27">
        <v>0</v>
      </c>
      <c r="D38" s="23">
        <f t="shared" si="1"/>
        <v>0</v>
      </c>
      <c r="E38" s="28">
        <f>VLOOKUP(A38,[7]進出口值表查詢結果!$A$10:$C$29,3,0)</f>
        <v>2</v>
      </c>
      <c r="F38" s="24">
        <f t="shared" si="6"/>
        <v>1.1401273522252436E-5</v>
      </c>
      <c r="G38" s="28">
        <f>VLOOKUP(A38,[7]進出口值表查詢結果!$A$10:$C$29,2,0)</f>
        <v>2015</v>
      </c>
      <c r="H38" s="24">
        <f t="shared" si="5"/>
        <v>8.0851019778125537E-5</v>
      </c>
      <c r="I38" s="25">
        <f t="shared" si="2"/>
        <v>1007.5</v>
      </c>
    </row>
    <row r="39" spans="1:9">
      <c r="A39" s="426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6"/>
        <v>0</v>
      </c>
      <c r="G39" s="28">
        <v>0</v>
      </c>
      <c r="H39" s="24">
        <f t="shared" si="5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7">SUM(F42:F45)</f>
        <v>5.700636761126218E-6</v>
      </c>
      <c r="G41" s="33">
        <f t="shared" si="7"/>
        <v>155</v>
      </c>
      <c r="H41" s="24">
        <f>G41/$G$66</f>
        <v>6.2193092137019652E-6</v>
      </c>
      <c r="I41" s="25">
        <f t="shared" si="2"/>
        <v>155</v>
      </c>
    </row>
    <row r="42" spans="1:9">
      <c r="A42" s="26" t="s">
        <v>216</v>
      </c>
      <c r="B42" s="27">
        <v>0</v>
      </c>
      <c r="C42" s="27">
        <v>0</v>
      </c>
      <c r="D42" s="23">
        <f t="shared" si="1"/>
        <v>0</v>
      </c>
      <c r="E42" s="28">
        <f>VLOOKUP(A42,[7]進出口值表查詢結果!$A$10:$C$29,3,0)</f>
        <v>1</v>
      </c>
      <c r="F42" s="24">
        <f t="shared" ref="F42:F45" si="8">E42/$E$66</f>
        <v>5.700636761126218E-6</v>
      </c>
      <c r="G42" s="28">
        <f>VLOOKUP(A42,[7]進出口值表查詢結果!$A$10:$C$29,2,0)</f>
        <v>155</v>
      </c>
      <c r="H42" s="24">
        <f>G42/$G$66</f>
        <v>6.2193092137019652E-6</v>
      </c>
      <c r="I42" s="25">
        <f t="shared" si="2"/>
        <v>155</v>
      </c>
    </row>
    <row r="43" spans="1:9">
      <c r="A43" s="26" t="s">
        <v>217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si="8"/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8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8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14541</v>
      </c>
      <c r="C47" s="33">
        <f>SUM(C48:C64)</f>
        <v>2047438</v>
      </c>
      <c r="D47" s="23">
        <f t="shared" si="1"/>
        <v>140.80448387318617</v>
      </c>
      <c r="E47" s="33">
        <f>SUM(E48:E64)</f>
        <v>173261</v>
      </c>
      <c r="F47" s="33">
        <f t="shared" ref="F47:G47" si="9">SUM(F48:F64)</f>
        <v>0.98769802586948963</v>
      </c>
      <c r="G47" s="33">
        <f t="shared" si="9"/>
        <v>22982977</v>
      </c>
      <c r="H47" s="24">
        <f t="shared" ref="H47:H66" si="10">G47/$G$66</f>
        <v>0.92218219751226027</v>
      </c>
      <c r="I47" s="25">
        <f t="shared" si="2"/>
        <v>132.64945371433848</v>
      </c>
    </row>
    <row r="48" spans="1:9" ht="16.899999999999999" customHeight="1">
      <c r="A48" s="453" t="s">
        <v>159</v>
      </c>
      <c r="B48" s="27">
        <f>VLOOKUP(A48,[6]進出口值表查詢結果!$A$10:$C$22,3,0)</f>
        <v>1</v>
      </c>
      <c r="C48" s="27">
        <f>VLOOKUP(A48,[6]進出口值表查詢結果!$A$10:$C$22,2,0)</f>
        <v>94</v>
      </c>
      <c r="D48" s="23">
        <f t="shared" si="1"/>
        <v>94</v>
      </c>
      <c r="E48" s="28">
        <f>VLOOKUP(A48,[7]進出口值表查詢結果!$A$10:$C$29,3,0)</f>
        <v>438</v>
      </c>
      <c r="F48" s="24">
        <f t="shared" ref="F48:F66" si="11">E48/$E$66</f>
        <v>2.4968789013732834E-3</v>
      </c>
      <c r="G48" s="28">
        <f>VLOOKUP(A48,[7]進出口值表查詢結果!$A$10:$C$29,2,0)</f>
        <v>632669</v>
      </c>
      <c r="H48" s="24">
        <f t="shared" si="10"/>
        <v>2.5385575102732958E-2</v>
      </c>
      <c r="I48" s="25">
        <f t="shared" si="2"/>
        <v>1444.4497716894978</v>
      </c>
    </row>
    <row r="49" spans="1:9">
      <c r="A49" s="26" t="s">
        <v>219</v>
      </c>
      <c r="B49" s="27">
        <f>VLOOKUP(A49,[6]進出口值表查詢結果!$A$10:$C$22,3,0)</f>
        <v>11</v>
      </c>
      <c r="C49" s="27">
        <f>VLOOKUP(A49,[6]進出口值表查詢結果!$A$10:$C$22,2,0)</f>
        <v>1014</v>
      </c>
      <c r="D49" s="23">
        <f t="shared" si="1"/>
        <v>92.181818181818187</v>
      </c>
      <c r="E49" s="28">
        <f>VLOOKUP(A49,[7]進出口值表查詢結果!$A$10:$C$29,3,0)</f>
        <v>179</v>
      </c>
      <c r="F49" s="24">
        <f t="shared" si="11"/>
        <v>1.0204139802415929E-3</v>
      </c>
      <c r="G49" s="28">
        <f>VLOOKUP(A49,[7]進出口值表查詢結果!$A$10:$C$29,2,0)</f>
        <v>32022</v>
      </c>
      <c r="H49" s="24">
        <f t="shared" si="10"/>
        <v>1.2848691589752536E-3</v>
      </c>
      <c r="I49" s="25">
        <f t="shared" si="2"/>
        <v>178.89385474860336</v>
      </c>
    </row>
    <row r="50" spans="1:9">
      <c r="A50" s="438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1"/>
        <v>0</v>
      </c>
      <c r="G50" s="28">
        <v>0</v>
      </c>
      <c r="H50" s="24">
        <f t="shared" si="10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si="11"/>
        <v>0</v>
      </c>
      <c r="G51" s="28">
        <v>0</v>
      </c>
      <c r="H51" s="24">
        <f t="shared" si="10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1"/>
        <v>0</v>
      </c>
      <c r="G52" s="28">
        <v>0</v>
      </c>
      <c r="H52" s="24">
        <f t="shared" si="10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1"/>
        <v>0</v>
      </c>
      <c r="G53" s="28">
        <v>0</v>
      </c>
      <c r="H53" s="24">
        <f t="shared" si="10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1"/>
        <v>0</v>
      </c>
      <c r="G54" s="28">
        <v>0</v>
      </c>
      <c r="H54" s="24">
        <f t="shared" si="10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1"/>
        <v>0</v>
      </c>
      <c r="G55" s="28">
        <v>0</v>
      </c>
      <c r="H55" s="24">
        <f t="shared" si="10"/>
        <v>0</v>
      </c>
      <c r="I55" s="25">
        <f t="shared" si="2"/>
        <v>0</v>
      </c>
    </row>
    <row r="56" spans="1:9">
      <c r="A56" s="285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1"/>
        <v>0</v>
      </c>
      <c r="G56" s="28">
        <v>0</v>
      </c>
      <c r="H56" s="24">
        <f t="shared" si="10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1"/>
        <v>0</v>
      </c>
      <c r="G57" s="28">
        <v>0</v>
      </c>
      <c r="H57" s="24">
        <f t="shared" si="10"/>
        <v>0</v>
      </c>
      <c r="I57" s="25">
        <f t="shared" si="2"/>
        <v>0</v>
      </c>
    </row>
    <row r="58" spans="1:9">
      <c r="A58" s="37" t="s">
        <v>388</v>
      </c>
      <c r="B58" s="27">
        <f>VLOOKUP(A58,[6]進出口值表查詢結果!$A$10:$C$22,3,0)</f>
        <v>1</v>
      </c>
      <c r="C58" s="27">
        <f>VLOOKUP(A58,[6]進出口值表查詢結果!$A$10:$C$22,2,0)</f>
        <v>1719</v>
      </c>
      <c r="D58" s="23">
        <f t="shared" si="1"/>
        <v>1719</v>
      </c>
      <c r="E58" s="28">
        <f>VLOOKUP(A58,[7]進出口值表查詢結果!$A$10:$C$29,3,0)</f>
        <v>763</v>
      </c>
      <c r="F58" s="24">
        <f t="shared" si="11"/>
        <v>4.3495858487393041E-3</v>
      </c>
      <c r="G58" s="28">
        <f>VLOOKUP(A58,[7]進出口值表查詢結果!$A$10:$C$29,2,0)</f>
        <v>846856</v>
      </c>
      <c r="H58" s="24">
        <f t="shared" si="10"/>
        <v>3.3979737570830913E-2</v>
      </c>
      <c r="I58" s="25">
        <f t="shared" si="2"/>
        <v>1109.9030144167759</v>
      </c>
    </row>
    <row r="59" spans="1:9">
      <c r="A59" s="37" t="s">
        <v>109</v>
      </c>
      <c r="B59" s="27">
        <f>VLOOKUP(A59,[6]進出口值表查詢結果!$A$10:$C$22,3,0)</f>
        <v>190</v>
      </c>
      <c r="C59" s="27">
        <f>VLOOKUP(A59,[6]進出口值表查詢結果!$A$10:$C$22,2,0)</f>
        <v>45389</v>
      </c>
      <c r="D59" s="23">
        <f t="shared" si="1"/>
        <v>238.88947368421051</v>
      </c>
      <c r="E59" s="28">
        <f>VLOOKUP(A59,[7]進出口值表查詢結果!$A$10:$C$29,3,0)</f>
        <v>802</v>
      </c>
      <c r="F59" s="24">
        <f t="shared" si="11"/>
        <v>4.5719106824232266E-3</v>
      </c>
      <c r="G59" s="28">
        <f>VLOOKUP(A59,[7]進出口值表查詢結果!$A$10:$C$29,2,0)</f>
        <v>317847</v>
      </c>
      <c r="H59" s="24">
        <f t="shared" si="10"/>
        <v>1.2753475971919538E-2</v>
      </c>
      <c r="I59" s="25">
        <f t="shared" si="2"/>
        <v>396.31795511221947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VLOOKUP(A60,[7]進出口值表查詢結果!$A$10:$C$29,3,0)</f>
        <v>1</v>
      </c>
      <c r="F60" s="24">
        <f t="shared" si="11"/>
        <v>5.700636761126218E-6</v>
      </c>
      <c r="G60" s="28">
        <f>VLOOKUP(A60,[7]進出口值表查詢結果!$A$10:$C$29,2,0)</f>
        <v>866</v>
      </c>
      <c r="H60" s="24">
        <f t="shared" si="10"/>
        <v>3.4747882445586463E-5</v>
      </c>
      <c r="I60" s="25">
        <f t="shared" si="2"/>
        <v>866</v>
      </c>
    </row>
    <row r="61" spans="1:9">
      <c r="A61" s="37" t="s">
        <v>111</v>
      </c>
      <c r="B61" s="27">
        <f>VLOOKUP(A61,[6]進出口值表查詢結果!$A$10:$C$22,3,0)</f>
        <v>14338</v>
      </c>
      <c r="C61" s="27">
        <f>VLOOKUP(A61,[6]進出口值表查詢結果!$A$10:$C$22,2,0)</f>
        <v>1999222</v>
      </c>
      <c r="D61" s="23">
        <f t="shared" si="1"/>
        <v>139.43520714186079</v>
      </c>
      <c r="E61" s="28">
        <f>VLOOKUP(A61,[7]進出口值表查詢結果!$A$10:$C$29,3,0)</f>
        <v>171078</v>
      </c>
      <c r="F61" s="24">
        <f t="shared" si="11"/>
        <v>0.97525353581995111</v>
      </c>
      <c r="G61" s="28">
        <f>VLOOKUP(A61,[7]進出口值表查詢結果!$A$10:$C$29,2,0)</f>
        <v>21152717</v>
      </c>
      <c r="H61" s="24">
        <f t="shared" si="10"/>
        <v>0.84874379182535598</v>
      </c>
      <c r="I61" s="25">
        <f t="shared" si="2"/>
        <v>123.64370053425922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1"/>
        <v>0</v>
      </c>
      <c r="G62" s="28">
        <v>0</v>
      </c>
      <c r="H62" s="24">
        <f t="shared" si="10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1"/>
        <v>0</v>
      </c>
      <c r="G63" s="28">
        <v>0</v>
      </c>
      <c r="H63" s="24">
        <f t="shared" si="10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1"/>
        <v>0</v>
      </c>
      <c r="G64" s="28">
        <v>0</v>
      </c>
      <c r="H64" s="24">
        <f t="shared" si="10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46</v>
      </c>
      <c r="C65" s="27">
        <f>C66-C47-C41-C12-C7</f>
        <v>20663</v>
      </c>
      <c r="D65" s="23">
        <f t="shared" si="1"/>
        <v>449.19565217391306</v>
      </c>
      <c r="E65" s="27">
        <f>E66-E47-E41-E12-E7</f>
        <v>1812</v>
      </c>
      <c r="F65" s="27">
        <f>F66-F47-F41-F12-F7</f>
        <v>1.0329553811160703E-2</v>
      </c>
      <c r="G65" s="547">
        <f>G66-G7-G12-G41-G47</f>
        <v>732980</v>
      </c>
      <c r="H65" s="24">
        <f t="shared" si="10"/>
        <v>2.9410511402963007E-2</v>
      </c>
      <c r="I65" s="25">
        <f t="shared" si="2"/>
        <v>404.51434878587196</v>
      </c>
    </row>
    <row r="66" spans="1:9">
      <c r="A66" s="32" t="s">
        <v>400</v>
      </c>
      <c r="B66" s="27">
        <f>VLOOKUP(A66,[6]進出口值表查詢結果!$A$10:$C$22,3,0)</f>
        <v>14658</v>
      </c>
      <c r="C66" s="27">
        <f>VLOOKUP(A66,[6]進出口值表查詢結果!$A$10:$C$22,2,0)</f>
        <v>2294954</v>
      </c>
      <c r="D66" s="23">
        <f t="shared" si="1"/>
        <v>156.56665302224042</v>
      </c>
      <c r="E66" s="28">
        <f>VLOOKUP(A66,[7]進出口值表查詢結果!$A$10:$C$29,3,0)</f>
        <v>175419</v>
      </c>
      <c r="F66" s="24">
        <f t="shared" si="11"/>
        <v>1</v>
      </c>
      <c r="G66" s="28">
        <f>VLOOKUP(A66,[7]進出口值表查詢結果!$A$10:$C$29,2,0)</f>
        <v>24922382</v>
      </c>
      <c r="H66" s="514">
        <f t="shared" si="10"/>
        <v>1</v>
      </c>
      <c r="I66" s="52">
        <f>G66/E66</f>
        <v>142.07344700403036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9" t="s">
        <v>149</v>
      </c>
      <c r="B68" s="100"/>
      <c r="C68" s="100"/>
      <c r="D68" s="170"/>
      <c r="E68" s="100"/>
      <c r="F68" s="171"/>
      <c r="G68" s="100"/>
      <c r="H68" s="172"/>
      <c r="I68" s="173"/>
    </row>
    <row r="69" spans="1:9">
      <c r="A69" s="8" t="s">
        <v>488</v>
      </c>
      <c r="B69" s="8" t="s">
        <v>489</v>
      </c>
      <c r="C69" s="8" t="s">
        <v>490</v>
      </c>
      <c r="D69" s="9" t="s">
        <v>0</v>
      </c>
      <c r="E69" s="10" t="s">
        <v>491</v>
      </c>
      <c r="F69" s="11" t="s">
        <v>1</v>
      </c>
      <c r="G69" s="72" t="s">
        <v>492</v>
      </c>
      <c r="H69" s="45" t="s">
        <v>1</v>
      </c>
      <c r="I69" s="468" t="s">
        <v>112</v>
      </c>
    </row>
    <row r="70" spans="1:9">
      <c r="A70" s="46"/>
      <c r="B70" s="47" t="s">
        <v>2</v>
      </c>
      <c r="C70" s="48" t="s">
        <v>3</v>
      </c>
      <c r="D70" s="516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110</v>
      </c>
      <c r="C71" s="27">
        <v>56546</v>
      </c>
      <c r="D71" s="23">
        <f t="shared" ref="D71" si="12">IF(B71,C71/B71,0)</f>
        <v>514.0545454545454</v>
      </c>
      <c r="E71" s="27">
        <v>3497</v>
      </c>
      <c r="F71" s="27">
        <v>15682</v>
      </c>
      <c r="G71" s="27">
        <v>690763</v>
      </c>
      <c r="H71" s="53">
        <v>1</v>
      </c>
      <c r="I71" s="52">
        <f>G71/E71</f>
        <v>197.53016871604231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467</v>
      </c>
      <c r="B73" s="13"/>
      <c r="C73" s="166"/>
      <c r="D73" s="174"/>
      <c r="E73" s="13"/>
      <c r="F73" s="166"/>
      <c r="G73" s="167"/>
      <c r="H73" s="13"/>
      <c r="I73" s="175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500</v>
      </c>
      <c r="B1" s="1"/>
      <c r="C1" s="1"/>
      <c r="D1" s="1"/>
      <c r="E1" s="2"/>
      <c r="F1" s="2"/>
      <c r="G1" s="2"/>
      <c r="H1" s="2"/>
      <c r="I1" s="2"/>
    </row>
    <row r="2" spans="1:9" ht="6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3" customFormat="1" ht="17.25">
      <c r="A3" s="209" t="s">
        <v>153</v>
      </c>
      <c r="B3" s="210"/>
      <c r="C3" s="210"/>
      <c r="D3" s="210"/>
      <c r="E3" s="211"/>
      <c r="F3" s="211"/>
      <c r="G3" s="211"/>
      <c r="H3" s="211"/>
      <c r="I3" s="212"/>
    </row>
    <row r="4" spans="1:9" s="213" customFormat="1" ht="17.25">
      <c r="A4" s="214" t="s">
        <v>157</v>
      </c>
      <c r="B4" s="215"/>
      <c r="C4" s="215"/>
      <c r="D4" s="215"/>
      <c r="E4" s="216"/>
      <c r="F4" s="216"/>
      <c r="G4" s="216"/>
      <c r="H4" s="216"/>
      <c r="I4" s="217"/>
    </row>
    <row r="5" spans="1:9" s="221" customFormat="1">
      <c r="A5" s="8" t="s">
        <v>488</v>
      </c>
      <c r="B5" s="8" t="s">
        <v>489</v>
      </c>
      <c r="C5" s="8" t="s">
        <v>490</v>
      </c>
      <c r="D5" s="9" t="s">
        <v>0</v>
      </c>
      <c r="E5" s="10" t="s">
        <v>491</v>
      </c>
      <c r="F5" s="11" t="s">
        <v>1</v>
      </c>
      <c r="G5" s="8" t="s">
        <v>492</v>
      </c>
      <c r="H5" s="220" t="s">
        <v>1</v>
      </c>
      <c r="I5" s="219" t="s">
        <v>0</v>
      </c>
    </row>
    <row r="6" spans="1:9" s="221" customFormat="1">
      <c r="A6" s="222"/>
      <c r="B6" s="223" t="s">
        <v>2</v>
      </c>
      <c r="C6" s="224" t="s">
        <v>3</v>
      </c>
      <c r="D6" s="222" t="s">
        <v>3</v>
      </c>
      <c r="E6" s="220" t="s">
        <v>2</v>
      </c>
      <c r="F6" s="220"/>
      <c r="G6" s="218" t="s">
        <v>3</v>
      </c>
      <c r="H6" s="218"/>
      <c r="I6" s="219" t="s">
        <v>3</v>
      </c>
    </row>
    <row r="7" spans="1:9" s="221" customFormat="1">
      <c r="A7" s="225" t="s">
        <v>4</v>
      </c>
      <c r="B7" s="226"/>
      <c r="C7" s="227"/>
      <c r="D7" s="226"/>
      <c r="E7" s="229"/>
      <c r="F7" s="228"/>
      <c r="G7" s="229"/>
      <c r="H7" s="228"/>
      <c r="I7" s="229"/>
    </row>
    <row r="8" spans="1:9" s="221" customFormat="1">
      <c r="A8" s="230" t="s">
        <v>5</v>
      </c>
      <c r="B8" s="231">
        <f>SUM(B9:B11)</f>
        <v>7477</v>
      </c>
      <c r="C8" s="232">
        <f>SUM(C9:C11)</f>
        <v>16077929</v>
      </c>
      <c r="D8" s="504">
        <f>IF(B8,C8/B8,0)</f>
        <v>2150.318175738933</v>
      </c>
      <c r="E8" s="507">
        <f>SUM(E9:E11)</f>
        <v>95708</v>
      </c>
      <c r="F8" s="505">
        <f>E8/E64</f>
        <v>0.31334365720384622</v>
      </c>
      <c r="G8" s="507">
        <f>SUM(G9:G11)</f>
        <v>199923489</v>
      </c>
      <c r="H8" s="505">
        <f>G8/G64</f>
        <v>0.35154407103813623</v>
      </c>
      <c r="I8" s="235">
        <f>IF(E8,G8/E8,0)</f>
        <v>2088.8900509884229</v>
      </c>
    </row>
    <row r="9" spans="1:9" s="221" customFormat="1">
      <c r="A9" s="236" t="s">
        <v>160</v>
      </c>
      <c r="B9" s="237">
        <f>VLOOKUP(A9,[8]進出口值表查詢結果!$A$10:$C$40,3,0)</f>
        <v>6200</v>
      </c>
      <c r="C9" s="237">
        <f>VLOOKUP(A9,[8]進出口值表查詢結果!$A$10:$C$40,2,0)</f>
        <v>13211190</v>
      </c>
      <c r="D9" s="233">
        <f t="shared" ref="D9:D63" si="0">IF(B9,C9/B9,0)</f>
        <v>2130.8370967741935</v>
      </c>
      <c r="E9" s="238">
        <f>VLOOKUP(A9,[9]進出口值表查詢結果!$A$10:$C$65,3,0)</f>
        <v>84495</v>
      </c>
      <c r="F9" s="234">
        <f>E9/E64</f>
        <v>0.27663280306180243</v>
      </c>
      <c r="G9" s="506">
        <f>VLOOKUP(A9,[9]進出口值表查詢結果!$A$10:$C$65,2,0)</f>
        <v>177267776</v>
      </c>
      <c r="H9" s="234">
        <f>G9/G64</f>
        <v>0.31170642304525015</v>
      </c>
      <c r="I9" s="235">
        <f t="shared" ref="I9:I63" si="1">IF(E9,G9/E9,0)</f>
        <v>2097.967643055802</v>
      </c>
    </row>
    <row r="10" spans="1:9" s="221" customFormat="1">
      <c r="A10" s="37" t="s">
        <v>6</v>
      </c>
      <c r="B10" s="237">
        <f>VLOOKUP(A10,[8]進出口值表查詢結果!$A$10:$C$40,3,0)</f>
        <v>1159</v>
      </c>
      <c r="C10" s="237">
        <f>VLOOKUP(A10,[8]進出口值表查詢結果!$A$10:$C$40,2,0)</f>
        <v>2500499</v>
      </c>
      <c r="D10" s="233">
        <f t="shared" si="0"/>
        <v>2157.462467644521</v>
      </c>
      <c r="E10" s="238">
        <f>VLOOKUP(A10,[9]進出口值表查詢結果!$A$10:$C$65,3,0)</f>
        <v>10738</v>
      </c>
      <c r="F10" s="234">
        <f>E10/E64</f>
        <v>3.5155725655691278E-2</v>
      </c>
      <c r="G10" s="506">
        <f>VLOOKUP(A10,[9]進出口值表查詢結果!$A$10:$C$65,2,0)</f>
        <v>21641414</v>
      </c>
      <c r="H10" s="234">
        <f>G10/G64</f>
        <v>3.8054111693607527E-2</v>
      </c>
      <c r="I10" s="235">
        <f t="shared" si="1"/>
        <v>2015.4045446079344</v>
      </c>
    </row>
    <row r="11" spans="1:9" s="221" customFormat="1">
      <c r="A11" s="37" t="s">
        <v>7</v>
      </c>
      <c r="B11" s="237">
        <f>VLOOKUP(A11,[8]進出口值表查詢結果!$A$10:$C$40,3,0)</f>
        <v>118</v>
      </c>
      <c r="C11" s="237">
        <f>VLOOKUP(A11,[8]進出口值表查詢結果!$A$10:$C$40,2,0)</f>
        <v>366240</v>
      </c>
      <c r="D11" s="233">
        <f t="shared" si="0"/>
        <v>3103.7288135593221</v>
      </c>
      <c r="E11" s="238">
        <f>VLOOKUP(A11,[9]進出口值表查詢結果!$A$10:$C$65,3,0)</f>
        <v>475</v>
      </c>
      <c r="F11" s="234">
        <f>E11/E64</f>
        <v>1.5551284863525197E-3</v>
      </c>
      <c r="G11" s="506">
        <f>VLOOKUP(A11,[9]進出口值表查詢結果!$A$10:$C$65,2,0)</f>
        <v>1014299</v>
      </c>
      <c r="H11" s="234">
        <f>G11/G64</f>
        <v>1.783536299278523E-3</v>
      </c>
      <c r="I11" s="235">
        <f t="shared" si="1"/>
        <v>2135.3663157894739</v>
      </c>
    </row>
    <row r="12" spans="1:9" s="221" customFormat="1">
      <c r="A12" s="37"/>
      <c r="B12" s="34"/>
      <c r="C12" s="34"/>
      <c r="D12" s="233"/>
      <c r="E12" s="239"/>
      <c r="F12" s="240"/>
      <c r="G12" s="239"/>
      <c r="H12" s="240"/>
      <c r="I12" s="235"/>
    </row>
    <row r="13" spans="1:9" s="221" customFormat="1">
      <c r="A13" s="241" t="s">
        <v>8</v>
      </c>
      <c r="B13" s="242">
        <f>SUM(B14:B40)</f>
        <v>12456</v>
      </c>
      <c r="C13" s="242">
        <f>SUM(C14:C40)</f>
        <v>23240539</v>
      </c>
      <c r="D13" s="233">
        <f t="shared" si="0"/>
        <v>1865.8107739242132</v>
      </c>
      <c r="E13" s="242">
        <f>SUM(E14:E40)</f>
        <v>159681</v>
      </c>
      <c r="F13" s="234">
        <f>E13/E64</f>
        <v>0.52278836174580356</v>
      </c>
      <c r="G13" s="242">
        <f>SUM(G14:G40)</f>
        <v>269999515</v>
      </c>
      <c r="H13" s="234">
        <f>G13/G64</f>
        <v>0.47476526723391826</v>
      </c>
      <c r="I13" s="235">
        <f t="shared" si="1"/>
        <v>1690.8681370983397</v>
      </c>
    </row>
    <row r="14" spans="1:9" s="221" customFormat="1">
      <c r="A14" s="236" t="s">
        <v>245</v>
      </c>
      <c r="B14" s="237">
        <f>VLOOKUP(A14,[8]進出口值表查詢結果!$A$10:$C$40,3,0)</f>
        <v>8223</v>
      </c>
      <c r="C14" s="237">
        <f>VLOOKUP(A14,[8]進出口值表查詢結果!$A$10:$C$40,2,0)</f>
        <v>16343979</v>
      </c>
      <c r="D14" s="233">
        <f t="shared" si="0"/>
        <v>1987.5932141554176</v>
      </c>
      <c r="E14" s="238">
        <f>VLOOKUP(A14,[9]進出口值表查詢結果!$A$10:$C$65,3,0)</f>
        <v>93841</v>
      </c>
      <c r="F14" s="234">
        <f>E14/E64</f>
        <v>0.30723118376380382</v>
      </c>
      <c r="G14" s="506">
        <f>VLOOKUP(A14,[9]進出口值表查詢結果!$A$10:$C$65,2,0)</f>
        <v>166167398</v>
      </c>
      <c r="H14" s="234">
        <f>G14/G64</f>
        <v>0.29218759565932872</v>
      </c>
      <c r="I14" s="235">
        <f t="shared" si="1"/>
        <v>1770.7334533945716</v>
      </c>
    </row>
    <row r="15" spans="1:9" s="221" customFormat="1">
      <c r="A15" s="236" t="s">
        <v>246</v>
      </c>
      <c r="B15" s="237">
        <f>VLOOKUP(A15,[8]進出口值表查詢結果!$A$10:$C$40,3,0)</f>
        <v>1670</v>
      </c>
      <c r="C15" s="237">
        <f>VLOOKUP(A15,[8]進出口值表查詢結果!$A$10:$C$40,2,0)</f>
        <v>2163581</v>
      </c>
      <c r="D15" s="233">
        <f t="shared" si="0"/>
        <v>1295.5574850299402</v>
      </c>
      <c r="E15" s="238">
        <f>VLOOKUP(A15,[9]進出口值表查詢結果!$A$10:$C$65,3,0)</f>
        <v>29346</v>
      </c>
      <c r="F15" s="234">
        <f>E15/E64</f>
        <v>9.6077474864212725E-2</v>
      </c>
      <c r="G15" s="506">
        <f>VLOOKUP(A15,[9]進出口值表查詢結果!$A$10:$C$65,2,0)</f>
        <v>38522686</v>
      </c>
      <c r="H15" s="234">
        <f>G15/G64</f>
        <v>6.7738022838145923E-2</v>
      </c>
      <c r="I15" s="235">
        <f t="shared" si="1"/>
        <v>1312.7065358140803</v>
      </c>
    </row>
    <row r="16" spans="1:9" s="221" customFormat="1">
      <c r="A16" s="37" t="s">
        <v>9</v>
      </c>
      <c r="B16" s="237">
        <f>VLOOKUP(A16,[8]進出口值表查詢結果!$A$10:$C$40,3,0)</f>
        <v>794</v>
      </c>
      <c r="C16" s="237">
        <f>VLOOKUP(A16,[8]進出口值表查詢結果!$A$10:$C$40,2,0)</f>
        <v>1608190</v>
      </c>
      <c r="D16" s="233">
        <f t="shared" si="0"/>
        <v>2025.4282115869019</v>
      </c>
      <c r="E16" s="238">
        <f>VLOOKUP(A16,[9]進出口值表查詢結果!$A$10:$C$65,3,0)</f>
        <v>6790</v>
      </c>
      <c r="F16" s="234">
        <f>E16/E64</f>
        <v>2.2230152468070755E-2</v>
      </c>
      <c r="G16" s="506">
        <f>VLOOKUP(A16,[9]進出口值表查詢結果!$A$10:$C$65,2,0)</f>
        <v>14023158</v>
      </c>
      <c r="H16" s="234">
        <f>G16/G64</f>
        <v>2.4658223387302971E-2</v>
      </c>
      <c r="I16" s="235">
        <f t="shared" si="1"/>
        <v>2065.2662739322532</v>
      </c>
    </row>
    <row r="17" spans="1:9" s="221" customFormat="1">
      <c r="A17" s="236" t="s">
        <v>247</v>
      </c>
      <c r="B17" s="237">
        <f>VLOOKUP(A17,[8]進出口值表查詢結果!$A$10:$C$40,3,0)</f>
        <v>591</v>
      </c>
      <c r="C17" s="237">
        <f>VLOOKUP(A17,[8]進出口值表查詢結果!$A$10:$C$40,2,0)</f>
        <v>778493</v>
      </c>
      <c r="D17" s="233">
        <f t="shared" si="0"/>
        <v>1317.2470389170896</v>
      </c>
      <c r="E17" s="238">
        <f>VLOOKUP(A17,[9]進出口值表查詢結果!$A$10:$C$65,3,0)</f>
        <v>6051</v>
      </c>
      <c r="F17" s="234">
        <f>E17/E64</f>
        <v>1.9810699938777047E-2</v>
      </c>
      <c r="G17" s="506">
        <f>VLOOKUP(A17,[9]進出口值表查詢結果!$A$10:$C$65,2,0)</f>
        <v>8799307</v>
      </c>
      <c r="H17" s="234">
        <f>G17/G64</f>
        <v>1.5472640161328764E-2</v>
      </c>
      <c r="I17" s="235">
        <f t="shared" si="1"/>
        <v>1454.190547017022</v>
      </c>
    </row>
    <row r="18" spans="1:9" s="221" customFormat="1">
      <c r="A18" s="37" t="s">
        <v>10</v>
      </c>
      <c r="B18" s="237">
        <f>VLOOKUP(A18,[8]進出口值表查詢結果!$A$10:$C$40,3,0)</f>
        <v>817</v>
      </c>
      <c r="C18" s="237">
        <f>VLOOKUP(A18,[8]進出口值表查詢結果!$A$10:$C$40,2,0)</f>
        <v>1576617</v>
      </c>
      <c r="D18" s="233">
        <f t="shared" si="0"/>
        <v>1929.7637698898409</v>
      </c>
      <c r="E18" s="238">
        <f>VLOOKUP(A18,[9]進出口值表查詢結果!$A$10:$C$65,3,0)</f>
        <v>7162</v>
      </c>
      <c r="F18" s="234">
        <f>E18/E64</f>
        <v>2.344806361948789E-2</v>
      </c>
      <c r="G18" s="506">
        <f>VLOOKUP(A18,[9]進出口值表查詢結果!$A$10:$C$65,2,0)</f>
        <v>15637067</v>
      </c>
      <c r="H18" s="234">
        <f>G18/G64</f>
        <v>2.7496109735640394E-2</v>
      </c>
      <c r="I18" s="235">
        <f t="shared" si="1"/>
        <v>2183.3380340686958</v>
      </c>
    </row>
    <row r="19" spans="1:9" s="221" customFormat="1">
      <c r="A19" s="37" t="s">
        <v>11</v>
      </c>
      <c r="B19" s="237">
        <v>0</v>
      </c>
      <c r="C19" s="237">
        <v>0</v>
      </c>
      <c r="D19" s="233">
        <f t="shared" si="0"/>
        <v>0</v>
      </c>
      <c r="E19" s="238">
        <f>VLOOKUP(A19,[9]進出口值表查詢結果!$A$10:$C$65,3,0)</f>
        <v>1173</v>
      </c>
      <c r="F19" s="234">
        <f>E19/E64</f>
        <v>3.8403488726136961E-3</v>
      </c>
      <c r="G19" s="506">
        <f>VLOOKUP(A19,[9]進出口值表查詢結果!$A$10:$C$65,2,0)</f>
        <v>3023253</v>
      </c>
      <c r="H19" s="234">
        <f>G19/G64</f>
        <v>5.3160670250120452E-3</v>
      </c>
      <c r="I19" s="235">
        <f t="shared" si="1"/>
        <v>2577.3682864450129</v>
      </c>
    </row>
    <row r="20" spans="1:9" s="221" customFormat="1">
      <c r="A20" s="236" t="s">
        <v>249</v>
      </c>
      <c r="B20" s="237">
        <f>VLOOKUP(A20,[8]進出口值表查詢結果!$A$10:$C$40,3,0)</f>
        <v>239</v>
      </c>
      <c r="C20" s="237">
        <f>VLOOKUP(A20,[8]進出口值表查詢結果!$A$10:$C$40,2,0)</f>
        <v>503377</v>
      </c>
      <c r="D20" s="233">
        <f t="shared" si="0"/>
        <v>2106.1799163179917</v>
      </c>
      <c r="E20" s="238">
        <f>VLOOKUP(A20,[9]進出口值表查詢結果!$A$10:$C$65,3,0)</f>
        <v>2415</v>
      </c>
      <c r="F20" s="234">
        <f>E20/E64</f>
        <v>7.9066006200870214E-3</v>
      </c>
      <c r="G20" s="506">
        <f>VLOOKUP(A20,[9]進出口值表查詢結果!$A$10:$C$65,2,0)</f>
        <v>3994945</v>
      </c>
      <c r="H20" s="234">
        <f>G20/G64</f>
        <v>7.0246834721529247E-3</v>
      </c>
      <c r="I20" s="235">
        <f t="shared" si="1"/>
        <v>1654.2215320910973</v>
      </c>
    </row>
    <row r="21" spans="1:9" s="221" customFormat="1">
      <c r="A21" s="37" t="s">
        <v>12</v>
      </c>
      <c r="B21" s="237">
        <v>0</v>
      </c>
      <c r="C21" s="237">
        <v>0</v>
      </c>
      <c r="D21" s="233">
        <f t="shared" si="0"/>
        <v>0</v>
      </c>
      <c r="E21" s="238">
        <f>VLOOKUP(A21,[9]進出口值表查詢結果!$A$10:$C$65,3,0)</f>
        <v>12</v>
      </c>
      <c r="F21" s="234">
        <f>E21/E64</f>
        <v>3.9287456497326815E-5</v>
      </c>
      <c r="G21" s="506">
        <f>VLOOKUP(A21,[9]進出口值表查詢結果!$A$10:$C$65,2,0)</f>
        <v>9282</v>
      </c>
      <c r="H21" s="234">
        <f>G21/G64</f>
        <v>1.6321404171652789E-5</v>
      </c>
      <c r="I21" s="235">
        <f t="shared" si="1"/>
        <v>773.5</v>
      </c>
    </row>
    <row r="22" spans="1:9" s="221" customFormat="1">
      <c r="A22" s="236" t="s">
        <v>250</v>
      </c>
      <c r="B22" s="237">
        <v>0</v>
      </c>
      <c r="C22" s="237">
        <v>0</v>
      </c>
      <c r="D22" s="233">
        <f t="shared" si="0"/>
        <v>0</v>
      </c>
      <c r="E22" s="238">
        <v>0</v>
      </c>
      <c r="F22" s="234">
        <f>E22/E64</f>
        <v>0</v>
      </c>
      <c r="G22" s="506">
        <v>0</v>
      </c>
      <c r="H22" s="234">
        <f>G22/G64</f>
        <v>0</v>
      </c>
      <c r="I22" s="235">
        <f t="shared" si="1"/>
        <v>0</v>
      </c>
    </row>
    <row r="23" spans="1:9" s="221" customFormat="1">
      <c r="A23" s="37" t="s">
        <v>13</v>
      </c>
      <c r="B23" s="237">
        <v>0</v>
      </c>
      <c r="C23" s="237">
        <v>0</v>
      </c>
      <c r="D23" s="233">
        <f t="shared" si="0"/>
        <v>0</v>
      </c>
      <c r="E23" s="238">
        <f>VLOOKUP(A23,[9]進出口值表查詢結果!$A$10:$C$65,3,0)</f>
        <v>52</v>
      </c>
      <c r="F23" s="234">
        <f>E23/E64</f>
        <v>1.7024564482174954E-4</v>
      </c>
      <c r="G23" s="506">
        <f>VLOOKUP(A23,[9]進出口值表查詢結果!$A$10:$C$65,2,0)</f>
        <v>62350</v>
      </c>
      <c r="H23" s="234">
        <f>G23/G64</f>
        <v>1.0963580587185426E-4</v>
      </c>
      <c r="I23" s="235">
        <f t="shared" si="1"/>
        <v>1199.0384615384614</v>
      </c>
    </row>
    <row r="24" spans="1:9" s="221" customFormat="1">
      <c r="A24" s="37" t="s">
        <v>14</v>
      </c>
      <c r="B24" s="237">
        <v>0</v>
      </c>
      <c r="C24" s="237">
        <v>0</v>
      </c>
      <c r="D24" s="233">
        <f t="shared" si="0"/>
        <v>0</v>
      </c>
      <c r="E24" s="238">
        <v>0</v>
      </c>
      <c r="F24" s="234">
        <f>E24/E64</f>
        <v>0</v>
      </c>
      <c r="G24" s="506">
        <v>0</v>
      </c>
      <c r="H24" s="234">
        <f>G24/G64</f>
        <v>0</v>
      </c>
      <c r="I24" s="235">
        <f t="shared" si="1"/>
        <v>0</v>
      </c>
    </row>
    <row r="25" spans="1:9" s="221" customFormat="1">
      <c r="A25" s="37" t="s">
        <v>15</v>
      </c>
      <c r="B25" s="237">
        <v>0</v>
      </c>
      <c r="C25" s="237">
        <v>0</v>
      </c>
      <c r="D25" s="233">
        <f t="shared" si="0"/>
        <v>0</v>
      </c>
      <c r="E25" s="238">
        <f>VLOOKUP(A25,[9]進出口值表查詢結果!$A$10:$C$65,3,0)</f>
        <v>223</v>
      </c>
      <c r="F25" s="234">
        <f>E25/E64</f>
        <v>7.3009189990865669E-4</v>
      </c>
      <c r="G25" s="506">
        <f>VLOOKUP(A25,[9]進出口值表查詢結果!$A$10:$C$65,2,0)</f>
        <v>518810</v>
      </c>
      <c r="H25" s="234">
        <f>G25/G64</f>
        <v>9.1227189164998733E-4</v>
      </c>
      <c r="I25" s="235">
        <f t="shared" si="1"/>
        <v>2326.5022421524664</v>
      </c>
    </row>
    <row r="26" spans="1:9" s="221" customFormat="1">
      <c r="A26" s="236" t="s">
        <v>253</v>
      </c>
      <c r="B26" s="237">
        <v>0</v>
      </c>
      <c r="C26" s="237">
        <v>0</v>
      </c>
      <c r="D26" s="233">
        <f t="shared" si="0"/>
        <v>0</v>
      </c>
      <c r="E26" s="238">
        <f>VLOOKUP(A26,[9]進出口值表查詢結果!$A$10:$C$65,3,0)</f>
        <v>2580</v>
      </c>
      <c r="F26" s="234">
        <f>E26/E64</f>
        <v>8.4468031469252646E-3</v>
      </c>
      <c r="G26" s="506">
        <f>VLOOKUP(A26,[9]進出口值表查詢結果!$A$10:$C$65,2,0)</f>
        <v>1038824</v>
      </c>
      <c r="H26" s="234">
        <f>G26/G64</f>
        <v>1.8266608885168106E-3</v>
      </c>
      <c r="I26" s="235">
        <f t="shared" si="1"/>
        <v>402.64496124031007</v>
      </c>
    </row>
    <row r="27" spans="1:9" s="221" customFormat="1">
      <c r="A27" s="236" t="s">
        <v>255</v>
      </c>
      <c r="B27" s="237">
        <f>VLOOKUP(A27,[8]進出口值表查詢結果!$A$10:$C$40,3,0)</f>
        <v>16</v>
      </c>
      <c r="C27" s="237">
        <f>VLOOKUP(A27,[8]進出口值表查詢結果!$A$10:$C$40,2,0)</f>
        <v>31885</v>
      </c>
      <c r="D27" s="233">
        <f t="shared" si="0"/>
        <v>1992.8125</v>
      </c>
      <c r="E27" s="238">
        <f>VLOOKUP(A27,[9]進出口值表查詢結果!$A$10:$C$65,3,0)</f>
        <v>421</v>
      </c>
      <c r="F27" s="234">
        <f>E27/E64</f>
        <v>1.3783349321145491E-3</v>
      </c>
      <c r="G27" s="506">
        <f>VLOOKUP(A27,[9]進出口值表查詢結果!$A$10:$C$65,2,0)</f>
        <v>633468</v>
      </c>
      <c r="H27" s="234">
        <f>G27/G64</f>
        <v>1.1138857205137416E-3</v>
      </c>
      <c r="I27" s="235">
        <f t="shared" si="1"/>
        <v>1504.6745843230403</v>
      </c>
    </row>
    <row r="28" spans="1:9" s="221" customFormat="1">
      <c r="A28" s="244" t="s">
        <v>256</v>
      </c>
      <c r="B28" s="237">
        <f>VLOOKUP(A28,[8]進出口值表查詢結果!$A$10:$C$40,3,0)</f>
        <v>84</v>
      </c>
      <c r="C28" s="237">
        <f>VLOOKUP(A28,[8]進出口值表查詢結果!$A$10:$C$40,2,0)</f>
        <v>172460</v>
      </c>
      <c r="D28" s="233">
        <f t="shared" si="0"/>
        <v>2053.0952380952381</v>
      </c>
      <c r="E28" s="238">
        <f>VLOOKUP(A28,[9]進出口值表查詢結果!$A$10:$C$65,3,0)</f>
        <v>794</v>
      </c>
      <c r="F28" s="234">
        <f>E28/E64</f>
        <v>2.5995200382397908E-3</v>
      </c>
      <c r="G28" s="506">
        <f>VLOOKUP(A28,[9]進出口值表查詢結果!$A$10:$C$65,2,0)</f>
        <v>1597021</v>
      </c>
      <c r="H28" s="234">
        <f>G28/G64</f>
        <v>2.8081906067245321E-3</v>
      </c>
      <c r="I28" s="235">
        <f t="shared" si="1"/>
        <v>2011.3614609571789</v>
      </c>
    </row>
    <row r="29" spans="1:9" s="221" customFormat="1">
      <c r="A29" s="244" t="s">
        <v>257</v>
      </c>
      <c r="B29" s="237">
        <f>VLOOKUP(A29,[8]進出口值表查詢結果!$A$10:$C$40,3,0)</f>
        <v>22</v>
      </c>
      <c r="C29" s="237">
        <f>VLOOKUP(A29,[8]進出口值表查詢結果!$A$10:$C$40,2,0)</f>
        <v>61957</v>
      </c>
      <c r="D29" s="233">
        <f t="shared" si="0"/>
        <v>2816.2272727272725</v>
      </c>
      <c r="E29" s="238">
        <f>VLOOKUP(A29,[9]進出口值表查詢結果!$A$10:$C$65,3,0)</f>
        <v>1466</v>
      </c>
      <c r="F29" s="234">
        <f>E29/E64</f>
        <v>4.799617602090093E-3</v>
      </c>
      <c r="G29" s="506">
        <f>VLOOKUP(A29,[9]進出口值表查詢結果!$A$10:$C$65,2,0)</f>
        <v>1453864</v>
      </c>
      <c r="H29" s="234">
        <f>G29/G64</f>
        <v>2.5564643346925025E-3</v>
      </c>
      <c r="I29" s="235">
        <f t="shared" si="1"/>
        <v>991.72169167803543</v>
      </c>
    </row>
    <row r="30" spans="1:9" s="221" customFormat="1">
      <c r="A30" s="244" t="s">
        <v>258</v>
      </c>
      <c r="B30" s="237">
        <v>0</v>
      </c>
      <c r="C30" s="237">
        <v>0</v>
      </c>
      <c r="D30" s="233">
        <f t="shared" si="0"/>
        <v>0</v>
      </c>
      <c r="E30" s="238">
        <f>VLOOKUP(A30,[9]進出口值表查詢結果!$A$10:$C$65,3,0)</f>
        <v>195</v>
      </c>
      <c r="F30" s="234">
        <f>E30/E64</f>
        <v>6.3842116808156073E-4</v>
      </c>
      <c r="G30" s="506">
        <f>VLOOKUP(A30,[9]進出口值表查詢結果!$A$10:$C$65,2,0)</f>
        <v>379576</v>
      </c>
      <c r="H30" s="234">
        <f>G30/G64</f>
        <v>6.6744379550304656E-4</v>
      </c>
      <c r="I30" s="235">
        <f t="shared" si="1"/>
        <v>1946.5435897435898</v>
      </c>
    </row>
    <row r="31" spans="1:9" s="221" customFormat="1">
      <c r="A31" s="244" t="s">
        <v>259</v>
      </c>
      <c r="B31" s="237">
        <v>0</v>
      </c>
      <c r="C31" s="237">
        <v>0</v>
      </c>
      <c r="D31" s="233">
        <f t="shared" si="0"/>
        <v>0</v>
      </c>
      <c r="E31" s="238">
        <v>0</v>
      </c>
      <c r="F31" s="234">
        <f>E31/E64</f>
        <v>0</v>
      </c>
      <c r="G31" s="506">
        <v>0</v>
      </c>
      <c r="H31" s="234">
        <f>G31/G64</f>
        <v>0</v>
      </c>
      <c r="I31" s="235">
        <f t="shared" si="1"/>
        <v>0</v>
      </c>
    </row>
    <row r="32" spans="1:9" s="221" customFormat="1">
      <c r="A32" s="30" t="s">
        <v>261</v>
      </c>
      <c r="B32" s="237">
        <v>0</v>
      </c>
      <c r="C32" s="237">
        <v>0</v>
      </c>
      <c r="D32" s="233">
        <f t="shared" si="0"/>
        <v>0</v>
      </c>
      <c r="E32" s="238">
        <v>0</v>
      </c>
      <c r="F32" s="234">
        <f>E32/E64</f>
        <v>0</v>
      </c>
      <c r="G32" s="506">
        <v>0</v>
      </c>
      <c r="H32" s="234">
        <f>G32/G64</f>
        <v>0</v>
      </c>
      <c r="I32" s="235">
        <f t="shared" si="1"/>
        <v>0</v>
      </c>
    </row>
    <row r="33" spans="1:9" s="221" customFormat="1">
      <c r="A33" s="244" t="s">
        <v>263</v>
      </c>
      <c r="B33" s="237">
        <v>0</v>
      </c>
      <c r="C33" s="237">
        <v>0</v>
      </c>
      <c r="D33" s="233">
        <f t="shared" si="0"/>
        <v>0</v>
      </c>
      <c r="E33" s="238">
        <v>0</v>
      </c>
      <c r="F33" s="234">
        <f>E33/E64</f>
        <v>0</v>
      </c>
      <c r="G33" s="506">
        <v>0</v>
      </c>
      <c r="H33" s="234">
        <f>G33/G64</f>
        <v>0</v>
      </c>
      <c r="I33" s="235">
        <f t="shared" si="1"/>
        <v>0</v>
      </c>
    </row>
    <row r="34" spans="1:9" s="221" customFormat="1">
      <c r="A34" s="244" t="s">
        <v>264</v>
      </c>
      <c r="B34" s="237">
        <v>0</v>
      </c>
      <c r="C34" s="237">
        <v>0</v>
      </c>
      <c r="D34" s="233">
        <f t="shared" si="0"/>
        <v>0</v>
      </c>
      <c r="E34" s="238">
        <v>0</v>
      </c>
      <c r="F34" s="234">
        <f>E34/E64</f>
        <v>0</v>
      </c>
      <c r="G34" s="506">
        <v>0</v>
      </c>
      <c r="H34" s="234">
        <f>G34/G64</f>
        <v>0</v>
      </c>
      <c r="I34" s="235">
        <f t="shared" si="1"/>
        <v>0</v>
      </c>
    </row>
    <row r="35" spans="1:9" s="221" customFormat="1">
      <c r="A35" s="245" t="s">
        <v>382</v>
      </c>
      <c r="B35" s="237">
        <v>0</v>
      </c>
      <c r="C35" s="237">
        <v>0</v>
      </c>
      <c r="D35" s="233">
        <f t="shared" si="0"/>
        <v>0</v>
      </c>
      <c r="E35" s="238">
        <v>0</v>
      </c>
      <c r="F35" s="234">
        <f>E35/E64</f>
        <v>0</v>
      </c>
      <c r="G35" s="506">
        <v>0</v>
      </c>
      <c r="H35" s="234">
        <f>G35/G64</f>
        <v>0</v>
      </c>
      <c r="I35" s="235">
        <f t="shared" si="1"/>
        <v>0</v>
      </c>
    </row>
    <row r="36" spans="1:9" s="221" customFormat="1">
      <c r="A36" s="244" t="s">
        <v>267</v>
      </c>
      <c r="B36" s="237">
        <v>0</v>
      </c>
      <c r="C36" s="237">
        <v>0</v>
      </c>
      <c r="D36" s="233">
        <f t="shared" si="0"/>
        <v>0</v>
      </c>
      <c r="E36" s="238">
        <v>0</v>
      </c>
      <c r="F36" s="234">
        <f>E36/E64</f>
        <v>0</v>
      </c>
      <c r="G36" s="506">
        <v>0</v>
      </c>
      <c r="H36" s="234">
        <f>G36/G64</f>
        <v>0</v>
      </c>
      <c r="I36" s="235">
        <f t="shared" si="1"/>
        <v>0</v>
      </c>
    </row>
    <row r="37" spans="1:9" s="221" customFormat="1">
      <c r="A37" s="244" t="s">
        <v>383</v>
      </c>
      <c r="B37" s="237">
        <v>0</v>
      </c>
      <c r="C37" s="237">
        <v>0</v>
      </c>
      <c r="D37" s="233">
        <f t="shared" si="0"/>
        <v>0</v>
      </c>
      <c r="E37" s="238">
        <v>0</v>
      </c>
      <c r="F37" s="234">
        <f>E37/E64</f>
        <v>0</v>
      </c>
      <c r="G37" s="506">
        <v>0</v>
      </c>
      <c r="H37" s="234">
        <f>G37/G64</f>
        <v>0</v>
      </c>
      <c r="I37" s="235">
        <f t="shared" si="1"/>
        <v>0</v>
      </c>
    </row>
    <row r="38" spans="1:9" s="221" customFormat="1">
      <c r="A38" s="244" t="s">
        <v>269</v>
      </c>
      <c r="B38" s="237">
        <v>0</v>
      </c>
      <c r="C38" s="237">
        <v>0</v>
      </c>
      <c r="D38" s="233">
        <f t="shared" si="0"/>
        <v>0</v>
      </c>
      <c r="E38" s="238">
        <v>0</v>
      </c>
      <c r="F38" s="234">
        <f>E38/E64</f>
        <v>0</v>
      </c>
      <c r="G38" s="506">
        <v>0</v>
      </c>
      <c r="H38" s="234">
        <f>G38/G64</f>
        <v>0</v>
      </c>
      <c r="I38" s="235">
        <f t="shared" si="1"/>
        <v>0</v>
      </c>
    </row>
    <row r="39" spans="1:9" s="221" customFormat="1">
      <c r="A39" s="244" t="s">
        <v>270</v>
      </c>
      <c r="B39" s="237">
        <v>0</v>
      </c>
      <c r="C39" s="237">
        <v>0</v>
      </c>
      <c r="D39" s="233">
        <f t="shared" si="0"/>
        <v>0</v>
      </c>
      <c r="E39" s="238">
        <f>VLOOKUP(A39,[9]進出口值表查詢結果!$A$10:$C$65,3,0)</f>
        <v>7160</v>
      </c>
      <c r="F39" s="234">
        <f>E39/E64</f>
        <v>2.3441515710071668E-2</v>
      </c>
      <c r="G39" s="506">
        <f>VLOOKUP(A39,[9]進出口值表查詢結果!$A$10:$C$65,2,0)</f>
        <v>14138506</v>
      </c>
      <c r="H39" s="234">
        <f>G39/G64</f>
        <v>2.4861050507362419E-2</v>
      </c>
      <c r="I39" s="235">
        <f t="shared" si="1"/>
        <v>1974.6516759776537</v>
      </c>
    </row>
    <row r="40" spans="1:9" s="221" customFormat="1">
      <c r="A40" s="30" t="s">
        <v>271</v>
      </c>
      <c r="B40" s="237">
        <v>0</v>
      </c>
      <c r="C40" s="237">
        <v>0</v>
      </c>
      <c r="D40" s="233">
        <f t="shared" si="0"/>
        <v>0</v>
      </c>
      <c r="E40" s="238">
        <v>0</v>
      </c>
      <c r="F40" s="234">
        <f>E40/E64</f>
        <v>0</v>
      </c>
      <c r="G40" s="506">
        <v>0</v>
      </c>
      <c r="H40" s="234">
        <f>G40/G64</f>
        <v>0</v>
      </c>
      <c r="I40" s="235">
        <f t="shared" si="1"/>
        <v>0</v>
      </c>
    </row>
    <row r="41" spans="1:9" s="221" customFormat="1">
      <c r="A41" s="30"/>
      <c r="B41" s="34"/>
      <c r="C41" s="35"/>
      <c r="D41" s="233"/>
      <c r="E41" s="239"/>
      <c r="F41" s="240"/>
      <c r="G41" s="239"/>
      <c r="H41" s="240"/>
      <c r="I41" s="235"/>
    </row>
    <row r="42" spans="1:9" s="221" customFormat="1">
      <c r="A42" s="243" t="s">
        <v>19</v>
      </c>
      <c r="B42" s="242">
        <f>SUM(B43:B46)</f>
        <v>1627</v>
      </c>
      <c r="C42" s="242">
        <f>SUM(C43:C46)</f>
        <v>3553548</v>
      </c>
      <c r="D42" s="233">
        <f t="shared" si="0"/>
        <v>2184.1106330669945</v>
      </c>
      <c r="E42" s="242">
        <f>SUM(E43:E46)</f>
        <v>13138</v>
      </c>
      <c r="F42" s="234">
        <f>E42/E64</f>
        <v>4.3013216955156641E-2</v>
      </c>
      <c r="G42" s="242">
        <f>SUM(G43:G46)</f>
        <v>28465934</v>
      </c>
      <c r="H42" s="234">
        <f>G42/G64</f>
        <v>5.0054300144106112E-2</v>
      </c>
      <c r="I42" s="235">
        <f t="shared" si="1"/>
        <v>2166.6870147663267</v>
      </c>
    </row>
    <row r="43" spans="1:9" s="221" customFormat="1">
      <c r="A43" s="236" t="s">
        <v>180</v>
      </c>
      <c r="B43" s="237">
        <f>VLOOKUP(A43,[8]進出口值表查詢結果!$A$10:$C$40,3,0)</f>
        <v>1549</v>
      </c>
      <c r="C43" s="237">
        <f>VLOOKUP(A43,[8]進出口值表查詢結果!$A$10:$C$40,2,0)</f>
        <v>3390778</v>
      </c>
      <c r="D43" s="233">
        <f t="shared" si="0"/>
        <v>2189.0109748224663</v>
      </c>
      <c r="E43" s="238">
        <f>VLOOKUP(A43,[9]進出口值表查詢結果!$A$10:$C$65,3,0)</f>
        <v>8976</v>
      </c>
      <c r="F43" s="234">
        <f>E43/E64</f>
        <v>2.9387017460000459E-2</v>
      </c>
      <c r="G43" s="506">
        <f>VLOOKUP(A43,[9]進出口值表查詢結果!$A$10:$C$65,2,0)</f>
        <v>20988518</v>
      </c>
      <c r="H43" s="234">
        <f>G43/G64</f>
        <v>3.6906063913166302E-2</v>
      </c>
      <c r="I43" s="235">
        <f t="shared" si="1"/>
        <v>2338.2930035650625</v>
      </c>
    </row>
    <row r="44" spans="1:9" s="221" customFormat="1">
      <c r="A44" s="236" t="s">
        <v>273</v>
      </c>
      <c r="B44" s="237">
        <f>VLOOKUP(A44,[8]進出口值表查詢結果!$A$10:$C$40,3,0)</f>
        <v>78</v>
      </c>
      <c r="C44" s="237">
        <f>VLOOKUP(A44,[8]進出口值表查詢結果!$A$10:$C$40,2,0)</f>
        <v>162770</v>
      </c>
      <c r="D44" s="233">
        <f t="shared" si="0"/>
        <v>2086.7948717948716</v>
      </c>
      <c r="E44" s="238">
        <f>VLOOKUP(A44,[9]進出口值表查詢結果!$A$10:$C$65,3,0)</f>
        <v>4117</v>
      </c>
      <c r="F44" s="234">
        <f>E44/E64</f>
        <v>1.3478871533291208E-2</v>
      </c>
      <c r="G44" s="506">
        <f>VLOOKUP(A44,[9]進出口值表查詢結果!$A$10:$C$65,2,0)</f>
        <v>7367566</v>
      </c>
      <c r="H44" s="234">
        <f>G44/G64</f>
        <v>1.29550767557991E-2</v>
      </c>
      <c r="I44" s="235">
        <f t="shared" si="1"/>
        <v>1789.5472431382075</v>
      </c>
    </row>
    <row r="45" spans="1:9" s="221" customFormat="1">
      <c r="A45" s="236" t="s">
        <v>274</v>
      </c>
      <c r="B45" s="237">
        <v>0</v>
      </c>
      <c r="C45" s="237">
        <v>0</v>
      </c>
      <c r="D45" s="233">
        <f t="shared" si="0"/>
        <v>0</v>
      </c>
      <c r="E45" s="238">
        <f>VLOOKUP(A45,[9]進出口值表查詢結果!$A$10:$C$65,3,0)</f>
        <v>45</v>
      </c>
      <c r="F45" s="234">
        <f>E45/E64</f>
        <v>1.4732796186497555E-4</v>
      </c>
      <c r="G45" s="506">
        <f>VLOOKUP(A45,[9]進出口值表查詢結果!$A$10:$C$65,2,0)</f>
        <v>109850</v>
      </c>
      <c r="H45" s="234">
        <f>G45/G64</f>
        <v>1.9315947514070877E-4</v>
      </c>
      <c r="I45" s="235">
        <f t="shared" si="1"/>
        <v>2441.1111111111113</v>
      </c>
    </row>
    <row r="46" spans="1:9" s="221" customFormat="1">
      <c r="A46" s="37" t="s">
        <v>20</v>
      </c>
      <c r="B46" s="237">
        <v>0</v>
      </c>
      <c r="C46" s="237">
        <v>0</v>
      </c>
      <c r="D46" s="233">
        <f t="shared" si="0"/>
        <v>0</v>
      </c>
      <c r="E46" s="238">
        <v>0</v>
      </c>
      <c r="F46" s="234">
        <f>E46/E64</f>
        <v>0</v>
      </c>
      <c r="G46" s="506">
        <v>0</v>
      </c>
      <c r="H46" s="234">
        <f>G46/G64</f>
        <v>0</v>
      </c>
      <c r="I46" s="235">
        <f t="shared" si="1"/>
        <v>0</v>
      </c>
    </row>
    <row r="47" spans="1:9" s="221" customFormat="1">
      <c r="A47" s="37"/>
      <c r="B47" s="237"/>
      <c r="C47" s="35"/>
      <c r="D47" s="233"/>
      <c r="E47" s="239"/>
      <c r="F47" s="240"/>
      <c r="G47" s="239"/>
      <c r="H47" s="240"/>
      <c r="I47" s="235"/>
    </row>
    <row r="48" spans="1:9" s="221" customFormat="1">
      <c r="A48" s="243" t="s">
        <v>21</v>
      </c>
      <c r="B48" s="242">
        <f>SUM(B49:B62)</f>
        <v>2835</v>
      </c>
      <c r="C48" s="242">
        <f>SUM(C49:C62)</f>
        <v>5411569</v>
      </c>
      <c r="D48" s="233">
        <f t="shared" si="0"/>
        <v>1908.842680776014</v>
      </c>
      <c r="E48" s="242">
        <f>SUM(E49:E62)</f>
        <v>34283</v>
      </c>
      <c r="F48" s="234">
        <f>E48/E64</f>
        <v>0.11224098925815461</v>
      </c>
      <c r="G48" s="242">
        <f>SUM(G49:G62)</f>
        <v>63458976</v>
      </c>
      <c r="H48" s="234">
        <f>G48/G64</f>
        <v>0.11158582154871947</v>
      </c>
      <c r="I48" s="235">
        <f t="shared" si="1"/>
        <v>1851.0333401394278</v>
      </c>
    </row>
    <row r="49" spans="1:9" s="221" customFormat="1">
      <c r="A49" s="243" t="s">
        <v>159</v>
      </c>
      <c r="B49" s="237">
        <f>VLOOKUP(A49,[8]進出口值表查詢結果!$A$10:$C$40,3,0)</f>
        <v>1054</v>
      </c>
      <c r="C49" s="237">
        <f>VLOOKUP(A49,[8]進出口值表查詢結果!$A$10:$C$40,2,0)</f>
        <v>2057236</v>
      </c>
      <c r="D49" s="233">
        <f t="shared" si="0"/>
        <v>1951.8368121442124</v>
      </c>
      <c r="E49" s="238">
        <f>VLOOKUP(A49,[9]進出口值表查詢結果!$A$10:$C$65,3,0)</f>
        <v>17291</v>
      </c>
      <c r="F49" s="234">
        <f>E49/E64</f>
        <v>5.6609950857939829E-2</v>
      </c>
      <c r="G49" s="506">
        <f>VLOOKUP(A49,[9]進出口值表查詢結果!$A$10:$C$65,2,0)</f>
        <v>27867355</v>
      </c>
      <c r="H49" s="234">
        <f>G49/G64</f>
        <v>4.9001762998268604E-2</v>
      </c>
      <c r="I49" s="235">
        <f t="shared" si="1"/>
        <v>1611.6682088948007</v>
      </c>
    </row>
    <row r="50" spans="1:9" s="221" customFormat="1">
      <c r="A50" s="236" t="s">
        <v>384</v>
      </c>
      <c r="B50" s="237">
        <f>VLOOKUP(A50,[8]進出口值表查詢結果!$A$10:$C$40,3,0)</f>
        <v>185</v>
      </c>
      <c r="C50" s="237">
        <f>VLOOKUP(A50,[8]進出口值表查詢結果!$A$10:$C$40,2,0)</f>
        <v>164021</v>
      </c>
      <c r="D50" s="233">
        <f t="shared" si="0"/>
        <v>886.6</v>
      </c>
      <c r="E50" s="238">
        <f>VLOOKUP(A50,[9]進出口值表查詢結果!$A$10:$C$65,3,0)</f>
        <v>2937</v>
      </c>
      <c r="F50" s="234">
        <f>E50/E64</f>
        <v>9.6156049777207375E-3</v>
      </c>
      <c r="G50" s="506">
        <f>VLOOKUP(A50,[9]進出口值表查詢結果!$A$10:$C$65,2,0)</f>
        <v>3474199</v>
      </c>
      <c r="H50" s="234">
        <f>G50/G64</f>
        <v>6.1090073315828424E-3</v>
      </c>
      <c r="I50" s="235">
        <f t="shared" si="1"/>
        <v>1182.9073884916581</v>
      </c>
    </row>
    <row r="51" spans="1:9" s="221" customFormat="1">
      <c r="A51" s="236" t="s">
        <v>385</v>
      </c>
      <c r="B51" s="237">
        <v>0</v>
      </c>
      <c r="C51" s="237">
        <v>0</v>
      </c>
      <c r="D51" s="233">
        <f t="shared" si="0"/>
        <v>0</v>
      </c>
      <c r="E51" s="238">
        <v>0</v>
      </c>
      <c r="F51" s="234">
        <f>E51/E64</f>
        <v>0</v>
      </c>
      <c r="G51" s="506">
        <v>0</v>
      </c>
      <c r="H51" s="234">
        <f>G51/G64</f>
        <v>0</v>
      </c>
      <c r="I51" s="235">
        <f t="shared" si="1"/>
        <v>0</v>
      </c>
    </row>
    <row r="52" spans="1:9" s="221" customFormat="1">
      <c r="A52" s="236" t="s">
        <v>297</v>
      </c>
      <c r="B52" s="237">
        <v>0</v>
      </c>
      <c r="C52" s="237">
        <v>0</v>
      </c>
      <c r="D52" s="233">
        <f t="shared" si="0"/>
        <v>0</v>
      </c>
      <c r="E52" s="238">
        <f>VLOOKUP(A52,[9]進出口值表查詢結果!$A$10:$C$65,3,0)</f>
        <v>30</v>
      </c>
      <c r="F52" s="234">
        <f>E52/E64</f>
        <v>9.8218641243317045E-5</v>
      </c>
      <c r="G52" s="506">
        <f>VLOOKUP(A52,[9]進出口值表查詢結果!$A$10:$C$65,2,0)</f>
        <v>66933</v>
      </c>
      <c r="H52" s="234">
        <f>G52/G64</f>
        <v>1.176945211615208E-4</v>
      </c>
      <c r="I52" s="235">
        <f t="shared" si="1"/>
        <v>2231.1</v>
      </c>
    </row>
    <row r="53" spans="1:9" s="221" customFormat="1">
      <c r="A53" s="37" t="s">
        <v>22</v>
      </c>
      <c r="B53" s="237">
        <v>0</v>
      </c>
      <c r="C53" s="237">
        <v>0</v>
      </c>
      <c r="D53" s="233">
        <f t="shared" si="0"/>
        <v>0</v>
      </c>
      <c r="E53" s="238">
        <f>VLOOKUP(A53,[9]進出口值表查詢結果!$A$10:$C$65,3,0)</f>
        <v>10</v>
      </c>
      <c r="F53" s="234">
        <f>E53/E64</f>
        <v>3.2739547081105677E-5</v>
      </c>
      <c r="G53" s="506">
        <f>VLOOKUP(A53,[9]進出口值表查詢結果!$A$10:$C$65,2,0)</f>
        <v>26511</v>
      </c>
      <c r="H53" s="234">
        <f>G53/G64</f>
        <v>4.6616757810244246E-5</v>
      </c>
      <c r="I53" s="235">
        <f t="shared" si="1"/>
        <v>2651.1</v>
      </c>
    </row>
    <row r="54" spans="1:9" s="221" customFormat="1">
      <c r="A54" s="236" t="s">
        <v>303</v>
      </c>
      <c r="B54" s="237">
        <f>VLOOKUP(A54,[8]進出口值表查詢結果!$A$10:$C$40,3,0)</f>
        <v>30</v>
      </c>
      <c r="C54" s="237">
        <f>VLOOKUP(A54,[8]進出口值表查詢結果!$A$10:$C$40,2,0)</f>
        <v>53829</v>
      </c>
      <c r="D54" s="233">
        <f t="shared" si="0"/>
        <v>1794.3</v>
      </c>
      <c r="E54" s="238">
        <f>VLOOKUP(A54,[9]進出口值表查詢結果!$A$10:$C$65,3,0)</f>
        <v>151</v>
      </c>
      <c r="F54" s="234">
        <f>E54/E64</f>
        <v>4.9436716092469577E-4</v>
      </c>
      <c r="G54" s="506">
        <f>VLOOKUP(A54,[9]進出口值表查詢結果!$A$10:$C$65,2,0)</f>
        <v>378753</v>
      </c>
      <c r="H54" s="234">
        <f>G54/G64</f>
        <v>6.6599663803339887E-4</v>
      </c>
      <c r="I54" s="235">
        <f t="shared" si="1"/>
        <v>2508.298013245033</v>
      </c>
    </row>
    <row r="55" spans="1:9" s="221" customFormat="1">
      <c r="A55" s="26" t="s">
        <v>386</v>
      </c>
      <c r="B55" s="237">
        <f>VLOOKUP(A55,[8]進出口值表查詢結果!$A$10:$C$40,3,0)</f>
        <v>780</v>
      </c>
      <c r="C55" s="237">
        <f>VLOOKUP(A55,[8]進出口值表查詢結果!$A$10:$C$40,2,0)</f>
        <v>1572898</v>
      </c>
      <c r="D55" s="233">
        <f t="shared" si="0"/>
        <v>2016.5358974358974</v>
      </c>
      <c r="E55" s="238">
        <f>VLOOKUP(A55,[9]進出口值表查詢結果!$A$10:$C$65,3,0)</f>
        <v>5608</v>
      </c>
      <c r="F55" s="234">
        <f>E55/E64</f>
        <v>1.8360338003084065E-2</v>
      </c>
      <c r="G55" s="506">
        <f>VLOOKUP(A55,[9]進出口值表查詢結果!$A$10:$C$65,2,0)</f>
        <v>12398131</v>
      </c>
      <c r="H55" s="234">
        <f>G55/G64</f>
        <v>2.1800787225177521E-2</v>
      </c>
      <c r="I55" s="235">
        <f t="shared" si="1"/>
        <v>2210.7936875891583</v>
      </c>
    </row>
    <row r="56" spans="1:9" s="221" customFormat="1">
      <c r="A56" s="37" t="s">
        <v>23</v>
      </c>
      <c r="B56" s="237">
        <v>0</v>
      </c>
      <c r="C56" s="237">
        <v>0</v>
      </c>
      <c r="D56" s="233">
        <f t="shared" si="0"/>
        <v>0</v>
      </c>
      <c r="E56" s="238">
        <f>VLOOKUP(A56,[9]進出口值表查詢結果!$A$10:$C$65,3,0)</f>
        <v>349</v>
      </c>
      <c r="F56" s="234">
        <f>E56/E64</f>
        <v>1.1426101931305882E-3</v>
      </c>
      <c r="G56" s="506">
        <f>VLOOKUP(A56,[9]進出口值表查詢結果!$A$10:$C$65,2,0)</f>
        <v>965629</v>
      </c>
      <c r="H56" s="234">
        <f>G56/G64</f>
        <v>1.6979553101560988E-3</v>
      </c>
      <c r="I56" s="235">
        <f t="shared" si="1"/>
        <v>2766.8452722063039</v>
      </c>
    </row>
    <row r="57" spans="1:9" s="221" customFormat="1">
      <c r="A57" s="37" t="s">
        <v>239</v>
      </c>
      <c r="B57" s="237">
        <v>0</v>
      </c>
      <c r="C57" s="237">
        <v>0</v>
      </c>
      <c r="D57" s="233">
        <f t="shared" si="0"/>
        <v>0</v>
      </c>
      <c r="E57" s="238">
        <f>VLOOKUP(A57,[9]進出口值表查詢結果!$A$10:$C$65,3,0)</f>
        <v>171</v>
      </c>
      <c r="F57" s="234">
        <f>E57/E64</f>
        <v>5.5984625508690713E-4</v>
      </c>
      <c r="G57" s="506">
        <f>VLOOKUP(A57,[9]進出口值表查詢結果!$A$10:$C$65,2,0)</f>
        <v>518624</v>
      </c>
      <c r="H57" s="234">
        <f>G57/G64</f>
        <v>9.1194483054506093E-4</v>
      </c>
      <c r="I57" s="235">
        <f t="shared" si="1"/>
        <v>3032.8888888888887</v>
      </c>
    </row>
    <row r="58" spans="1:9" s="221" customFormat="1">
      <c r="A58" s="37" t="s">
        <v>232</v>
      </c>
      <c r="B58" s="237">
        <f>VLOOKUP(A58,[8]進出口值表查詢結果!$A$10:$C$40,3,0)</f>
        <v>72</v>
      </c>
      <c r="C58" s="237">
        <f>VLOOKUP(A58,[8]進出口值表查詢結果!$A$10:$C$40,2,0)</f>
        <v>143139</v>
      </c>
      <c r="D58" s="233">
        <f t="shared" si="0"/>
        <v>1988.0416666666667</v>
      </c>
      <c r="E58" s="238">
        <f>VLOOKUP(A58,[9]進出口值表查詢結果!$A$10:$C$65,3,0)</f>
        <v>3307</v>
      </c>
      <c r="F58" s="234">
        <f>E58/E64</f>
        <v>1.0826968219721648E-2</v>
      </c>
      <c r="G58" s="506">
        <f>VLOOKUP(A58,[9]進出口值表查詢結果!$A$10:$C$65,2,0)</f>
        <v>7051872</v>
      </c>
      <c r="H58" s="234">
        <f>G58/G64</f>
        <v>1.2399962624300957E-2</v>
      </c>
      <c r="I58" s="235">
        <f t="shared" si="1"/>
        <v>2132.4076201995767</v>
      </c>
    </row>
    <row r="59" spans="1:9" s="221" customFormat="1">
      <c r="A59" s="37" t="s">
        <v>277</v>
      </c>
      <c r="B59" s="237">
        <v>0</v>
      </c>
      <c r="C59" s="237">
        <v>0</v>
      </c>
      <c r="D59" s="233">
        <f t="shared" si="0"/>
        <v>0</v>
      </c>
      <c r="E59" s="238">
        <v>0</v>
      </c>
      <c r="F59" s="234">
        <f>E59/E64</f>
        <v>0</v>
      </c>
      <c r="G59" s="506">
        <v>0</v>
      </c>
      <c r="H59" s="234">
        <f>G59/G64</f>
        <v>0</v>
      </c>
      <c r="I59" s="235">
        <f t="shared" si="1"/>
        <v>0</v>
      </c>
    </row>
    <row r="60" spans="1:9" s="221" customFormat="1">
      <c r="A60" s="37" t="s">
        <v>282</v>
      </c>
      <c r="B60" s="237">
        <v>0</v>
      </c>
      <c r="C60" s="237">
        <v>0</v>
      </c>
      <c r="D60" s="233">
        <f t="shared" si="0"/>
        <v>0</v>
      </c>
      <c r="E60" s="238">
        <v>0</v>
      </c>
      <c r="F60" s="234">
        <f>E60/E64</f>
        <v>0</v>
      </c>
      <c r="G60" s="506">
        <v>0</v>
      </c>
      <c r="H60" s="234">
        <f>G60/G64</f>
        <v>0</v>
      </c>
      <c r="I60" s="235">
        <f t="shared" si="1"/>
        <v>0</v>
      </c>
    </row>
    <row r="61" spans="1:9" s="221" customFormat="1">
      <c r="A61" s="37" t="s">
        <v>288</v>
      </c>
      <c r="B61" s="237">
        <f>VLOOKUP(A61,[8]進出口值表查詢結果!$A$10:$C$40,3,0)</f>
        <v>676</v>
      </c>
      <c r="C61" s="237">
        <f>VLOOKUP(A61,[8]進出口值表查詢結果!$A$10:$C$40,2,0)</f>
        <v>1318664</v>
      </c>
      <c r="D61" s="233">
        <f t="shared" si="0"/>
        <v>1950.6863905325445</v>
      </c>
      <c r="E61" s="238">
        <f>VLOOKUP(A61,[9]進出口值表查詢結果!$A$10:$C$65,3,0)</f>
        <v>3040</v>
      </c>
      <c r="F61" s="234">
        <f>E61/E64</f>
        <v>9.9528223126561267E-3</v>
      </c>
      <c r="G61" s="506">
        <f>VLOOKUP(A61,[9]進出口值表查詢結果!$A$10:$C$65,2,0)</f>
        <v>7156611</v>
      </c>
      <c r="H61" s="234">
        <f>G61/G64</f>
        <v>1.2584134952628338E-2</v>
      </c>
      <c r="I61" s="235">
        <f t="shared" si="1"/>
        <v>2354.148355263158</v>
      </c>
    </row>
    <row r="62" spans="1:9" s="221" customFormat="1">
      <c r="A62" s="37" t="s">
        <v>336</v>
      </c>
      <c r="B62" s="237">
        <f>VLOOKUP(A62,[8]進出口值表查詢結果!$A$10:$C$40,3,0)</f>
        <v>38</v>
      </c>
      <c r="C62" s="237">
        <f>VLOOKUP(A62,[8]進出口值表查詢結果!$A$10:$C$40,2,0)</f>
        <v>101782</v>
      </c>
      <c r="D62" s="233">
        <f t="shared" si="0"/>
        <v>2678.4736842105262</v>
      </c>
      <c r="E62" s="238">
        <f>VLOOKUP(A62,[9]進出口值表查詢結果!$A$10:$C$65,3,0)</f>
        <v>1389</v>
      </c>
      <c r="F62" s="234">
        <f>E62/E64</f>
        <v>4.5475230895655793E-3</v>
      </c>
      <c r="G62" s="506">
        <f>VLOOKUP(A62,[9]進出口值表查詢結果!$A$10:$C$65,2,0)</f>
        <v>3554358</v>
      </c>
      <c r="H62" s="234">
        <f>G62/G64</f>
        <v>6.2499583590548873E-3</v>
      </c>
      <c r="I62" s="235">
        <f t="shared" si="1"/>
        <v>2558.9330453563716</v>
      </c>
    </row>
    <row r="63" spans="1:9" s="221" customFormat="1">
      <c r="A63" s="37" t="s">
        <v>29</v>
      </c>
      <c r="B63" s="34">
        <f>B64-B48-B42-B13-B8</f>
        <v>92</v>
      </c>
      <c r="C63" s="34">
        <f>C64-C48-C42-C13-C8</f>
        <v>223631</v>
      </c>
      <c r="D63" s="233">
        <f t="shared" si="0"/>
        <v>2430.771739130435</v>
      </c>
      <c r="E63" s="34">
        <f>E64-E48-E42-E13-E8</f>
        <v>2631</v>
      </c>
      <c r="F63" s="240">
        <f>E63/$E$64</f>
        <v>8.6137748370389046E-3</v>
      </c>
      <c r="G63" s="34">
        <f>G64-G48-G42-G13-G8</f>
        <v>6853155</v>
      </c>
      <c r="H63" s="240">
        <f>G63/$G$64</f>
        <v>1.2050540035119926E-2</v>
      </c>
      <c r="I63" s="235">
        <f t="shared" si="1"/>
        <v>2604.7719498289625</v>
      </c>
    </row>
    <row r="64" spans="1:9" s="221" customFormat="1">
      <c r="A64" s="241" t="s">
        <v>401</v>
      </c>
      <c r="B64" s="237">
        <f>VLOOKUP(A64,[8]進出口值表查詢結果!$A$10:$C$40,3,0)</f>
        <v>24487</v>
      </c>
      <c r="C64" s="237">
        <f>VLOOKUP(A64,[8]進出口值表查詢結果!$A$10:$C$40,2,0)</f>
        <v>48507216</v>
      </c>
      <c r="D64" s="480">
        <f t="shared" ref="D64" si="2">C64/B64</f>
        <v>1980.9374770286274</v>
      </c>
      <c r="E64" s="238">
        <f>VLOOKUP(A64,[9]進出口值表查詢結果!$A$10:$C$65,3,0)</f>
        <v>305441</v>
      </c>
      <c r="F64" s="481">
        <f>E64/$E$64</f>
        <v>1</v>
      </c>
      <c r="G64" s="506">
        <f>VLOOKUP(A64,[9]進出口值表查詢結果!$A$10:$C$65,2,0)</f>
        <v>568701069</v>
      </c>
      <c r="H64" s="234">
        <f>G64/$G$64</f>
        <v>1</v>
      </c>
      <c r="I64" s="235">
        <f>G64/E64</f>
        <v>1861.9015423600631</v>
      </c>
    </row>
    <row r="65" spans="1:9" s="221" customFormat="1" ht="6" customHeight="1">
      <c r="A65" s="246"/>
      <c r="B65" s="247"/>
      <c r="C65" s="248"/>
      <c r="D65" s="249"/>
      <c r="E65" s="250"/>
      <c r="F65" s="251"/>
      <c r="G65" s="248"/>
      <c r="H65" s="251"/>
      <c r="I65" s="252"/>
    </row>
    <row r="66" spans="1:9" s="221" customFormat="1" ht="15" customHeight="1">
      <c r="A66" s="253" t="s">
        <v>466</v>
      </c>
      <c r="B66" s="254"/>
      <c r="C66" s="254"/>
      <c r="D66" s="254"/>
    </row>
    <row r="67" spans="1:9" s="221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0" customWidth="1"/>
    <col min="2" max="2" width="12.125" style="260" customWidth="1"/>
    <col min="3" max="3" width="12.5" style="261" customWidth="1"/>
    <col min="4" max="4" width="13.75" style="262" customWidth="1"/>
    <col min="5" max="5" width="14.625" style="260" customWidth="1"/>
    <col min="6" max="6" width="15.125" style="261" customWidth="1"/>
    <col min="7" max="7" width="12.25" style="294" customWidth="1"/>
    <col min="8" max="8" width="12.5" style="260" customWidth="1"/>
    <col min="9" max="9" width="12.25" style="260" customWidth="1"/>
    <col min="10" max="10" width="11.625" style="260" customWidth="1"/>
    <col min="11" max="256" width="8.875" style="260"/>
    <col min="257" max="257" width="19.5" style="260" customWidth="1"/>
    <col min="258" max="259" width="12.125" style="260" customWidth="1"/>
    <col min="260" max="260" width="13.75" style="260" customWidth="1"/>
    <col min="261" max="261" width="14.625" style="260" customWidth="1"/>
    <col min="262" max="262" width="15.125" style="260" customWidth="1"/>
    <col min="263" max="263" width="12.25" style="260" customWidth="1"/>
    <col min="264" max="264" width="12.5" style="260" customWidth="1"/>
    <col min="265" max="265" width="12.25" style="260" customWidth="1"/>
    <col min="266" max="266" width="11.625" style="260" customWidth="1"/>
    <col min="267" max="512" width="8.875" style="260"/>
    <col min="513" max="513" width="19.5" style="260" customWidth="1"/>
    <col min="514" max="515" width="12.125" style="260" customWidth="1"/>
    <col min="516" max="516" width="13.75" style="260" customWidth="1"/>
    <col min="517" max="517" width="14.625" style="260" customWidth="1"/>
    <col min="518" max="518" width="15.125" style="260" customWidth="1"/>
    <col min="519" max="519" width="12.25" style="260" customWidth="1"/>
    <col min="520" max="520" width="12.5" style="260" customWidth="1"/>
    <col min="521" max="521" width="12.25" style="260" customWidth="1"/>
    <col min="522" max="522" width="11.625" style="260" customWidth="1"/>
    <col min="523" max="768" width="8.875" style="260"/>
    <col min="769" max="769" width="19.5" style="260" customWidth="1"/>
    <col min="770" max="771" width="12.125" style="260" customWidth="1"/>
    <col min="772" max="772" width="13.75" style="260" customWidth="1"/>
    <col min="773" max="773" width="14.625" style="260" customWidth="1"/>
    <col min="774" max="774" width="15.125" style="260" customWidth="1"/>
    <col min="775" max="775" width="12.25" style="260" customWidth="1"/>
    <col min="776" max="776" width="12.5" style="260" customWidth="1"/>
    <col min="777" max="777" width="12.25" style="260" customWidth="1"/>
    <col min="778" max="778" width="11.625" style="260" customWidth="1"/>
    <col min="779" max="1024" width="8.875" style="260"/>
    <col min="1025" max="1025" width="19.5" style="260" customWidth="1"/>
    <col min="1026" max="1027" width="12.125" style="260" customWidth="1"/>
    <col min="1028" max="1028" width="13.75" style="260" customWidth="1"/>
    <col min="1029" max="1029" width="14.625" style="260" customWidth="1"/>
    <col min="1030" max="1030" width="15.125" style="260" customWidth="1"/>
    <col min="1031" max="1031" width="12.25" style="260" customWidth="1"/>
    <col min="1032" max="1032" width="12.5" style="260" customWidth="1"/>
    <col min="1033" max="1033" width="12.25" style="260" customWidth="1"/>
    <col min="1034" max="1034" width="11.625" style="260" customWidth="1"/>
    <col min="1035" max="1280" width="8.875" style="260"/>
    <col min="1281" max="1281" width="19.5" style="260" customWidth="1"/>
    <col min="1282" max="1283" width="12.125" style="260" customWidth="1"/>
    <col min="1284" max="1284" width="13.75" style="260" customWidth="1"/>
    <col min="1285" max="1285" width="14.625" style="260" customWidth="1"/>
    <col min="1286" max="1286" width="15.125" style="260" customWidth="1"/>
    <col min="1287" max="1287" width="12.25" style="260" customWidth="1"/>
    <col min="1288" max="1288" width="12.5" style="260" customWidth="1"/>
    <col min="1289" max="1289" width="12.25" style="260" customWidth="1"/>
    <col min="1290" max="1290" width="11.625" style="260" customWidth="1"/>
    <col min="1291" max="1536" width="8.875" style="260"/>
    <col min="1537" max="1537" width="19.5" style="260" customWidth="1"/>
    <col min="1538" max="1539" width="12.125" style="260" customWidth="1"/>
    <col min="1540" max="1540" width="13.75" style="260" customWidth="1"/>
    <col min="1541" max="1541" width="14.625" style="260" customWidth="1"/>
    <col min="1542" max="1542" width="15.125" style="260" customWidth="1"/>
    <col min="1543" max="1543" width="12.25" style="260" customWidth="1"/>
    <col min="1544" max="1544" width="12.5" style="260" customWidth="1"/>
    <col min="1545" max="1545" width="12.25" style="260" customWidth="1"/>
    <col min="1546" max="1546" width="11.625" style="260" customWidth="1"/>
    <col min="1547" max="1792" width="8.875" style="260"/>
    <col min="1793" max="1793" width="19.5" style="260" customWidth="1"/>
    <col min="1794" max="1795" width="12.125" style="260" customWidth="1"/>
    <col min="1796" max="1796" width="13.75" style="260" customWidth="1"/>
    <col min="1797" max="1797" width="14.625" style="260" customWidth="1"/>
    <col min="1798" max="1798" width="15.125" style="260" customWidth="1"/>
    <col min="1799" max="1799" width="12.25" style="260" customWidth="1"/>
    <col min="1800" max="1800" width="12.5" style="260" customWidth="1"/>
    <col min="1801" max="1801" width="12.25" style="260" customWidth="1"/>
    <col min="1802" max="1802" width="11.625" style="260" customWidth="1"/>
    <col min="1803" max="2048" width="8.875" style="260"/>
    <col min="2049" max="2049" width="19.5" style="260" customWidth="1"/>
    <col min="2050" max="2051" width="12.125" style="260" customWidth="1"/>
    <col min="2052" max="2052" width="13.75" style="260" customWidth="1"/>
    <col min="2053" max="2053" width="14.625" style="260" customWidth="1"/>
    <col min="2054" max="2054" width="15.125" style="260" customWidth="1"/>
    <col min="2055" max="2055" width="12.25" style="260" customWidth="1"/>
    <col min="2056" max="2056" width="12.5" style="260" customWidth="1"/>
    <col min="2057" max="2057" width="12.25" style="260" customWidth="1"/>
    <col min="2058" max="2058" width="11.625" style="260" customWidth="1"/>
    <col min="2059" max="2304" width="8.875" style="260"/>
    <col min="2305" max="2305" width="19.5" style="260" customWidth="1"/>
    <col min="2306" max="2307" width="12.125" style="260" customWidth="1"/>
    <col min="2308" max="2308" width="13.75" style="260" customWidth="1"/>
    <col min="2309" max="2309" width="14.625" style="260" customWidth="1"/>
    <col min="2310" max="2310" width="15.125" style="260" customWidth="1"/>
    <col min="2311" max="2311" width="12.25" style="260" customWidth="1"/>
    <col min="2312" max="2312" width="12.5" style="260" customWidth="1"/>
    <col min="2313" max="2313" width="12.25" style="260" customWidth="1"/>
    <col min="2314" max="2314" width="11.625" style="260" customWidth="1"/>
    <col min="2315" max="2560" width="8.875" style="260"/>
    <col min="2561" max="2561" width="19.5" style="260" customWidth="1"/>
    <col min="2562" max="2563" width="12.125" style="260" customWidth="1"/>
    <col min="2564" max="2564" width="13.75" style="260" customWidth="1"/>
    <col min="2565" max="2565" width="14.625" style="260" customWidth="1"/>
    <col min="2566" max="2566" width="15.125" style="260" customWidth="1"/>
    <col min="2567" max="2567" width="12.25" style="260" customWidth="1"/>
    <col min="2568" max="2568" width="12.5" style="260" customWidth="1"/>
    <col min="2569" max="2569" width="12.25" style="260" customWidth="1"/>
    <col min="2570" max="2570" width="11.625" style="260" customWidth="1"/>
    <col min="2571" max="2816" width="8.875" style="260"/>
    <col min="2817" max="2817" width="19.5" style="260" customWidth="1"/>
    <col min="2818" max="2819" width="12.125" style="260" customWidth="1"/>
    <col min="2820" max="2820" width="13.75" style="260" customWidth="1"/>
    <col min="2821" max="2821" width="14.625" style="260" customWidth="1"/>
    <col min="2822" max="2822" width="15.125" style="260" customWidth="1"/>
    <col min="2823" max="2823" width="12.25" style="260" customWidth="1"/>
    <col min="2824" max="2824" width="12.5" style="260" customWidth="1"/>
    <col min="2825" max="2825" width="12.25" style="260" customWidth="1"/>
    <col min="2826" max="2826" width="11.625" style="260" customWidth="1"/>
    <col min="2827" max="3072" width="8.875" style="260"/>
    <col min="3073" max="3073" width="19.5" style="260" customWidth="1"/>
    <col min="3074" max="3075" width="12.125" style="260" customWidth="1"/>
    <col min="3076" max="3076" width="13.75" style="260" customWidth="1"/>
    <col min="3077" max="3077" width="14.625" style="260" customWidth="1"/>
    <col min="3078" max="3078" width="15.125" style="260" customWidth="1"/>
    <col min="3079" max="3079" width="12.25" style="260" customWidth="1"/>
    <col min="3080" max="3080" width="12.5" style="260" customWidth="1"/>
    <col min="3081" max="3081" width="12.25" style="260" customWidth="1"/>
    <col min="3082" max="3082" width="11.625" style="260" customWidth="1"/>
    <col min="3083" max="3328" width="8.875" style="260"/>
    <col min="3329" max="3329" width="19.5" style="260" customWidth="1"/>
    <col min="3330" max="3331" width="12.125" style="260" customWidth="1"/>
    <col min="3332" max="3332" width="13.75" style="260" customWidth="1"/>
    <col min="3333" max="3333" width="14.625" style="260" customWidth="1"/>
    <col min="3334" max="3334" width="15.125" style="260" customWidth="1"/>
    <col min="3335" max="3335" width="12.25" style="260" customWidth="1"/>
    <col min="3336" max="3336" width="12.5" style="260" customWidth="1"/>
    <col min="3337" max="3337" width="12.25" style="260" customWidth="1"/>
    <col min="3338" max="3338" width="11.625" style="260" customWidth="1"/>
    <col min="3339" max="3584" width="8.875" style="260"/>
    <col min="3585" max="3585" width="19.5" style="260" customWidth="1"/>
    <col min="3586" max="3587" width="12.125" style="260" customWidth="1"/>
    <col min="3588" max="3588" width="13.75" style="260" customWidth="1"/>
    <col min="3589" max="3589" width="14.625" style="260" customWidth="1"/>
    <col min="3590" max="3590" width="15.125" style="260" customWidth="1"/>
    <col min="3591" max="3591" width="12.25" style="260" customWidth="1"/>
    <col min="3592" max="3592" width="12.5" style="260" customWidth="1"/>
    <col min="3593" max="3593" width="12.25" style="260" customWidth="1"/>
    <col min="3594" max="3594" width="11.625" style="260" customWidth="1"/>
    <col min="3595" max="3840" width="8.875" style="260"/>
    <col min="3841" max="3841" width="19.5" style="260" customWidth="1"/>
    <col min="3842" max="3843" width="12.125" style="260" customWidth="1"/>
    <col min="3844" max="3844" width="13.75" style="260" customWidth="1"/>
    <col min="3845" max="3845" width="14.625" style="260" customWidth="1"/>
    <col min="3846" max="3846" width="15.125" style="260" customWidth="1"/>
    <col min="3847" max="3847" width="12.25" style="260" customWidth="1"/>
    <col min="3848" max="3848" width="12.5" style="260" customWidth="1"/>
    <col min="3849" max="3849" width="12.25" style="260" customWidth="1"/>
    <col min="3850" max="3850" width="11.625" style="260" customWidth="1"/>
    <col min="3851" max="4096" width="8.875" style="260"/>
    <col min="4097" max="4097" width="19.5" style="260" customWidth="1"/>
    <col min="4098" max="4099" width="12.125" style="260" customWidth="1"/>
    <col min="4100" max="4100" width="13.75" style="260" customWidth="1"/>
    <col min="4101" max="4101" width="14.625" style="260" customWidth="1"/>
    <col min="4102" max="4102" width="15.125" style="260" customWidth="1"/>
    <col min="4103" max="4103" width="12.25" style="260" customWidth="1"/>
    <col min="4104" max="4104" width="12.5" style="260" customWidth="1"/>
    <col min="4105" max="4105" width="12.25" style="260" customWidth="1"/>
    <col min="4106" max="4106" width="11.625" style="260" customWidth="1"/>
    <col min="4107" max="4352" width="8.875" style="260"/>
    <col min="4353" max="4353" width="19.5" style="260" customWidth="1"/>
    <col min="4354" max="4355" width="12.125" style="260" customWidth="1"/>
    <col min="4356" max="4356" width="13.75" style="260" customWidth="1"/>
    <col min="4357" max="4357" width="14.625" style="260" customWidth="1"/>
    <col min="4358" max="4358" width="15.125" style="260" customWidth="1"/>
    <col min="4359" max="4359" width="12.25" style="260" customWidth="1"/>
    <col min="4360" max="4360" width="12.5" style="260" customWidth="1"/>
    <col min="4361" max="4361" width="12.25" style="260" customWidth="1"/>
    <col min="4362" max="4362" width="11.625" style="260" customWidth="1"/>
    <col min="4363" max="4608" width="8.875" style="260"/>
    <col min="4609" max="4609" width="19.5" style="260" customWidth="1"/>
    <col min="4610" max="4611" width="12.125" style="260" customWidth="1"/>
    <col min="4612" max="4612" width="13.75" style="260" customWidth="1"/>
    <col min="4613" max="4613" width="14.625" style="260" customWidth="1"/>
    <col min="4614" max="4614" width="15.125" style="260" customWidth="1"/>
    <col min="4615" max="4615" width="12.25" style="260" customWidth="1"/>
    <col min="4616" max="4616" width="12.5" style="260" customWidth="1"/>
    <col min="4617" max="4617" width="12.25" style="260" customWidth="1"/>
    <col min="4618" max="4618" width="11.625" style="260" customWidth="1"/>
    <col min="4619" max="4864" width="8.875" style="260"/>
    <col min="4865" max="4865" width="19.5" style="260" customWidth="1"/>
    <col min="4866" max="4867" width="12.125" style="260" customWidth="1"/>
    <col min="4868" max="4868" width="13.75" style="260" customWidth="1"/>
    <col min="4869" max="4869" width="14.625" style="260" customWidth="1"/>
    <col min="4870" max="4870" width="15.125" style="260" customWidth="1"/>
    <col min="4871" max="4871" width="12.25" style="260" customWidth="1"/>
    <col min="4872" max="4872" width="12.5" style="260" customWidth="1"/>
    <col min="4873" max="4873" width="12.25" style="260" customWidth="1"/>
    <col min="4874" max="4874" width="11.625" style="260" customWidth="1"/>
    <col min="4875" max="5120" width="8.875" style="260"/>
    <col min="5121" max="5121" width="19.5" style="260" customWidth="1"/>
    <col min="5122" max="5123" width="12.125" style="260" customWidth="1"/>
    <col min="5124" max="5124" width="13.75" style="260" customWidth="1"/>
    <col min="5125" max="5125" width="14.625" style="260" customWidth="1"/>
    <col min="5126" max="5126" width="15.125" style="260" customWidth="1"/>
    <col min="5127" max="5127" width="12.25" style="260" customWidth="1"/>
    <col min="5128" max="5128" width="12.5" style="260" customWidth="1"/>
    <col min="5129" max="5129" width="12.25" style="260" customWidth="1"/>
    <col min="5130" max="5130" width="11.625" style="260" customWidth="1"/>
    <col min="5131" max="5376" width="8.875" style="260"/>
    <col min="5377" max="5377" width="19.5" style="260" customWidth="1"/>
    <col min="5378" max="5379" width="12.125" style="260" customWidth="1"/>
    <col min="5380" max="5380" width="13.75" style="260" customWidth="1"/>
    <col min="5381" max="5381" width="14.625" style="260" customWidth="1"/>
    <col min="5382" max="5382" width="15.125" style="260" customWidth="1"/>
    <col min="5383" max="5383" width="12.25" style="260" customWidth="1"/>
    <col min="5384" max="5384" width="12.5" style="260" customWidth="1"/>
    <col min="5385" max="5385" width="12.25" style="260" customWidth="1"/>
    <col min="5386" max="5386" width="11.625" style="260" customWidth="1"/>
    <col min="5387" max="5632" width="8.875" style="260"/>
    <col min="5633" max="5633" width="19.5" style="260" customWidth="1"/>
    <col min="5634" max="5635" width="12.125" style="260" customWidth="1"/>
    <col min="5636" max="5636" width="13.75" style="260" customWidth="1"/>
    <col min="5637" max="5637" width="14.625" style="260" customWidth="1"/>
    <col min="5638" max="5638" width="15.125" style="260" customWidth="1"/>
    <col min="5639" max="5639" width="12.25" style="260" customWidth="1"/>
    <col min="5640" max="5640" width="12.5" style="260" customWidth="1"/>
    <col min="5641" max="5641" width="12.25" style="260" customWidth="1"/>
    <col min="5642" max="5642" width="11.625" style="260" customWidth="1"/>
    <col min="5643" max="5888" width="8.875" style="260"/>
    <col min="5889" max="5889" width="19.5" style="260" customWidth="1"/>
    <col min="5890" max="5891" width="12.125" style="260" customWidth="1"/>
    <col min="5892" max="5892" width="13.75" style="260" customWidth="1"/>
    <col min="5893" max="5893" width="14.625" style="260" customWidth="1"/>
    <col min="5894" max="5894" width="15.125" style="260" customWidth="1"/>
    <col min="5895" max="5895" width="12.25" style="260" customWidth="1"/>
    <col min="5896" max="5896" width="12.5" style="260" customWidth="1"/>
    <col min="5897" max="5897" width="12.25" style="260" customWidth="1"/>
    <col min="5898" max="5898" width="11.625" style="260" customWidth="1"/>
    <col min="5899" max="6144" width="8.875" style="260"/>
    <col min="6145" max="6145" width="19.5" style="260" customWidth="1"/>
    <col min="6146" max="6147" width="12.125" style="260" customWidth="1"/>
    <col min="6148" max="6148" width="13.75" style="260" customWidth="1"/>
    <col min="6149" max="6149" width="14.625" style="260" customWidth="1"/>
    <col min="6150" max="6150" width="15.125" style="260" customWidth="1"/>
    <col min="6151" max="6151" width="12.25" style="260" customWidth="1"/>
    <col min="6152" max="6152" width="12.5" style="260" customWidth="1"/>
    <col min="6153" max="6153" width="12.25" style="260" customWidth="1"/>
    <col min="6154" max="6154" width="11.625" style="260" customWidth="1"/>
    <col min="6155" max="6400" width="8.875" style="260"/>
    <col min="6401" max="6401" width="19.5" style="260" customWidth="1"/>
    <col min="6402" max="6403" width="12.125" style="260" customWidth="1"/>
    <col min="6404" max="6404" width="13.75" style="260" customWidth="1"/>
    <col min="6405" max="6405" width="14.625" style="260" customWidth="1"/>
    <col min="6406" max="6406" width="15.125" style="260" customWidth="1"/>
    <col min="6407" max="6407" width="12.25" style="260" customWidth="1"/>
    <col min="6408" max="6408" width="12.5" style="260" customWidth="1"/>
    <col min="6409" max="6409" width="12.25" style="260" customWidth="1"/>
    <col min="6410" max="6410" width="11.625" style="260" customWidth="1"/>
    <col min="6411" max="6656" width="8.875" style="260"/>
    <col min="6657" max="6657" width="19.5" style="260" customWidth="1"/>
    <col min="6658" max="6659" width="12.125" style="260" customWidth="1"/>
    <col min="6660" max="6660" width="13.75" style="260" customWidth="1"/>
    <col min="6661" max="6661" width="14.625" style="260" customWidth="1"/>
    <col min="6662" max="6662" width="15.125" style="260" customWidth="1"/>
    <col min="6663" max="6663" width="12.25" style="260" customWidth="1"/>
    <col min="6664" max="6664" width="12.5" style="260" customWidth="1"/>
    <col min="6665" max="6665" width="12.25" style="260" customWidth="1"/>
    <col min="6666" max="6666" width="11.625" style="260" customWidth="1"/>
    <col min="6667" max="6912" width="8.875" style="260"/>
    <col min="6913" max="6913" width="19.5" style="260" customWidth="1"/>
    <col min="6914" max="6915" width="12.125" style="260" customWidth="1"/>
    <col min="6916" max="6916" width="13.75" style="260" customWidth="1"/>
    <col min="6917" max="6917" width="14.625" style="260" customWidth="1"/>
    <col min="6918" max="6918" width="15.125" style="260" customWidth="1"/>
    <col min="6919" max="6919" width="12.25" style="260" customWidth="1"/>
    <col min="6920" max="6920" width="12.5" style="260" customWidth="1"/>
    <col min="6921" max="6921" width="12.25" style="260" customWidth="1"/>
    <col min="6922" max="6922" width="11.625" style="260" customWidth="1"/>
    <col min="6923" max="7168" width="8.875" style="260"/>
    <col min="7169" max="7169" width="19.5" style="260" customWidth="1"/>
    <col min="7170" max="7171" width="12.125" style="260" customWidth="1"/>
    <col min="7172" max="7172" width="13.75" style="260" customWidth="1"/>
    <col min="7173" max="7173" width="14.625" style="260" customWidth="1"/>
    <col min="7174" max="7174" width="15.125" style="260" customWidth="1"/>
    <col min="7175" max="7175" width="12.25" style="260" customWidth="1"/>
    <col min="7176" max="7176" width="12.5" style="260" customWidth="1"/>
    <col min="7177" max="7177" width="12.25" style="260" customWidth="1"/>
    <col min="7178" max="7178" width="11.625" style="260" customWidth="1"/>
    <col min="7179" max="7424" width="8.875" style="260"/>
    <col min="7425" max="7425" width="19.5" style="260" customWidth="1"/>
    <col min="7426" max="7427" width="12.125" style="260" customWidth="1"/>
    <col min="7428" max="7428" width="13.75" style="260" customWidth="1"/>
    <col min="7429" max="7429" width="14.625" style="260" customWidth="1"/>
    <col min="7430" max="7430" width="15.125" style="260" customWidth="1"/>
    <col min="7431" max="7431" width="12.25" style="260" customWidth="1"/>
    <col min="7432" max="7432" width="12.5" style="260" customWidth="1"/>
    <col min="7433" max="7433" width="12.25" style="260" customWidth="1"/>
    <col min="7434" max="7434" width="11.625" style="260" customWidth="1"/>
    <col min="7435" max="7680" width="8.875" style="260"/>
    <col min="7681" max="7681" width="19.5" style="260" customWidth="1"/>
    <col min="7682" max="7683" width="12.125" style="260" customWidth="1"/>
    <col min="7684" max="7684" width="13.75" style="260" customWidth="1"/>
    <col min="7685" max="7685" width="14.625" style="260" customWidth="1"/>
    <col min="7686" max="7686" width="15.125" style="260" customWidth="1"/>
    <col min="7687" max="7687" width="12.25" style="260" customWidth="1"/>
    <col min="7688" max="7688" width="12.5" style="260" customWidth="1"/>
    <col min="7689" max="7689" width="12.25" style="260" customWidth="1"/>
    <col min="7690" max="7690" width="11.625" style="260" customWidth="1"/>
    <col min="7691" max="7936" width="8.875" style="260"/>
    <col min="7937" max="7937" width="19.5" style="260" customWidth="1"/>
    <col min="7938" max="7939" width="12.125" style="260" customWidth="1"/>
    <col min="7940" max="7940" width="13.75" style="260" customWidth="1"/>
    <col min="7941" max="7941" width="14.625" style="260" customWidth="1"/>
    <col min="7942" max="7942" width="15.125" style="260" customWidth="1"/>
    <col min="7943" max="7943" width="12.25" style="260" customWidth="1"/>
    <col min="7944" max="7944" width="12.5" style="260" customWidth="1"/>
    <col min="7945" max="7945" width="12.25" style="260" customWidth="1"/>
    <col min="7946" max="7946" width="11.625" style="260" customWidth="1"/>
    <col min="7947" max="8192" width="8.875" style="260"/>
    <col min="8193" max="8193" width="19.5" style="260" customWidth="1"/>
    <col min="8194" max="8195" width="12.125" style="260" customWidth="1"/>
    <col min="8196" max="8196" width="13.75" style="260" customWidth="1"/>
    <col min="8197" max="8197" width="14.625" style="260" customWidth="1"/>
    <col min="8198" max="8198" width="15.125" style="260" customWidth="1"/>
    <col min="8199" max="8199" width="12.25" style="260" customWidth="1"/>
    <col min="8200" max="8200" width="12.5" style="260" customWidth="1"/>
    <col min="8201" max="8201" width="12.25" style="260" customWidth="1"/>
    <col min="8202" max="8202" width="11.625" style="260" customWidth="1"/>
    <col min="8203" max="8448" width="8.875" style="260"/>
    <col min="8449" max="8449" width="19.5" style="260" customWidth="1"/>
    <col min="8450" max="8451" width="12.125" style="260" customWidth="1"/>
    <col min="8452" max="8452" width="13.75" style="260" customWidth="1"/>
    <col min="8453" max="8453" width="14.625" style="260" customWidth="1"/>
    <col min="8454" max="8454" width="15.125" style="260" customWidth="1"/>
    <col min="8455" max="8455" width="12.25" style="260" customWidth="1"/>
    <col min="8456" max="8456" width="12.5" style="260" customWidth="1"/>
    <col min="8457" max="8457" width="12.25" style="260" customWidth="1"/>
    <col min="8458" max="8458" width="11.625" style="260" customWidth="1"/>
    <col min="8459" max="8704" width="8.875" style="260"/>
    <col min="8705" max="8705" width="19.5" style="260" customWidth="1"/>
    <col min="8706" max="8707" width="12.125" style="260" customWidth="1"/>
    <col min="8708" max="8708" width="13.75" style="260" customWidth="1"/>
    <col min="8709" max="8709" width="14.625" style="260" customWidth="1"/>
    <col min="8710" max="8710" width="15.125" style="260" customWidth="1"/>
    <col min="8711" max="8711" width="12.25" style="260" customWidth="1"/>
    <col min="8712" max="8712" width="12.5" style="260" customWidth="1"/>
    <col min="8713" max="8713" width="12.25" style="260" customWidth="1"/>
    <col min="8714" max="8714" width="11.625" style="260" customWidth="1"/>
    <col min="8715" max="8960" width="8.875" style="260"/>
    <col min="8961" max="8961" width="19.5" style="260" customWidth="1"/>
    <col min="8962" max="8963" width="12.125" style="260" customWidth="1"/>
    <col min="8964" max="8964" width="13.75" style="260" customWidth="1"/>
    <col min="8965" max="8965" width="14.625" style="260" customWidth="1"/>
    <col min="8966" max="8966" width="15.125" style="260" customWidth="1"/>
    <col min="8967" max="8967" width="12.25" style="260" customWidth="1"/>
    <col min="8968" max="8968" width="12.5" style="260" customWidth="1"/>
    <col min="8969" max="8969" width="12.25" style="260" customWidth="1"/>
    <col min="8970" max="8970" width="11.625" style="260" customWidth="1"/>
    <col min="8971" max="9216" width="8.875" style="260"/>
    <col min="9217" max="9217" width="19.5" style="260" customWidth="1"/>
    <col min="9218" max="9219" width="12.125" style="260" customWidth="1"/>
    <col min="9220" max="9220" width="13.75" style="260" customWidth="1"/>
    <col min="9221" max="9221" width="14.625" style="260" customWidth="1"/>
    <col min="9222" max="9222" width="15.125" style="260" customWidth="1"/>
    <col min="9223" max="9223" width="12.25" style="260" customWidth="1"/>
    <col min="9224" max="9224" width="12.5" style="260" customWidth="1"/>
    <col min="9225" max="9225" width="12.25" style="260" customWidth="1"/>
    <col min="9226" max="9226" width="11.625" style="260" customWidth="1"/>
    <col min="9227" max="9472" width="8.875" style="260"/>
    <col min="9473" max="9473" width="19.5" style="260" customWidth="1"/>
    <col min="9474" max="9475" width="12.125" style="260" customWidth="1"/>
    <col min="9476" max="9476" width="13.75" style="260" customWidth="1"/>
    <col min="9477" max="9477" width="14.625" style="260" customWidth="1"/>
    <col min="9478" max="9478" width="15.125" style="260" customWidth="1"/>
    <col min="9479" max="9479" width="12.25" style="260" customWidth="1"/>
    <col min="9480" max="9480" width="12.5" style="260" customWidth="1"/>
    <col min="9481" max="9481" width="12.25" style="260" customWidth="1"/>
    <col min="9482" max="9482" width="11.625" style="260" customWidth="1"/>
    <col min="9483" max="9728" width="8.875" style="260"/>
    <col min="9729" max="9729" width="19.5" style="260" customWidth="1"/>
    <col min="9730" max="9731" width="12.125" style="260" customWidth="1"/>
    <col min="9732" max="9732" width="13.75" style="260" customWidth="1"/>
    <col min="9733" max="9733" width="14.625" style="260" customWidth="1"/>
    <col min="9734" max="9734" width="15.125" style="260" customWidth="1"/>
    <col min="9735" max="9735" width="12.25" style="260" customWidth="1"/>
    <col min="9736" max="9736" width="12.5" style="260" customWidth="1"/>
    <col min="9737" max="9737" width="12.25" style="260" customWidth="1"/>
    <col min="9738" max="9738" width="11.625" style="260" customWidth="1"/>
    <col min="9739" max="9984" width="8.875" style="260"/>
    <col min="9985" max="9985" width="19.5" style="260" customWidth="1"/>
    <col min="9986" max="9987" width="12.125" style="260" customWidth="1"/>
    <col min="9988" max="9988" width="13.75" style="260" customWidth="1"/>
    <col min="9989" max="9989" width="14.625" style="260" customWidth="1"/>
    <col min="9990" max="9990" width="15.125" style="260" customWidth="1"/>
    <col min="9991" max="9991" width="12.25" style="260" customWidth="1"/>
    <col min="9992" max="9992" width="12.5" style="260" customWidth="1"/>
    <col min="9993" max="9993" width="12.25" style="260" customWidth="1"/>
    <col min="9994" max="9994" width="11.625" style="260" customWidth="1"/>
    <col min="9995" max="10240" width="8.875" style="260"/>
    <col min="10241" max="10241" width="19.5" style="260" customWidth="1"/>
    <col min="10242" max="10243" width="12.125" style="260" customWidth="1"/>
    <col min="10244" max="10244" width="13.75" style="260" customWidth="1"/>
    <col min="10245" max="10245" width="14.625" style="260" customWidth="1"/>
    <col min="10246" max="10246" width="15.125" style="260" customWidth="1"/>
    <col min="10247" max="10247" width="12.25" style="260" customWidth="1"/>
    <col min="10248" max="10248" width="12.5" style="260" customWidth="1"/>
    <col min="10249" max="10249" width="12.25" style="260" customWidth="1"/>
    <col min="10250" max="10250" width="11.625" style="260" customWidth="1"/>
    <col min="10251" max="10496" width="8.875" style="260"/>
    <col min="10497" max="10497" width="19.5" style="260" customWidth="1"/>
    <col min="10498" max="10499" width="12.125" style="260" customWidth="1"/>
    <col min="10500" max="10500" width="13.75" style="260" customWidth="1"/>
    <col min="10501" max="10501" width="14.625" style="260" customWidth="1"/>
    <col min="10502" max="10502" width="15.125" style="260" customWidth="1"/>
    <col min="10503" max="10503" width="12.25" style="260" customWidth="1"/>
    <col min="10504" max="10504" width="12.5" style="260" customWidth="1"/>
    <col min="10505" max="10505" width="12.25" style="260" customWidth="1"/>
    <col min="10506" max="10506" width="11.625" style="260" customWidth="1"/>
    <col min="10507" max="10752" width="8.875" style="260"/>
    <col min="10753" max="10753" width="19.5" style="260" customWidth="1"/>
    <col min="10754" max="10755" width="12.125" style="260" customWidth="1"/>
    <col min="10756" max="10756" width="13.75" style="260" customWidth="1"/>
    <col min="10757" max="10757" width="14.625" style="260" customWidth="1"/>
    <col min="10758" max="10758" width="15.125" style="260" customWidth="1"/>
    <col min="10759" max="10759" width="12.25" style="260" customWidth="1"/>
    <col min="10760" max="10760" width="12.5" style="260" customWidth="1"/>
    <col min="10761" max="10761" width="12.25" style="260" customWidth="1"/>
    <col min="10762" max="10762" width="11.625" style="260" customWidth="1"/>
    <col min="10763" max="11008" width="8.875" style="260"/>
    <col min="11009" max="11009" width="19.5" style="260" customWidth="1"/>
    <col min="11010" max="11011" width="12.125" style="260" customWidth="1"/>
    <col min="11012" max="11012" width="13.75" style="260" customWidth="1"/>
    <col min="11013" max="11013" width="14.625" style="260" customWidth="1"/>
    <col min="11014" max="11014" width="15.125" style="260" customWidth="1"/>
    <col min="11015" max="11015" width="12.25" style="260" customWidth="1"/>
    <col min="11016" max="11016" width="12.5" style="260" customWidth="1"/>
    <col min="11017" max="11017" width="12.25" style="260" customWidth="1"/>
    <col min="11018" max="11018" width="11.625" style="260" customWidth="1"/>
    <col min="11019" max="11264" width="8.875" style="260"/>
    <col min="11265" max="11265" width="19.5" style="260" customWidth="1"/>
    <col min="11266" max="11267" width="12.125" style="260" customWidth="1"/>
    <col min="11268" max="11268" width="13.75" style="260" customWidth="1"/>
    <col min="11269" max="11269" width="14.625" style="260" customWidth="1"/>
    <col min="11270" max="11270" width="15.125" style="260" customWidth="1"/>
    <col min="11271" max="11271" width="12.25" style="260" customWidth="1"/>
    <col min="11272" max="11272" width="12.5" style="260" customWidth="1"/>
    <col min="11273" max="11273" width="12.25" style="260" customWidth="1"/>
    <col min="11274" max="11274" width="11.625" style="260" customWidth="1"/>
    <col min="11275" max="11520" width="8.875" style="260"/>
    <col min="11521" max="11521" width="19.5" style="260" customWidth="1"/>
    <col min="11522" max="11523" width="12.125" style="260" customWidth="1"/>
    <col min="11524" max="11524" width="13.75" style="260" customWidth="1"/>
    <col min="11525" max="11525" width="14.625" style="260" customWidth="1"/>
    <col min="11526" max="11526" width="15.125" style="260" customWidth="1"/>
    <col min="11527" max="11527" width="12.25" style="260" customWidth="1"/>
    <col min="11528" max="11528" width="12.5" style="260" customWidth="1"/>
    <col min="11529" max="11529" width="12.25" style="260" customWidth="1"/>
    <col min="11530" max="11530" width="11.625" style="260" customWidth="1"/>
    <col min="11531" max="11776" width="8.875" style="260"/>
    <col min="11777" max="11777" width="19.5" style="260" customWidth="1"/>
    <col min="11778" max="11779" width="12.125" style="260" customWidth="1"/>
    <col min="11780" max="11780" width="13.75" style="260" customWidth="1"/>
    <col min="11781" max="11781" width="14.625" style="260" customWidth="1"/>
    <col min="11782" max="11782" width="15.125" style="260" customWidth="1"/>
    <col min="11783" max="11783" width="12.25" style="260" customWidth="1"/>
    <col min="11784" max="11784" width="12.5" style="260" customWidth="1"/>
    <col min="11785" max="11785" width="12.25" style="260" customWidth="1"/>
    <col min="11786" max="11786" width="11.625" style="260" customWidth="1"/>
    <col min="11787" max="12032" width="8.875" style="260"/>
    <col min="12033" max="12033" width="19.5" style="260" customWidth="1"/>
    <col min="12034" max="12035" width="12.125" style="260" customWidth="1"/>
    <col min="12036" max="12036" width="13.75" style="260" customWidth="1"/>
    <col min="12037" max="12037" width="14.625" style="260" customWidth="1"/>
    <col min="12038" max="12038" width="15.125" style="260" customWidth="1"/>
    <col min="12039" max="12039" width="12.25" style="260" customWidth="1"/>
    <col min="12040" max="12040" width="12.5" style="260" customWidth="1"/>
    <col min="12041" max="12041" width="12.25" style="260" customWidth="1"/>
    <col min="12042" max="12042" width="11.625" style="260" customWidth="1"/>
    <col min="12043" max="12288" width="8.875" style="260"/>
    <col min="12289" max="12289" width="19.5" style="260" customWidth="1"/>
    <col min="12290" max="12291" width="12.125" style="260" customWidth="1"/>
    <col min="12292" max="12292" width="13.75" style="260" customWidth="1"/>
    <col min="12293" max="12293" width="14.625" style="260" customWidth="1"/>
    <col min="12294" max="12294" width="15.125" style="260" customWidth="1"/>
    <col min="12295" max="12295" width="12.25" style="260" customWidth="1"/>
    <col min="12296" max="12296" width="12.5" style="260" customWidth="1"/>
    <col min="12297" max="12297" width="12.25" style="260" customWidth="1"/>
    <col min="12298" max="12298" width="11.625" style="260" customWidth="1"/>
    <col min="12299" max="12544" width="8.875" style="260"/>
    <col min="12545" max="12545" width="19.5" style="260" customWidth="1"/>
    <col min="12546" max="12547" width="12.125" style="260" customWidth="1"/>
    <col min="12548" max="12548" width="13.75" style="260" customWidth="1"/>
    <col min="12549" max="12549" width="14.625" style="260" customWidth="1"/>
    <col min="12550" max="12550" width="15.125" style="260" customWidth="1"/>
    <col min="12551" max="12551" width="12.25" style="260" customWidth="1"/>
    <col min="12552" max="12552" width="12.5" style="260" customWidth="1"/>
    <col min="12553" max="12553" width="12.25" style="260" customWidth="1"/>
    <col min="12554" max="12554" width="11.625" style="260" customWidth="1"/>
    <col min="12555" max="12800" width="8.875" style="260"/>
    <col min="12801" max="12801" width="19.5" style="260" customWidth="1"/>
    <col min="12802" max="12803" width="12.125" style="260" customWidth="1"/>
    <col min="12804" max="12804" width="13.75" style="260" customWidth="1"/>
    <col min="12805" max="12805" width="14.625" style="260" customWidth="1"/>
    <col min="12806" max="12806" width="15.125" style="260" customWidth="1"/>
    <col min="12807" max="12807" width="12.25" style="260" customWidth="1"/>
    <col min="12808" max="12808" width="12.5" style="260" customWidth="1"/>
    <col min="12809" max="12809" width="12.25" style="260" customWidth="1"/>
    <col min="12810" max="12810" width="11.625" style="260" customWidth="1"/>
    <col min="12811" max="13056" width="8.875" style="260"/>
    <col min="13057" max="13057" width="19.5" style="260" customWidth="1"/>
    <col min="13058" max="13059" width="12.125" style="260" customWidth="1"/>
    <col min="13060" max="13060" width="13.75" style="260" customWidth="1"/>
    <col min="13061" max="13061" width="14.625" style="260" customWidth="1"/>
    <col min="13062" max="13062" width="15.125" style="260" customWidth="1"/>
    <col min="13063" max="13063" width="12.25" style="260" customWidth="1"/>
    <col min="13064" max="13064" width="12.5" style="260" customWidth="1"/>
    <col min="13065" max="13065" width="12.25" style="260" customWidth="1"/>
    <col min="13066" max="13066" width="11.625" style="260" customWidth="1"/>
    <col min="13067" max="13312" width="8.875" style="260"/>
    <col min="13313" max="13313" width="19.5" style="260" customWidth="1"/>
    <col min="13314" max="13315" width="12.125" style="260" customWidth="1"/>
    <col min="13316" max="13316" width="13.75" style="260" customWidth="1"/>
    <col min="13317" max="13317" width="14.625" style="260" customWidth="1"/>
    <col min="13318" max="13318" width="15.125" style="260" customWidth="1"/>
    <col min="13319" max="13319" width="12.25" style="260" customWidth="1"/>
    <col min="13320" max="13320" width="12.5" style="260" customWidth="1"/>
    <col min="13321" max="13321" width="12.25" style="260" customWidth="1"/>
    <col min="13322" max="13322" width="11.625" style="260" customWidth="1"/>
    <col min="13323" max="13568" width="8.875" style="260"/>
    <col min="13569" max="13569" width="19.5" style="260" customWidth="1"/>
    <col min="13570" max="13571" width="12.125" style="260" customWidth="1"/>
    <col min="13572" max="13572" width="13.75" style="260" customWidth="1"/>
    <col min="13573" max="13573" width="14.625" style="260" customWidth="1"/>
    <col min="13574" max="13574" width="15.125" style="260" customWidth="1"/>
    <col min="13575" max="13575" width="12.25" style="260" customWidth="1"/>
    <col min="13576" max="13576" width="12.5" style="260" customWidth="1"/>
    <col min="13577" max="13577" width="12.25" style="260" customWidth="1"/>
    <col min="13578" max="13578" width="11.625" style="260" customWidth="1"/>
    <col min="13579" max="13824" width="8.875" style="260"/>
    <col min="13825" max="13825" width="19.5" style="260" customWidth="1"/>
    <col min="13826" max="13827" width="12.125" style="260" customWidth="1"/>
    <col min="13828" max="13828" width="13.75" style="260" customWidth="1"/>
    <col min="13829" max="13829" width="14.625" style="260" customWidth="1"/>
    <col min="13830" max="13830" width="15.125" style="260" customWidth="1"/>
    <col min="13831" max="13831" width="12.25" style="260" customWidth="1"/>
    <col min="13832" max="13832" width="12.5" style="260" customWidth="1"/>
    <col min="13833" max="13833" width="12.25" style="260" customWidth="1"/>
    <col min="13834" max="13834" width="11.625" style="260" customWidth="1"/>
    <col min="13835" max="14080" width="8.875" style="260"/>
    <col min="14081" max="14081" width="19.5" style="260" customWidth="1"/>
    <col min="14082" max="14083" width="12.125" style="260" customWidth="1"/>
    <col min="14084" max="14084" width="13.75" style="260" customWidth="1"/>
    <col min="14085" max="14085" width="14.625" style="260" customWidth="1"/>
    <col min="14086" max="14086" width="15.125" style="260" customWidth="1"/>
    <col min="14087" max="14087" width="12.25" style="260" customWidth="1"/>
    <col min="14088" max="14088" width="12.5" style="260" customWidth="1"/>
    <col min="14089" max="14089" width="12.25" style="260" customWidth="1"/>
    <col min="14090" max="14090" width="11.625" style="260" customWidth="1"/>
    <col min="14091" max="14336" width="8.875" style="260"/>
    <col min="14337" max="14337" width="19.5" style="260" customWidth="1"/>
    <col min="14338" max="14339" width="12.125" style="260" customWidth="1"/>
    <col min="14340" max="14340" width="13.75" style="260" customWidth="1"/>
    <col min="14341" max="14341" width="14.625" style="260" customWidth="1"/>
    <col min="14342" max="14342" width="15.125" style="260" customWidth="1"/>
    <col min="14343" max="14343" width="12.25" style="260" customWidth="1"/>
    <col min="14344" max="14344" width="12.5" style="260" customWidth="1"/>
    <col min="14345" max="14345" width="12.25" style="260" customWidth="1"/>
    <col min="14346" max="14346" width="11.625" style="260" customWidth="1"/>
    <col min="14347" max="14592" width="8.875" style="260"/>
    <col min="14593" max="14593" width="19.5" style="260" customWidth="1"/>
    <col min="14594" max="14595" width="12.125" style="260" customWidth="1"/>
    <col min="14596" max="14596" width="13.75" style="260" customWidth="1"/>
    <col min="14597" max="14597" width="14.625" style="260" customWidth="1"/>
    <col min="14598" max="14598" width="15.125" style="260" customWidth="1"/>
    <col min="14599" max="14599" width="12.25" style="260" customWidth="1"/>
    <col min="14600" max="14600" width="12.5" style="260" customWidth="1"/>
    <col min="14601" max="14601" width="12.25" style="260" customWidth="1"/>
    <col min="14602" max="14602" width="11.625" style="260" customWidth="1"/>
    <col min="14603" max="14848" width="8.875" style="260"/>
    <col min="14849" max="14849" width="19.5" style="260" customWidth="1"/>
    <col min="14850" max="14851" width="12.125" style="260" customWidth="1"/>
    <col min="14852" max="14852" width="13.75" style="260" customWidth="1"/>
    <col min="14853" max="14853" width="14.625" style="260" customWidth="1"/>
    <col min="14854" max="14854" width="15.125" style="260" customWidth="1"/>
    <col min="14855" max="14855" width="12.25" style="260" customWidth="1"/>
    <col min="14856" max="14856" width="12.5" style="260" customWidth="1"/>
    <col min="14857" max="14857" width="12.25" style="260" customWidth="1"/>
    <col min="14858" max="14858" width="11.625" style="260" customWidth="1"/>
    <col min="14859" max="15104" width="8.875" style="260"/>
    <col min="15105" max="15105" width="19.5" style="260" customWidth="1"/>
    <col min="15106" max="15107" width="12.125" style="260" customWidth="1"/>
    <col min="15108" max="15108" width="13.75" style="260" customWidth="1"/>
    <col min="15109" max="15109" width="14.625" style="260" customWidth="1"/>
    <col min="15110" max="15110" width="15.125" style="260" customWidth="1"/>
    <col min="15111" max="15111" width="12.25" style="260" customWidth="1"/>
    <col min="15112" max="15112" width="12.5" style="260" customWidth="1"/>
    <col min="15113" max="15113" width="12.25" style="260" customWidth="1"/>
    <col min="15114" max="15114" width="11.625" style="260" customWidth="1"/>
    <col min="15115" max="15360" width="8.875" style="260"/>
    <col min="15361" max="15361" width="19.5" style="260" customWidth="1"/>
    <col min="15362" max="15363" width="12.125" style="260" customWidth="1"/>
    <col min="15364" max="15364" width="13.75" style="260" customWidth="1"/>
    <col min="15365" max="15365" width="14.625" style="260" customWidth="1"/>
    <col min="15366" max="15366" width="15.125" style="260" customWidth="1"/>
    <col min="15367" max="15367" width="12.25" style="260" customWidth="1"/>
    <col min="15368" max="15368" width="12.5" style="260" customWidth="1"/>
    <col min="15369" max="15369" width="12.25" style="260" customWidth="1"/>
    <col min="15370" max="15370" width="11.625" style="260" customWidth="1"/>
    <col min="15371" max="15616" width="8.875" style="260"/>
    <col min="15617" max="15617" width="19.5" style="260" customWidth="1"/>
    <col min="15618" max="15619" width="12.125" style="260" customWidth="1"/>
    <col min="15620" max="15620" width="13.75" style="260" customWidth="1"/>
    <col min="15621" max="15621" width="14.625" style="260" customWidth="1"/>
    <col min="15622" max="15622" width="15.125" style="260" customWidth="1"/>
    <col min="15623" max="15623" width="12.25" style="260" customWidth="1"/>
    <col min="15624" max="15624" width="12.5" style="260" customWidth="1"/>
    <col min="15625" max="15625" width="12.25" style="260" customWidth="1"/>
    <col min="15626" max="15626" width="11.625" style="260" customWidth="1"/>
    <col min="15627" max="15872" width="8.875" style="260"/>
    <col min="15873" max="15873" width="19.5" style="260" customWidth="1"/>
    <col min="15874" max="15875" width="12.125" style="260" customWidth="1"/>
    <col min="15876" max="15876" width="13.75" style="260" customWidth="1"/>
    <col min="15877" max="15877" width="14.625" style="260" customWidth="1"/>
    <col min="15878" max="15878" width="15.125" style="260" customWidth="1"/>
    <col min="15879" max="15879" width="12.25" style="260" customWidth="1"/>
    <col min="15880" max="15880" width="12.5" style="260" customWidth="1"/>
    <col min="15881" max="15881" width="12.25" style="260" customWidth="1"/>
    <col min="15882" max="15882" width="11.625" style="260" customWidth="1"/>
    <col min="15883" max="16128" width="8.875" style="260"/>
    <col min="16129" max="16129" width="19.5" style="260" customWidth="1"/>
    <col min="16130" max="16131" width="12.125" style="260" customWidth="1"/>
    <col min="16132" max="16132" width="13.75" style="260" customWidth="1"/>
    <col min="16133" max="16133" width="14.625" style="260" customWidth="1"/>
    <col min="16134" max="16134" width="15.125" style="260" customWidth="1"/>
    <col min="16135" max="16135" width="12.25" style="260" customWidth="1"/>
    <col min="16136" max="16136" width="12.5" style="260" customWidth="1"/>
    <col min="16137" max="16137" width="12.25" style="260" customWidth="1"/>
    <col min="16138" max="16138" width="11.625" style="260" customWidth="1"/>
    <col min="16139" max="16384" width="8.875" style="260"/>
  </cols>
  <sheetData>
    <row r="1" spans="1:10" ht="19.5">
      <c r="A1" s="255" t="s">
        <v>501</v>
      </c>
      <c r="B1" s="256"/>
      <c r="C1" s="257"/>
      <c r="D1" s="258"/>
      <c r="E1" s="256"/>
      <c r="F1" s="257"/>
      <c r="G1" s="259"/>
    </row>
    <row r="2" spans="1:10" ht="9.75" customHeight="1">
      <c r="G2" s="263"/>
    </row>
    <row r="3" spans="1:10" ht="17.25">
      <c r="A3" s="264" t="s">
        <v>153</v>
      </c>
      <c r="B3" s="265"/>
      <c r="C3" s="265"/>
      <c r="D3" s="265"/>
      <c r="E3" s="266"/>
      <c r="F3" s="266"/>
      <c r="G3" s="266"/>
      <c r="H3" s="266"/>
      <c r="I3" s="266"/>
      <c r="J3" s="267"/>
    </row>
    <row r="4" spans="1:10" ht="17.25">
      <c r="A4" s="268" t="s">
        <v>154</v>
      </c>
      <c r="B4" s="269"/>
      <c r="C4" s="269"/>
      <c r="D4" s="269"/>
      <c r="E4" s="270"/>
      <c r="F4" s="270"/>
      <c r="G4" s="270"/>
      <c r="H4" s="270"/>
      <c r="I4" s="270"/>
      <c r="J4" s="271"/>
    </row>
    <row r="5" spans="1:10">
      <c r="A5" s="69" t="s">
        <v>495</v>
      </c>
      <c r="B5" s="8" t="s">
        <v>446</v>
      </c>
      <c r="C5" s="539" t="s">
        <v>463</v>
      </c>
      <c r="D5" s="71" t="s">
        <v>155</v>
      </c>
      <c r="E5" s="8" t="s">
        <v>446</v>
      </c>
      <c r="F5" s="539" t="s">
        <v>463</v>
      </c>
      <c r="G5" s="73" t="s">
        <v>156</v>
      </c>
      <c r="H5" s="8" t="s">
        <v>446</v>
      </c>
      <c r="I5" s="70" t="s">
        <v>447</v>
      </c>
      <c r="J5" s="200" t="s">
        <v>36</v>
      </c>
    </row>
    <row r="6" spans="1:10">
      <c r="A6" s="273"/>
      <c r="B6" s="272" t="s">
        <v>32</v>
      </c>
      <c r="C6" s="535" t="s">
        <v>32</v>
      </c>
      <c r="D6" s="465" t="s">
        <v>1</v>
      </c>
      <c r="E6" s="274" t="s">
        <v>33</v>
      </c>
      <c r="F6" s="541" t="s">
        <v>33</v>
      </c>
      <c r="G6" s="465" t="s">
        <v>1</v>
      </c>
      <c r="H6" s="275" t="s">
        <v>35</v>
      </c>
      <c r="I6" s="467" t="s">
        <v>415</v>
      </c>
      <c r="J6" s="465" t="s">
        <v>1</v>
      </c>
    </row>
    <row r="7" spans="1:10">
      <c r="A7" s="276" t="s">
        <v>4</v>
      </c>
      <c r="B7" s="277"/>
      <c r="C7" s="536"/>
      <c r="D7" s="203"/>
      <c r="E7" s="278"/>
      <c r="F7" s="542"/>
      <c r="G7" s="466"/>
      <c r="H7" s="279"/>
      <c r="I7" s="82"/>
      <c r="J7" s="204"/>
    </row>
    <row r="8" spans="1:10">
      <c r="A8" s="276" t="s">
        <v>5</v>
      </c>
      <c r="B8" s="280">
        <f>SUM(B9:B11)</f>
        <v>95708</v>
      </c>
      <c r="C8" s="537">
        <v>139023</v>
      </c>
      <c r="D8" s="470">
        <f>IF(C8,(B8-C8)/C8,0)</f>
        <v>-0.31156715075922686</v>
      </c>
      <c r="E8" s="281">
        <f>SUM(E9:E11)</f>
        <v>199923489</v>
      </c>
      <c r="F8" s="533">
        <v>298006428</v>
      </c>
      <c r="G8" s="469">
        <f>IF(F8,(E8-F8)/F8,0)</f>
        <v>-0.3291302796998728</v>
      </c>
      <c r="H8" s="85">
        <f>IF(B8,E8/B8,0)</f>
        <v>2088.8900509884229</v>
      </c>
      <c r="I8" s="86">
        <f>IF(C8,F8/C8,0)</f>
        <v>2143.5764441854944</v>
      </c>
      <c r="J8" s="471">
        <f t="shared" ref="J8:J64" si="0">IF(I8,(H8-I8)/I8,0)</f>
        <v>-2.5511753194251491E-2</v>
      </c>
    </row>
    <row r="9" spans="1:10">
      <c r="A9" s="282" t="s">
        <v>160</v>
      </c>
      <c r="B9" s="283">
        <f>電輔車!E9</f>
        <v>84495</v>
      </c>
      <c r="C9" s="533">
        <v>123759</v>
      </c>
      <c r="D9" s="470">
        <f t="shared" ref="D9:D64" si="1">IF(C9,(B9-C9)/C9,0)</f>
        <v>-0.31726177490121932</v>
      </c>
      <c r="E9" s="284">
        <f>電輔車!G9</f>
        <v>177267776</v>
      </c>
      <c r="F9" s="534">
        <v>265236922</v>
      </c>
      <c r="G9" s="469">
        <f t="shared" ref="G9:G64" si="2">IF(F9,(E9-F9)/F9,0)</f>
        <v>-0.33166252019769704</v>
      </c>
      <c r="H9" s="85">
        <f t="shared" ref="H9:H11" si="3">IF(B9,E9/B9,0)</f>
        <v>2097.967643055802</v>
      </c>
      <c r="I9" s="86">
        <f t="shared" ref="I9:I11" si="4">IF(C9,F9/C9,0)</f>
        <v>2143.1727955138617</v>
      </c>
      <c r="J9" s="471">
        <f t="shared" si="0"/>
        <v>-2.1092630772788917E-2</v>
      </c>
    </row>
    <row r="10" spans="1:10">
      <c r="A10" s="285" t="s">
        <v>6</v>
      </c>
      <c r="B10" s="283">
        <f>電輔車!E10</f>
        <v>10738</v>
      </c>
      <c r="C10" s="533">
        <v>14331</v>
      </c>
      <c r="D10" s="470">
        <f t="shared" si="1"/>
        <v>-0.25071523271230201</v>
      </c>
      <c r="E10" s="284">
        <f>電輔車!G10</f>
        <v>21641414</v>
      </c>
      <c r="F10" s="534">
        <v>30696594</v>
      </c>
      <c r="G10" s="469">
        <f t="shared" si="2"/>
        <v>-0.29498973078250962</v>
      </c>
      <c r="H10" s="85">
        <f t="shared" si="3"/>
        <v>2015.4045446079344</v>
      </c>
      <c r="I10" s="86">
        <f t="shared" si="4"/>
        <v>2141.9715302491104</v>
      </c>
      <c r="J10" s="471">
        <f t="shared" si="0"/>
        <v>-5.908901395456749E-2</v>
      </c>
    </row>
    <row r="11" spans="1:10">
      <c r="A11" s="285" t="s">
        <v>7</v>
      </c>
      <c r="B11" s="283">
        <f>電輔車!E11</f>
        <v>475</v>
      </c>
      <c r="C11" s="533">
        <v>933</v>
      </c>
      <c r="D11" s="470">
        <f t="shared" si="1"/>
        <v>-0.49088960342979637</v>
      </c>
      <c r="E11" s="284">
        <f>電輔車!G11</f>
        <v>1014299</v>
      </c>
      <c r="F11" s="534">
        <v>2072912</v>
      </c>
      <c r="G11" s="469">
        <f t="shared" si="2"/>
        <v>-0.51068882808339189</v>
      </c>
      <c r="H11" s="85">
        <f t="shared" si="3"/>
        <v>2135.3663157894739</v>
      </c>
      <c r="I11" s="86">
        <f t="shared" si="4"/>
        <v>2221.770632368703</v>
      </c>
      <c r="J11" s="471">
        <f t="shared" si="0"/>
        <v>-3.888984547748324E-2</v>
      </c>
    </row>
    <row r="12" spans="1:10">
      <c r="A12" s="285"/>
      <c r="B12" s="283"/>
      <c r="C12" s="538"/>
      <c r="D12" s="470"/>
      <c r="E12" s="284"/>
      <c r="F12" s="534"/>
      <c r="G12" s="469"/>
      <c r="H12" s="85"/>
      <c r="I12" s="86"/>
      <c r="J12" s="471"/>
    </row>
    <row r="13" spans="1:10">
      <c r="A13" s="286" t="s">
        <v>8</v>
      </c>
      <c r="B13" s="287">
        <f>SUM(B14:B40)</f>
        <v>159681</v>
      </c>
      <c r="C13" s="538">
        <v>370117</v>
      </c>
      <c r="D13" s="470">
        <f t="shared" si="1"/>
        <v>-0.56856615610739303</v>
      </c>
      <c r="E13" s="287">
        <f>SUM(E14:E40)</f>
        <v>269999515</v>
      </c>
      <c r="F13" s="534">
        <v>577200407</v>
      </c>
      <c r="G13" s="469">
        <f t="shared" si="2"/>
        <v>-0.53222570232872346</v>
      </c>
      <c r="H13" s="85">
        <f t="shared" ref="H13:H18" si="5">IF(B13,E13/B13,0)</f>
        <v>1690.8681370983397</v>
      </c>
      <c r="I13" s="86">
        <f t="shared" ref="I13:I18" si="6">IF(C13,F13/C13,0)</f>
        <v>1559.5079582942692</v>
      </c>
      <c r="J13" s="471">
        <f t="shared" si="0"/>
        <v>8.423181049216788E-2</v>
      </c>
    </row>
    <row r="14" spans="1:10">
      <c r="A14" s="425" t="s">
        <v>245</v>
      </c>
      <c r="B14" s="284">
        <f>電輔車!E14</f>
        <v>93841</v>
      </c>
      <c r="C14" s="533">
        <v>221264</v>
      </c>
      <c r="D14" s="470">
        <f t="shared" si="1"/>
        <v>-0.57588672355195603</v>
      </c>
      <c r="E14" s="284">
        <f>電輔車!G14</f>
        <v>166167398</v>
      </c>
      <c r="F14" s="534">
        <v>365027388</v>
      </c>
      <c r="G14" s="469">
        <f t="shared" si="2"/>
        <v>-0.54478101243186716</v>
      </c>
      <c r="H14" s="85">
        <f t="shared" si="5"/>
        <v>1770.7334533945716</v>
      </c>
      <c r="I14" s="86">
        <f t="shared" si="6"/>
        <v>1649.7369115626582</v>
      </c>
      <c r="J14" s="471">
        <f t="shared" si="0"/>
        <v>7.3342931823780003E-2</v>
      </c>
    </row>
    <row r="15" spans="1:10">
      <c r="A15" s="425" t="s">
        <v>246</v>
      </c>
      <c r="B15" s="284">
        <f>電輔車!E15</f>
        <v>29346</v>
      </c>
      <c r="C15" s="533">
        <v>61812</v>
      </c>
      <c r="D15" s="470">
        <f t="shared" si="1"/>
        <v>-0.52523781789943702</v>
      </c>
      <c r="E15" s="284">
        <f>電輔車!G15</f>
        <v>38522686</v>
      </c>
      <c r="F15" s="534">
        <v>67505814</v>
      </c>
      <c r="G15" s="469">
        <f t="shared" si="2"/>
        <v>-0.42934269335675296</v>
      </c>
      <c r="H15" s="85">
        <f t="shared" si="5"/>
        <v>1312.7065358140803</v>
      </c>
      <c r="I15" s="86">
        <f t="shared" si="6"/>
        <v>1092.1150262085032</v>
      </c>
      <c r="J15" s="471">
        <f t="shared" si="0"/>
        <v>0.20198560070307328</v>
      </c>
    </row>
    <row r="16" spans="1:10">
      <c r="A16" s="426" t="s">
        <v>9</v>
      </c>
      <c r="B16" s="284">
        <f>電輔車!E16</f>
        <v>6790</v>
      </c>
      <c r="C16" s="533">
        <v>7820</v>
      </c>
      <c r="D16" s="470">
        <f t="shared" si="1"/>
        <v>-0.13171355498721227</v>
      </c>
      <c r="E16" s="284">
        <f>電輔車!G16</f>
        <v>14023158</v>
      </c>
      <c r="F16" s="534">
        <v>14149554</v>
      </c>
      <c r="G16" s="469">
        <f t="shared" si="2"/>
        <v>-8.9328610640307116E-3</v>
      </c>
      <c r="H16" s="85">
        <f t="shared" si="5"/>
        <v>2065.2662739322532</v>
      </c>
      <c r="I16" s="86">
        <f t="shared" si="6"/>
        <v>1809.4058823529413</v>
      </c>
      <c r="J16" s="471">
        <f t="shared" si="0"/>
        <v>0.14140574764054181</v>
      </c>
    </row>
    <row r="17" spans="1:10">
      <c r="A17" s="425" t="s">
        <v>247</v>
      </c>
      <c r="B17" s="284">
        <f>電輔車!E17</f>
        <v>6051</v>
      </c>
      <c r="C17" s="533">
        <v>16645</v>
      </c>
      <c r="D17" s="470">
        <f t="shared" si="1"/>
        <v>-0.63646740762991894</v>
      </c>
      <c r="E17" s="284">
        <f>電輔車!G17</f>
        <v>8799307</v>
      </c>
      <c r="F17" s="534">
        <v>22226330</v>
      </c>
      <c r="G17" s="469">
        <f t="shared" si="2"/>
        <v>-0.604104366307888</v>
      </c>
      <c r="H17" s="85">
        <f t="shared" si="5"/>
        <v>1454.190547017022</v>
      </c>
      <c r="I17" s="86">
        <f t="shared" si="6"/>
        <v>1335.3157104235506</v>
      </c>
      <c r="J17" s="471">
        <f t="shared" si="0"/>
        <v>8.9023768435829556E-2</v>
      </c>
    </row>
    <row r="18" spans="1:10">
      <c r="A18" s="426" t="s">
        <v>10</v>
      </c>
      <c r="B18" s="284">
        <f>電輔車!E18</f>
        <v>7162</v>
      </c>
      <c r="C18" s="533">
        <v>8098</v>
      </c>
      <c r="D18" s="470">
        <f t="shared" si="1"/>
        <v>-0.11558409483823166</v>
      </c>
      <c r="E18" s="284">
        <f>電輔車!G18</f>
        <v>15637067</v>
      </c>
      <c r="F18" s="534">
        <v>18149562</v>
      </c>
      <c r="G18" s="469">
        <f t="shared" si="2"/>
        <v>-0.13843281727680259</v>
      </c>
      <c r="H18" s="85">
        <f t="shared" si="5"/>
        <v>2183.3380340686958</v>
      </c>
      <c r="I18" s="86">
        <f t="shared" si="6"/>
        <v>2241.240059273895</v>
      </c>
      <c r="J18" s="471">
        <f t="shared" si="0"/>
        <v>-2.5834816295385126E-2</v>
      </c>
    </row>
    <row r="19" spans="1:10">
      <c r="A19" s="426" t="s">
        <v>11</v>
      </c>
      <c r="B19" s="284">
        <f>電輔車!E19</f>
        <v>1173</v>
      </c>
      <c r="C19" s="533">
        <v>9390</v>
      </c>
      <c r="D19" s="470">
        <f t="shared" si="1"/>
        <v>-0.87507987220447281</v>
      </c>
      <c r="E19" s="284">
        <f>電輔車!G19</f>
        <v>3023253</v>
      </c>
      <c r="F19" s="534">
        <v>18686600</v>
      </c>
      <c r="G19" s="469">
        <f t="shared" si="2"/>
        <v>-0.83821278349191397</v>
      </c>
      <c r="H19" s="85">
        <f>IF(B19,E19/B19,0)</f>
        <v>2577.3682864450129</v>
      </c>
      <c r="I19" s="86">
        <f>IF(C19,F19/C19,0)</f>
        <v>1990.0532481363152</v>
      </c>
      <c r="J19" s="471">
        <f t="shared" si="0"/>
        <v>0.29512528815935862</v>
      </c>
    </row>
    <row r="20" spans="1:10">
      <c r="A20" s="425" t="s">
        <v>249</v>
      </c>
      <c r="B20" s="284">
        <f>電輔車!E20</f>
        <v>2415</v>
      </c>
      <c r="C20" s="533">
        <v>7506</v>
      </c>
      <c r="D20" s="470">
        <f t="shared" si="1"/>
        <v>-0.67825739408473218</v>
      </c>
      <c r="E20" s="284">
        <f>電輔車!G20</f>
        <v>3994945</v>
      </c>
      <c r="F20" s="534">
        <v>10333530</v>
      </c>
      <c r="G20" s="469">
        <f t="shared" si="2"/>
        <v>-0.61339977723004624</v>
      </c>
      <c r="H20" s="85">
        <f t="shared" ref="H20:H33" si="7">IF(B20,E20/B20,0)</f>
        <v>1654.2215320910973</v>
      </c>
      <c r="I20" s="86">
        <f t="shared" ref="I20:I33" si="8">IF(C20,F20/C20,0)</f>
        <v>1376.7026378896883</v>
      </c>
      <c r="J20" s="471">
        <f t="shared" si="0"/>
        <v>0.20158230729245244</v>
      </c>
    </row>
    <row r="21" spans="1:10">
      <c r="A21" s="426" t="s">
        <v>12</v>
      </c>
      <c r="B21" s="284">
        <f>電輔車!E21</f>
        <v>12</v>
      </c>
      <c r="C21" s="533">
        <v>93</v>
      </c>
      <c r="D21" s="470">
        <f t="shared" si="1"/>
        <v>-0.87096774193548387</v>
      </c>
      <c r="E21" s="284">
        <f>電輔車!G21</f>
        <v>9282</v>
      </c>
      <c r="F21" s="534">
        <v>154188</v>
      </c>
      <c r="G21" s="469">
        <f t="shared" si="2"/>
        <v>-0.93980076270526891</v>
      </c>
      <c r="H21" s="85">
        <f t="shared" si="7"/>
        <v>773.5</v>
      </c>
      <c r="I21" s="86">
        <f t="shared" si="8"/>
        <v>1657.9354838709678</v>
      </c>
      <c r="J21" s="471">
        <f t="shared" si="0"/>
        <v>-0.53345591096583389</v>
      </c>
    </row>
    <row r="22" spans="1:10">
      <c r="A22" s="425" t="s">
        <v>250</v>
      </c>
      <c r="B22" s="284">
        <f>電輔車!E22</f>
        <v>0</v>
      </c>
      <c r="C22" s="533">
        <v>16291</v>
      </c>
      <c r="D22" s="470">
        <f t="shared" si="1"/>
        <v>-1</v>
      </c>
      <c r="E22" s="284">
        <f>電輔車!G22</f>
        <v>0</v>
      </c>
      <c r="F22" s="534">
        <v>40089880</v>
      </c>
      <c r="G22" s="469">
        <f t="shared" si="2"/>
        <v>-1</v>
      </c>
      <c r="H22" s="85">
        <f t="shared" si="7"/>
        <v>0</v>
      </c>
      <c r="I22" s="86">
        <f t="shared" si="8"/>
        <v>2460.8605978761279</v>
      </c>
      <c r="J22" s="471">
        <f t="shared" si="0"/>
        <v>-1</v>
      </c>
    </row>
    <row r="23" spans="1:10">
      <c r="A23" s="426" t="s">
        <v>13</v>
      </c>
      <c r="B23" s="284">
        <f>電輔車!E23</f>
        <v>52</v>
      </c>
      <c r="C23" s="533">
        <v>0</v>
      </c>
      <c r="D23" s="470">
        <v>0</v>
      </c>
      <c r="E23" s="284">
        <f>電輔車!G23</f>
        <v>62350</v>
      </c>
      <c r="F23" s="534">
        <v>0</v>
      </c>
      <c r="G23" s="469">
        <v>0</v>
      </c>
      <c r="H23" s="85">
        <f t="shared" si="7"/>
        <v>1199.0384615384614</v>
      </c>
      <c r="I23" s="86">
        <f t="shared" si="8"/>
        <v>0</v>
      </c>
      <c r="J23" s="471">
        <f t="shared" si="0"/>
        <v>0</v>
      </c>
    </row>
    <row r="24" spans="1:10">
      <c r="A24" s="426" t="s">
        <v>14</v>
      </c>
      <c r="B24" s="284">
        <f>電輔車!E24</f>
        <v>0</v>
      </c>
      <c r="C24" s="533">
        <v>0</v>
      </c>
      <c r="D24" s="470">
        <v>0</v>
      </c>
      <c r="E24" s="284">
        <f>電輔車!G24</f>
        <v>0</v>
      </c>
      <c r="F24" s="534">
        <v>0</v>
      </c>
      <c r="G24" s="469">
        <v>0</v>
      </c>
      <c r="H24" s="85">
        <f t="shared" si="7"/>
        <v>0</v>
      </c>
      <c r="I24" s="86">
        <f t="shared" si="8"/>
        <v>0</v>
      </c>
      <c r="J24" s="471">
        <f t="shared" si="0"/>
        <v>0</v>
      </c>
    </row>
    <row r="25" spans="1:10">
      <c r="A25" s="426" t="s">
        <v>15</v>
      </c>
      <c r="B25" s="284">
        <f>電輔車!E25</f>
        <v>223</v>
      </c>
      <c r="C25" s="533">
        <v>2970</v>
      </c>
      <c r="D25" s="470">
        <f t="shared" si="1"/>
        <v>-0.92491582491582491</v>
      </c>
      <c r="E25" s="284">
        <f>電輔車!G25</f>
        <v>518810</v>
      </c>
      <c r="F25" s="534">
        <v>6027913</v>
      </c>
      <c r="G25" s="469">
        <f t="shared" si="2"/>
        <v>-0.91393206902621194</v>
      </c>
      <c r="H25" s="85">
        <f t="shared" si="7"/>
        <v>2326.5022421524664</v>
      </c>
      <c r="I25" s="86">
        <f t="shared" si="8"/>
        <v>2029.6003367003368</v>
      </c>
      <c r="J25" s="471">
        <f t="shared" si="0"/>
        <v>0.14628589682578774</v>
      </c>
    </row>
    <row r="26" spans="1:10">
      <c r="A26" s="425" t="s">
        <v>253</v>
      </c>
      <c r="B26" s="284">
        <f>電輔車!E26</f>
        <v>2580</v>
      </c>
      <c r="C26" s="533">
        <v>6168</v>
      </c>
      <c r="D26" s="470">
        <f t="shared" si="1"/>
        <v>-0.58171206225680938</v>
      </c>
      <c r="E26" s="284">
        <f>電輔車!G26</f>
        <v>1038824</v>
      </c>
      <c r="F26" s="534">
        <v>2922164</v>
      </c>
      <c r="G26" s="469">
        <f t="shared" si="2"/>
        <v>-0.64450181440877374</v>
      </c>
      <c r="H26" s="85">
        <f t="shared" si="7"/>
        <v>402.64496124031007</v>
      </c>
      <c r="I26" s="86">
        <f t="shared" si="8"/>
        <v>473.76199740596627</v>
      </c>
      <c r="J26" s="471">
        <f t="shared" si="0"/>
        <v>-0.15011131444702194</v>
      </c>
    </row>
    <row r="27" spans="1:10">
      <c r="A27" s="425" t="s">
        <v>255</v>
      </c>
      <c r="B27" s="284">
        <f>電輔車!E27</f>
        <v>421</v>
      </c>
      <c r="C27" s="533">
        <v>1342</v>
      </c>
      <c r="D27" s="470">
        <f t="shared" si="1"/>
        <v>-0.6862891207153502</v>
      </c>
      <c r="E27" s="284">
        <f>電輔車!G27</f>
        <v>633468</v>
      </c>
      <c r="F27" s="534">
        <v>1673351</v>
      </c>
      <c r="G27" s="469">
        <f t="shared" si="2"/>
        <v>-0.62143746291124813</v>
      </c>
      <c r="H27" s="85">
        <f t="shared" si="7"/>
        <v>1504.6745843230403</v>
      </c>
      <c r="I27" s="86">
        <f t="shared" si="8"/>
        <v>1246.9083457526081</v>
      </c>
      <c r="J27" s="471">
        <f t="shared" si="0"/>
        <v>0.2067242868719833</v>
      </c>
    </row>
    <row r="28" spans="1:10">
      <c r="A28" s="426" t="s">
        <v>256</v>
      </c>
      <c r="B28" s="284">
        <f>電輔車!E28</f>
        <v>794</v>
      </c>
      <c r="C28" s="533">
        <v>2747</v>
      </c>
      <c r="D28" s="470">
        <f t="shared" si="1"/>
        <v>-0.71095740808154351</v>
      </c>
      <c r="E28" s="284">
        <f>電輔車!G28</f>
        <v>1597021</v>
      </c>
      <c r="F28" s="534">
        <v>5264799</v>
      </c>
      <c r="G28" s="469">
        <f t="shared" si="2"/>
        <v>-0.69666059426010374</v>
      </c>
      <c r="H28" s="85">
        <f t="shared" si="7"/>
        <v>2011.3614609571789</v>
      </c>
      <c r="I28" s="86">
        <f t="shared" si="8"/>
        <v>1916.5631598107025</v>
      </c>
      <c r="J28" s="471">
        <f t="shared" si="0"/>
        <v>4.9462654367122237E-2</v>
      </c>
    </row>
    <row r="29" spans="1:10">
      <c r="A29" s="436" t="s">
        <v>257</v>
      </c>
      <c r="B29" s="284">
        <f>電輔車!E29</f>
        <v>1466</v>
      </c>
      <c r="C29" s="533">
        <v>7692</v>
      </c>
      <c r="D29" s="470">
        <f t="shared" si="1"/>
        <v>-0.80941237649505982</v>
      </c>
      <c r="E29" s="284">
        <f>電輔車!G29</f>
        <v>1453864</v>
      </c>
      <c r="F29" s="534">
        <v>4555402</v>
      </c>
      <c r="G29" s="469">
        <f t="shared" si="2"/>
        <v>-0.68084836420583739</v>
      </c>
      <c r="H29" s="85">
        <f t="shared" si="7"/>
        <v>991.72169167803543</v>
      </c>
      <c r="I29" s="86">
        <f t="shared" si="8"/>
        <v>592.22594903796153</v>
      </c>
      <c r="J29" s="471">
        <f t="shared" si="0"/>
        <v>0.67456642737291861</v>
      </c>
    </row>
    <row r="30" spans="1:10">
      <c r="A30" s="436" t="s">
        <v>258</v>
      </c>
      <c r="B30" s="284">
        <f>電輔車!E30</f>
        <v>195</v>
      </c>
      <c r="C30" s="533">
        <v>236</v>
      </c>
      <c r="D30" s="470">
        <f t="shared" si="1"/>
        <v>-0.17372881355932204</v>
      </c>
      <c r="E30" s="284">
        <f>電輔車!G30</f>
        <v>379576</v>
      </c>
      <c r="F30" s="534">
        <v>404514</v>
      </c>
      <c r="G30" s="469">
        <f t="shared" si="2"/>
        <v>-6.1649287787320095E-2</v>
      </c>
      <c r="H30" s="85">
        <f t="shared" si="7"/>
        <v>1946.5435897435898</v>
      </c>
      <c r="I30" s="86">
        <f t="shared" si="8"/>
        <v>1714.042372881356</v>
      </c>
      <c r="J30" s="471">
        <f t="shared" si="0"/>
        <v>0.13564496452406391</v>
      </c>
    </row>
    <row r="31" spans="1:10">
      <c r="A31" s="436" t="s">
        <v>259</v>
      </c>
      <c r="B31" s="284">
        <f>電輔車!E31</f>
        <v>0</v>
      </c>
      <c r="C31" s="533">
        <v>0</v>
      </c>
      <c r="D31" s="470">
        <v>0</v>
      </c>
      <c r="E31" s="284">
        <f>電輔車!G31</f>
        <v>0</v>
      </c>
      <c r="F31" s="534">
        <v>0</v>
      </c>
      <c r="G31" s="469">
        <v>0</v>
      </c>
      <c r="H31" s="85">
        <f t="shared" si="7"/>
        <v>0</v>
      </c>
      <c r="I31" s="86">
        <f t="shared" si="8"/>
        <v>0</v>
      </c>
      <c r="J31" s="471">
        <f t="shared" si="0"/>
        <v>0</v>
      </c>
    </row>
    <row r="32" spans="1:10">
      <c r="A32" s="436" t="s">
        <v>261</v>
      </c>
      <c r="B32" s="284">
        <f>電輔車!E32</f>
        <v>0</v>
      </c>
      <c r="C32" s="533">
        <v>43</v>
      </c>
      <c r="D32" s="470">
        <f t="shared" si="1"/>
        <v>-1</v>
      </c>
      <c r="E32" s="284">
        <f>電輔車!G32</f>
        <v>0</v>
      </c>
      <c r="F32" s="534">
        <v>29418</v>
      </c>
      <c r="G32" s="469">
        <f t="shared" si="2"/>
        <v>-1</v>
      </c>
      <c r="H32" s="85">
        <f t="shared" si="7"/>
        <v>0</v>
      </c>
      <c r="I32" s="86">
        <f t="shared" si="8"/>
        <v>684.1395348837209</v>
      </c>
      <c r="J32" s="471">
        <f t="shared" si="0"/>
        <v>-1</v>
      </c>
    </row>
    <row r="33" spans="1:10">
      <c r="A33" s="436" t="s">
        <v>263</v>
      </c>
      <c r="B33" s="284">
        <f>電輔車!E33</f>
        <v>0</v>
      </c>
      <c r="C33" s="533">
        <v>0</v>
      </c>
      <c r="D33" s="470">
        <v>0</v>
      </c>
      <c r="E33" s="284">
        <f>電輔車!G33</f>
        <v>0</v>
      </c>
      <c r="F33" s="534">
        <v>0</v>
      </c>
      <c r="G33" s="469">
        <v>0</v>
      </c>
      <c r="H33" s="85">
        <f t="shared" si="7"/>
        <v>0</v>
      </c>
      <c r="I33" s="86">
        <f t="shared" si="8"/>
        <v>0</v>
      </c>
      <c r="J33" s="471">
        <f t="shared" si="0"/>
        <v>0</v>
      </c>
    </row>
    <row r="34" spans="1:10">
      <c r="A34" s="436" t="s">
        <v>264</v>
      </c>
      <c r="B34" s="284">
        <f>電輔車!E34</f>
        <v>0</v>
      </c>
      <c r="C34" s="533">
        <v>0</v>
      </c>
      <c r="D34" s="470">
        <v>0</v>
      </c>
      <c r="E34" s="284">
        <f>電輔車!G34</f>
        <v>0</v>
      </c>
      <c r="F34" s="534">
        <v>0</v>
      </c>
      <c r="G34" s="469">
        <v>0</v>
      </c>
      <c r="H34" s="85">
        <f t="shared" ref="H34:H63" si="9">IF(B34,E34/B34,0)</f>
        <v>0</v>
      </c>
      <c r="I34" s="86">
        <f t="shared" ref="I34:I63" si="10">IF(C34,F34/C34,0)</f>
        <v>0</v>
      </c>
      <c r="J34" s="471">
        <f t="shared" si="0"/>
        <v>0</v>
      </c>
    </row>
    <row r="35" spans="1:10">
      <c r="A35" s="437" t="s">
        <v>382</v>
      </c>
      <c r="B35" s="284">
        <f>電輔車!E35</f>
        <v>0</v>
      </c>
      <c r="C35" s="533">
        <v>0</v>
      </c>
      <c r="D35" s="470">
        <v>0</v>
      </c>
      <c r="E35" s="284">
        <f>電輔車!G35</f>
        <v>0</v>
      </c>
      <c r="F35" s="534">
        <v>0</v>
      </c>
      <c r="G35" s="469">
        <v>0</v>
      </c>
      <c r="H35" s="85">
        <f t="shared" si="9"/>
        <v>0</v>
      </c>
      <c r="I35" s="86">
        <f t="shared" si="10"/>
        <v>0</v>
      </c>
      <c r="J35" s="471">
        <f t="shared" si="0"/>
        <v>0</v>
      </c>
    </row>
    <row r="36" spans="1:10">
      <c r="A36" s="436" t="s">
        <v>267</v>
      </c>
      <c r="B36" s="284">
        <f>電輔車!E36</f>
        <v>0</v>
      </c>
      <c r="C36" s="533">
        <v>0</v>
      </c>
      <c r="D36" s="470">
        <v>0</v>
      </c>
      <c r="E36" s="284">
        <f>電輔車!G36</f>
        <v>0</v>
      </c>
      <c r="F36" s="534">
        <v>0</v>
      </c>
      <c r="G36" s="469">
        <v>0</v>
      </c>
      <c r="H36" s="85">
        <f t="shared" si="9"/>
        <v>0</v>
      </c>
      <c r="I36" s="86">
        <f t="shared" si="10"/>
        <v>0</v>
      </c>
      <c r="J36" s="471">
        <f t="shared" si="0"/>
        <v>0</v>
      </c>
    </row>
    <row r="37" spans="1:10">
      <c r="A37" s="436" t="s">
        <v>383</v>
      </c>
      <c r="B37" s="284">
        <f>電輔車!E37</f>
        <v>0</v>
      </c>
      <c r="C37" s="533">
        <v>0</v>
      </c>
      <c r="D37" s="470">
        <v>0</v>
      </c>
      <c r="E37" s="284">
        <f>電輔車!G37</f>
        <v>0</v>
      </c>
      <c r="F37" s="534">
        <v>0</v>
      </c>
      <c r="G37" s="469">
        <v>0</v>
      </c>
      <c r="H37" s="85">
        <f t="shared" si="9"/>
        <v>0</v>
      </c>
      <c r="I37" s="86">
        <f t="shared" si="10"/>
        <v>0</v>
      </c>
      <c r="J37" s="471">
        <f t="shared" si="0"/>
        <v>0</v>
      </c>
    </row>
    <row r="38" spans="1:10">
      <c r="A38" s="436" t="s">
        <v>269</v>
      </c>
      <c r="B38" s="284">
        <f>電輔車!E38</f>
        <v>0</v>
      </c>
      <c r="C38" s="533">
        <v>0</v>
      </c>
      <c r="D38" s="470">
        <v>0</v>
      </c>
      <c r="E38" s="284">
        <f>電輔車!G38</f>
        <v>0</v>
      </c>
      <c r="F38" s="534">
        <v>0</v>
      </c>
      <c r="G38" s="469">
        <v>0</v>
      </c>
      <c r="H38" s="85">
        <f t="shared" si="9"/>
        <v>0</v>
      </c>
      <c r="I38" s="86">
        <f t="shared" si="10"/>
        <v>0</v>
      </c>
      <c r="J38" s="471">
        <f t="shared" si="0"/>
        <v>0</v>
      </c>
    </row>
    <row r="39" spans="1:10">
      <c r="A39" s="436" t="s">
        <v>270</v>
      </c>
      <c r="B39" s="284">
        <f>電輔車!E39</f>
        <v>7160</v>
      </c>
      <c r="C39" s="533">
        <v>0</v>
      </c>
      <c r="D39" s="470">
        <v>0</v>
      </c>
      <c r="E39" s="284">
        <f>電輔車!G39</f>
        <v>14138506</v>
      </c>
      <c r="F39" s="534">
        <v>0</v>
      </c>
      <c r="G39" s="469">
        <v>0</v>
      </c>
      <c r="H39" s="85">
        <f t="shared" si="9"/>
        <v>1974.6516759776537</v>
      </c>
      <c r="I39" s="86">
        <f t="shared" si="10"/>
        <v>0</v>
      </c>
      <c r="J39" s="471">
        <f t="shared" si="0"/>
        <v>0</v>
      </c>
    </row>
    <row r="40" spans="1:10">
      <c r="A40" s="426" t="s">
        <v>271</v>
      </c>
      <c r="B40" s="284">
        <f>電輔車!E40</f>
        <v>0</v>
      </c>
      <c r="C40" s="533">
        <v>0</v>
      </c>
      <c r="D40" s="470">
        <v>0</v>
      </c>
      <c r="E40" s="284">
        <f>電輔車!G40</f>
        <v>0</v>
      </c>
      <c r="F40" s="534">
        <v>0</v>
      </c>
      <c r="G40" s="469">
        <v>0</v>
      </c>
      <c r="H40" s="85">
        <f t="shared" si="9"/>
        <v>0</v>
      </c>
      <c r="I40" s="86">
        <f t="shared" si="10"/>
        <v>0</v>
      </c>
      <c r="J40" s="471">
        <f t="shared" si="0"/>
        <v>0</v>
      </c>
    </row>
    <row r="41" spans="1:10">
      <c r="A41" s="282"/>
      <c r="B41" s="284"/>
      <c r="C41" s="538"/>
      <c r="D41" s="470"/>
      <c r="E41" s="284"/>
      <c r="F41" s="534"/>
      <c r="G41" s="469"/>
      <c r="H41" s="85"/>
      <c r="I41" s="86"/>
      <c r="J41" s="471"/>
    </row>
    <row r="42" spans="1:10">
      <c r="A42" s="288" t="s">
        <v>19</v>
      </c>
      <c r="B42" s="287">
        <f>SUM(B43:B46)</f>
        <v>13138</v>
      </c>
      <c r="C42" s="538">
        <v>15360</v>
      </c>
      <c r="D42" s="470">
        <f t="shared" si="1"/>
        <v>-0.14466145833333333</v>
      </c>
      <c r="E42" s="287">
        <f>SUM(E43:E46)</f>
        <v>28465934</v>
      </c>
      <c r="F42" s="534">
        <v>27324461</v>
      </c>
      <c r="G42" s="469">
        <f t="shared" si="2"/>
        <v>4.1774767304650587E-2</v>
      </c>
      <c r="H42" s="85">
        <f t="shared" si="9"/>
        <v>2166.6870147663267</v>
      </c>
      <c r="I42" s="86">
        <f t="shared" si="10"/>
        <v>1778.9362630208334</v>
      </c>
      <c r="J42" s="471">
        <f t="shared" si="0"/>
        <v>0.21796775961329215</v>
      </c>
    </row>
    <row r="43" spans="1:10">
      <c r="A43" s="282" t="s">
        <v>180</v>
      </c>
      <c r="B43" s="284">
        <f>電輔車!E43</f>
        <v>8976</v>
      </c>
      <c r="C43" s="533">
        <v>10306</v>
      </c>
      <c r="D43" s="470">
        <f t="shared" si="1"/>
        <v>-0.12905103823015718</v>
      </c>
      <c r="E43" s="284">
        <f>電輔車!G43</f>
        <v>20988518</v>
      </c>
      <c r="F43" s="534">
        <v>19072702</v>
      </c>
      <c r="G43" s="469">
        <f t="shared" si="2"/>
        <v>0.10044806446407016</v>
      </c>
      <c r="H43" s="85">
        <f t="shared" si="9"/>
        <v>2338.2930035650625</v>
      </c>
      <c r="I43" s="86">
        <f t="shared" si="10"/>
        <v>1850.6405977100719</v>
      </c>
      <c r="J43" s="471">
        <f t="shared" si="0"/>
        <v>0.26350465155600566</v>
      </c>
    </row>
    <row r="44" spans="1:10">
      <c r="A44" s="282" t="s">
        <v>273</v>
      </c>
      <c r="B44" s="284">
        <f>電輔車!E44</f>
        <v>4117</v>
      </c>
      <c r="C44" s="533">
        <v>5019</v>
      </c>
      <c r="D44" s="470">
        <f t="shared" si="1"/>
        <v>-0.17971707511456467</v>
      </c>
      <c r="E44" s="284">
        <f>電輔車!G44</f>
        <v>7367566</v>
      </c>
      <c r="F44" s="534">
        <v>8183046</v>
      </c>
      <c r="G44" s="469">
        <f t="shared" si="2"/>
        <v>-9.9654822910686308E-2</v>
      </c>
      <c r="H44" s="85">
        <f t="shared" si="9"/>
        <v>1789.5472431382075</v>
      </c>
      <c r="I44" s="86">
        <f t="shared" si="10"/>
        <v>1630.4136282127913</v>
      </c>
      <c r="J44" s="471">
        <f t="shared" si="0"/>
        <v>9.7603216859671049E-2</v>
      </c>
    </row>
    <row r="45" spans="1:10">
      <c r="A45" s="282" t="s">
        <v>274</v>
      </c>
      <c r="B45" s="284">
        <f>電輔車!E45</f>
        <v>45</v>
      </c>
      <c r="C45" s="533">
        <v>35</v>
      </c>
      <c r="D45" s="470">
        <f t="shared" si="1"/>
        <v>0.2857142857142857</v>
      </c>
      <c r="E45" s="284">
        <f>電輔車!G45</f>
        <v>109850</v>
      </c>
      <c r="F45" s="534">
        <v>68713</v>
      </c>
      <c r="G45" s="469">
        <f t="shared" si="2"/>
        <v>0.59867856155312682</v>
      </c>
      <c r="H45" s="85">
        <f t="shared" si="9"/>
        <v>2441.1111111111113</v>
      </c>
      <c r="I45" s="86">
        <f t="shared" si="10"/>
        <v>1963.2285714285715</v>
      </c>
      <c r="J45" s="471">
        <f t="shared" si="0"/>
        <v>0.24341665898576531</v>
      </c>
    </row>
    <row r="46" spans="1:10">
      <c r="A46" s="285" t="s">
        <v>20</v>
      </c>
      <c r="B46" s="284">
        <f>電輔車!E46</f>
        <v>0</v>
      </c>
      <c r="C46" s="533">
        <v>0</v>
      </c>
      <c r="D46" s="470">
        <f t="shared" si="1"/>
        <v>0</v>
      </c>
      <c r="E46" s="284">
        <f>電輔車!G46</f>
        <v>0</v>
      </c>
      <c r="F46" s="534">
        <v>0</v>
      </c>
      <c r="G46" s="469">
        <f t="shared" si="2"/>
        <v>0</v>
      </c>
      <c r="H46" s="85">
        <f t="shared" si="9"/>
        <v>0</v>
      </c>
      <c r="I46" s="86">
        <f t="shared" si="10"/>
        <v>0</v>
      </c>
      <c r="J46" s="471">
        <f t="shared" si="0"/>
        <v>0</v>
      </c>
    </row>
    <row r="47" spans="1:10">
      <c r="A47" s="285"/>
      <c r="B47" s="284"/>
      <c r="C47" s="538"/>
      <c r="D47" s="470"/>
      <c r="E47" s="284"/>
      <c r="F47" s="534"/>
      <c r="G47" s="469"/>
      <c r="H47" s="85"/>
      <c r="I47" s="86"/>
      <c r="J47" s="471"/>
    </row>
    <row r="48" spans="1:10">
      <c r="A48" s="288" t="s">
        <v>21</v>
      </c>
      <c r="B48" s="287">
        <f>SUM(B49:B62)</f>
        <v>34283</v>
      </c>
      <c r="C48" s="538">
        <v>83525</v>
      </c>
      <c r="D48" s="470">
        <f t="shared" si="1"/>
        <v>-0.58954803950912904</v>
      </c>
      <c r="E48" s="287">
        <f>SUM(E49:E62)</f>
        <v>63458976</v>
      </c>
      <c r="F48" s="534">
        <v>147016048</v>
      </c>
      <c r="G48" s="469">
        <f t="shared" si="2"/>
        <v>-0.56835340860203232</v>
      </c>
      <c r="H48" s="85">
        <f t="shared" si="9"/>
        <v>1851.0333401394278</v>
      </c>
      <c r="I48" s="86">
        <f t="shared" si="10"/>
        <v>1760.144244238252</v>
      </c>
      <c r="J48" s="471">
        <f t="shared" si="0"/>
        <v>5.1637299726256462E-2</v>
      </c>
    </row>
    <row r="49" spans="1:10">
      <c r="A49" s="288" t="s">
        <v>159</v>
      </c>
      <c r="B49" s="284">
        <f>電輔車!E49</f>
        <v>17291</v>
      </c>
      <c r="C49" s="533">
        <v>43409</v>
      </c>
      <c r="D49" s="470">
        <f t="shared" si="1"/>
        <v>-0.60167246423552723</v>
      </c>
      <c r="E49" s="284">
        <f>電輔車!G49</f>
        <v>27867355</v>
      </c>
      <c r="F49" s="534">
        <v>63374999</v>
      </c>
      <c r="G49" s="469">
        <f t="shared" si="2"/>
        <v>-0.56027841515232213</v>
      </c>
      <c r="H49" s="85">
        <f t="shared" si="9"/>
        <v>1611.6682088948007</v>
      </c>
      <c r="I49" s="86">
        <f>IF(C49,F49/C49,0)</f>
        <v>1459.9506784307403</v>
      </c>
      <c r="J49" s="471">
        <f t="shared" si="0"/>
        <v>0.10391962735832785</v>
      </c>
    </row>
    <row r="50" spans="1:10">
      <c r="A50" s="425" t="s">
        <v>384</v>
      </c>
      <c r="B50" s="284">
        <f>電輔車!E50</f>
        <v>2937</v>
      </c>
      <c r="C50" s="533">
        <v>8525</v>
      </c>
      <c r="D50" s="470">
        <f t="shared" si="1"/>
        <v>-0.65548387096774197</v>
      </c>
      <c r="E50" s="284">
        <f>電輔車!G50</f>
        <v>3474199</v>
      </c>
      <c r="F50" s="534">
        <v>9763727</v>
      </c>
      <c r="G50" s="469">
        <f t="shared" si="2"/>
        <v>-0.64417286554611775</v>
      </c>
      <c r="H50" s="85">
        <f t="shared" si="9"/>
        <v>1182.9073884916581</v>
      </c>
      <c r="I50" s="86">
        <f t="shared" si="10"/>
        <v>1145.3052199413489</v>
      </c>
      <c r="J50" s="471">
        <f t="shared" si="0"/>
        <v>3.2831570044040158E-2</v>
      </c>
    </row>
    <row r="51" spans="1:10">
      <c r="A51" s="425" t="s">
        <v>385</v>
      </c>
      <c r="B51" s="284">
        <f>電輔車!E51</f>
        <v>0</v>
      </c>
      <c r="C51" s="533">
        <v>304</v>
      </c>
      <c r="D51" s="470">
        <f t="shared" si="1"/>
        <v>-1</v>
      </c>
      <c r="E51" s="284">
        <f>電輔車!G51</f>
        <v>0</v>
      </c>
      <c r="F51" s="534">
        <v>342593</v>
      </c>
      <c r="G51" s="469">
        <f t="shared" si="2"/>
        <v>-1</v>
      </c>
      <c r="H51" s="85">
        <f t="shared" si="9"/>
        <v>0</v>
      </c>
      <c r="I51" s="86">
        <f t="shared" si="10"/>
        <v>1126.9506578947369</v>
      </c>
      <c r="J51" s="471">
        <f t="shared" si="0"/>
        <v>-1</v>
      </c>
    </row>
    <row r="52" spans="1:10">
      <c r="A52" s="425" t="s">
        <v>297</v>
      </c>
      <c r="B52" s="284">
        <f>電輔車!E52</f>
        <v>30</v>
      </c>
      <c r="C52" s="533">
        <v>482</v>
      </c>
      <c r="D52" s="470">
        <f t="shared" si="1"/>
        <v>-0.93775933609958506</v>
      </c>
      <c r="E52" s="284">
        <f>電輔車!G52</f>
        <v>66933</v>
      </c>
      <c r="F52" s="534">
        <v>1300542</v>
      </c>
      <c r="G52" s="469">
        <f t="shared" si="2"/>
        <v>-0.94853453406349042</v>
      </c>
      <c r="H52" s="85">
        <f t="shared" si="9"/>
        <v>2231.1</v>
      </c>
      <c r="I52" s="86">
        <f t="shared" si="10"/>
        <v>2698.2199170124481</v>
      </c>
      <c r="J52" s="471">
        <f t="shared" si="0"/>
        <v>-0.1731215139534133</v>
      </c>
    </row>
    <row r="53" spans="1:10">
      <c r="A53" s="426" t="s">
        <v>22</v>
      </c>
      <c r="B53" s="284">
        <f>電輔車!E53</f>
        <v>10</v>
      </c>
      <c r="C53" s="533">
        <v>31</v>
      </c>
      <c r="D53" s="470">
        <f t="shared" si="1"/>
        <v>-0.67741935483870963</v>
      </c>
      <c r="E53" s="284">
        <f>電輔車!G53</f>
        <v>26511</v>
      </c>
      <c r="F53" s="534">
        <v>89805</v>
      </c>
      <c r="G53" s="469">
        <f t="shared" si="2"/>
        <v>-0.70479371972607319</v>
      </c>
      <c r="H53" s="85">
        <f t="shared" si="9"/>
        <v>2651.1</v>
      </c>
      <c r="I53" s="86">
        <f t="shared" si="10"/>
        <v>2896.9354838709678</v>
      </c>
      <c r="J53" s="471">
        <f t="shared" si="0"/>
        <v>-8.486053115082684E-2</v>
      </c>
    </row>
    <row r="54" spans="1:10">
      <c r="A54" s="425" t="s">
        <v>303</v>
      </c>
      <c r="B54" s="284">
        <f>電輔車!E54</f>
        <v>151</v>
      </c>
      <c r="C54" s="533">
        <v>876</v>
      </c>
      <c r="D54" s="470">
        <f t="shared" si="1"/>
        <v>-0.82762557077625576</v>
      </c>
      <c r="E54" s="284">
        <f>電輔車!G54</f>
        <v>378753</v>
      </c>
      <c r="F54" s="534">
        <v>2337782</v>
      </c>
      <c r="G54" s="469">
        <f t="shared" si="2"/>
        <v>-0.83798617664093578</v>
      </c>
      <c r="H54" s="85">
        <f t="shared" si="9"/>
        <v>2508.298013245033</v>
      </c>
      <c r="I54" s="86">
        <f t="shared" si="10"/>
        <v>2668.7009132420089</v>
      </c>
      <c r="J54" s="471">
        <f t="shared" si="0"/>
        <v>-6.0105236671918492E-2</v>
      </c>
    </row>
    <row r="55" spans="1:10">
      <c r="A55" s="426" t="s">
        <v>386</v>
      </c>
      <c r="B55" s="284">
        <f>電輔車!E55</f>
        <v>5608</v>
      </c>
      <c r="C55" s="533">
        <v>13279</v>
      </c>
      <c r="D55" s="470">
        <f t="shared" si="1"/>
        <v>-0.57767904209654342</v>
      </c>
      <c r="E55" s="284">
        <f>電輔車!G55</f>
        <v>12398131</v>
      </c>
      <c r="F55" s="534">
        <v>30620443</v>
      </c>
      <c r="G55" s="469">
        <f t="shared" si="2"/>
        <v>-0.59510282068747344</v>
      </c>
      <c r="H55" s="85">
        <f t="shared" si="9"/>
        <v>2210.7936875891583</v>
      </c>
      <c r="I55" s="86">
        <f t="shared" si="10"/>
        <v>2305.9298892988932</v>
      </c>
      <c r="J55" s="471">
        <f t="shared" si="0"/>
        <v>-4.1257196132125515E-2</v>
      </c>
    </row>
    <row r="56" spans="1:10">
      <c r="A56" s="426" t="s">
        <v>23</v>
      </c>
      <c r="B56" s="284">
        <f>電輔車!E56</f>
        <v>349</v>
      </c>
      <c r="C56" s="533">
        <v>237</v>
      </c>
      <c r="D56" s="470">
        <f t="shared" si="1"/>
        <v>0.47257383966244726</v>
      </c>
      <c r="E56" s="284">
        <f>電輔車!G56</f>
        <v>965629</v>
      </c>
      <c r="F56" s="534">
        <v>711547</v>
      </c>
      <c r="G56" s="469">
        <f t="shared" si="2"/>
        <v>0.35708393120904169</v>
      </c>
      <c r="H56" s="85">
        <f t="shared" si="9"/>
        <v>2766.8452722063039</v>
      </c>
      <c r="I56" s="86">
        <f t="shared" si="10"/>
        <v>3002.3080168776373</v>
      </c>
      <c r="J56" s="471">
        <f t="shared" si="0"/>
        <v>-7.8427244422513226E-2</v>
      </c>
    </row>
    <row r="57" spans="1:10">
      <c r="A57" s="426" t="s">
        <v>239</v>
      </c>
      <c r="B57" s="284">
        <f>電輔車!E57</f>
        <v>171</v>
      </c>
      <c r="C57" s="533">
        <v>261</v>
      </c>
      <c r="D57" s="470">
        <f t="shared" si="1"/>
        <v>-0.34482758620689657</v>
      </c>
      <c r="E57" s="284">
        <f>電輔車!G57</f>
        <v>518624</v>
      </c>
      <c r="F57" s="534">
        <v>424751</v>
      </c>
      <c r="G57" s="469">
        <f t="shared" si="2"/>
        <v>0.22100713123688936</v>
      </c>
      <c r="H57" s="85">
        <f t="shared" si="9"/>
        <v>3032.8888888888887</v>
      </c>
      <c r="I57" s="86">
        <f t="shared" si="10"/>
        <v>1627.3984674329502</v>
      </c>
      <c r="J57" s="471">
        <f t="shared" si="0"/>
        <v>0.86364246346683105</v>
      </c>
    </row>
    <row r="58" spans="1:10">
      <c r="A58" s="426" t="s">
        <v>232</v>
      </c>
      <c r="B58" s="284">
        <f>電輔車!E58</f>
        <v>3307</v>
      </c>
      <c r="C58" s="533">
        <v>2525</v>
      </c>
      <c r="D58" s="470">
        <f t="shared" si="1"/>
        <v>0.3097029702970297</v>
      </c>
      <c r="E58" s="284">
        <f>電輔車!G58</f>
        <v>7051872</v>
      </c>
      <c r="F58" s="534">
        <v>5622461</v>
      </c>
      <c r="G58" s="469">
        <f t="shared" si="2"/>
        <v>0.2542322659063353</v>
      </c>
      <c r="H58" s="85">
        <f t="shared" si="9"/>
        <v>2132.4076201995767</v>
      </c>
      <c r="I58" s="86">
        <f t="shared" si="10"/>
        <v>2226.7172277227723</v>
      </c>
      <c r="J58" s="471">
        <f t="shared" si="0"/>
        <v>-4.2353652430149165E-2</v>
      </c>
    </row>
    <row r="59" spans="1:10">
      <c r="A59" s="426" t="s">
        <v>277</v>
      </c>
      <c r="B59" s="284">
        <f>電輔車!E59</f>
        <v>0</v>
      </c>
      <c r="C59" s="533">
        <v>88</v>
      </c>
      <c r="D59" s="470">
        <f t="shared" si="1"/>
        <v>-1</v>
      </c>
      <c r="E59" s="284">
        <f>電輔車!G59</f>
        <v>0</v>
      </c>
      <c r="F59" s="534">
        <v>129938</v>
      </c>
      <c r="G59" s="469">
        <f t="shared" si="2"/>
        <v>-1</v>
      </c>
      <c r="H59" s="85">
        <f t="shared" si="9"/>
        <v>0</v>
      </c>
      <c r="I59" s="86">
        <f t="shared" si="10"/>
        <v>1476.5681818181818</v>
      </c>
      <c r="J59" s="471">
        <f t="shared" si="0"/>
        <v>-1</v>
      </c>
    </row>
    <row r="60" spans="1:10">
      <c r="A60" s="426" t="s">
        <v>282</v>
      </c>
      <c r="B60" s="284">
        <f>電輔車!E60</f>
        <v>0</v>
      </c>
      <c r="C60" s="533">
        <v>0</v>
      </c>
      <c r="D60" s="470">
        <f t="shared" si="1"/>
        <v>0</v>
      </c>
      <c r="E60" s="284">
        <f>電輔車!G60</f>
        <v>0</v>
      </c>
      <c r="F60" s="534">
        <v>0</v>
      </c>
      <c r="G60" s="469">
        <f t="shared" si="2"/>
        <v>0</v>
      </c>
      <c r="H60" s="85">
        <f t="shared" si="9"/>
        <v>0</v>
      </c>
      <c r="I60" s="86">
        <f t="shared" si="10"/>
        <v>0</v>
      </c>
      <c r="J60" s="471">
        <f t="shared" si="0"/>
        <v>0</v>
      </c>
    </row>
    <row r="61" spans="1:10">
      <c r="A61" s="426" t="s">
        <v>288</v>
      </c>
      <c r="B61" s="284">
        <f>電輔車!E61</f>
        <v>3040</v>
      </c>
      <c r="C61" s="533">
        <v>10771</v>
      </c>
      <c r="D61" s="470">
        <f t="shared" si="1"/>
        <v>-0.71776065360690744</v>
      </c>
      <c r="E61" s="284">
        <f>電輔車!G61</f>
        <v>7156611</v>
      </c>
      <c r="F61" s="534">
        <v>25055845</v>
      </c>
      <c r="G61" s="469">
        <f t="shared" si="2"/>
        <v>-0.71437359226958819</v>
      </c>
      <c r="H61" s="85">
        <f t="shared" si="9"/>
        <v>2354.148355263158</v>
      </c>
      <c r="I61" s="86">
        <f t="shared" si="10"/>
        <v>2326.232011883762</v>
      </c>
      <c r="J61" s="471">
        <f t="shared" si="0"/>
        <v>1.2000670284297925E-2</v>
      </c>
    </row>
    <row r="62" spans="1:10">
      <c r="A62" s="426" t="s">
        <v>336</v>
      </c>
      <c r="B62" s="284">
        <f>電輔車!E62</f>
        <v>1389</v>
      </c>
      <c r="C62" s="533">
        <v>2737</v>
      </c>
      <c r="D62" s="470">
        <f t="shared" si="1"/>
        <v>-0.4925100474972598</v>
      </c>
      <c r="E62" s="284">
        <f>電輔車!G62</f>
        <v>3554358</v>
      </c>
      <c r="F62" s="534">
        <v>7241615</v>
      </c>
      <c r="G62" s="469">
        <f t="shared" si="2"/>
        <v>-0.5091760608648761</v>
      </c>
      <c r="H62" s="85">
        <f t="shared" si="9"/>
        <v>2558.9330453563716</v>
      </c>
      <c r="I62" s="86">
        <f t="shared" si="10"/>
        <v>2645.8220679576179</v>
      </c>
      <c r="J62" s="471">
        <f t="shared" si="0"/>
        <v>-3.2840085375929425E-2</v>
      </c>
    </row>
    <row r="63" spans="1:10">
      <c r="A63" s="285" t="s">
        <v>29</v>
      </c>
      <c r="B63" s="284">
        <f>B64-B48-B42-B13-B8</f>
        <v>2631</v>
      </c>
      <c r="C63" s="534">
        <v>2688</v>
      </c>
      <c r="D63" s="470">
        <f t="shared" si="1"/>
        <v>-2.1205357142857144E-2</v>
      </c>
      <c r="E63" s="284">
        <f>E64-E48-E42-E13-E8</f>
        <v>6853155</v>
      </c>
      <c r="F63" s="534">
        <v>7591620</v>
      </c>
      <c r="G63" s="469">
        <f t="shared" si="2"/>
        <v>-9.7273704426723145E-2</v>
      </c>
      <c r="H63" s="85">
        <f t="shared" si="9"/>
        <v>2604.7719498289625</v>
      </c>
      <c r="I63" s="86">
        <f t="shared" si="10"/>
        <v>2824.2633928571427</v>
      </c>
      <c r="J63" s="471">
        <f t="shared" si="0"/>
        <v>-7.7716350246686244E-2</v>
      </c>
    </row>
    <row r="64" spans="1:10">
      <c r="A64" s="286" t="s">
        <v>401</v>
      </c>
      <c r="B64" s="287">
        <f>電輔車!E64</f>
        <v>305441</v>
      </c>
      <c r="C64" s="540">
        <v>610713</v>
      </c>
      <c r="D64" s="470">
        <f t="shared" si="1"/>
        <v>-0.49986163713561033</v>
      </c>
      <c r="E64" s="284">
        <f>電輔車!G64</f>
        <v>568701069</v>
      </c>
      <c r="F64" s="543">
        <v>1057138964</v>
      </c>
      <c r="G64" s="469">
        <f t="shared" si="2"/>
        <v>-0.46203754816854903</v>
      </c>
      <c r="H64" s="85">
        <f t="shared" ref="H64" si="11">E64/B64</f>
        <v>1861.9015423600631</v>
      </c>
      <c r="I64" s="86">
        <f t="shared" ref="I64" si="12">F64/C64</f>
        <v>1730.9914215024078</v>
      </c>
      <c r="J64" s="471">
        <f t="shared" si="0"/>
        <v>7.5627249928270801E-2</v>
      </c>
    </row>
    <row r="65" spans="1:7" ht="13.5" customHeight="1">
      <c r="A65" s="289"/>
      <c r="B65" s="290"/>
      <c r="C65" s="291"/>
      <c r="D65" s="292"/>
      <c r="E65" s="290"/>
      <c r="F65" s="291"/>
      <c r="G65" s="292"/>
    </row>
    <row r="66" spans="1:7" ht="13.5" customHeight="1">
      <c r="A66" s="293" t="s">
        <v>466</v>
      </c>
    </row>
  </sheetData>
  <phoneticPr fontId="3" type="noConversion"/>
  <conditionalFormatting sqref="D1:D5">
    <cfRule type="cellIs" dxfId="47" priority="3" operator="greaterThanOrEqual">
      <formula>0</formula>
    </cfRule>
    <cfRule type="cellIs" dxfId="46" priority="4" operator="lessThan">
      <formula>0</formula>
    </cfRule>
  </conditionalFormatting>
  <conditionalFormatting sqref="D7:D1048576">
    <cfRule type="cellIs" dxfId="45" priority="43" operator="greaterThanOrEqual">
      <formula>0</formula>
    </cfRule>
    <cfRule type="cellIs" dxfId="44" priority="44" operator="lessThan">
      <formula>0</formula>
    </cfRule>
  </conditionalFormatting>
  <conditionalFormatting sqref="G1:G5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G7:G1048576 J7:J1048576">
    <cfRule type="cellIs" dxfId="41" priority="5" operator="greaterThanOrEqual">
      <formula>0</formula>
    </cfRule>
    <cfRule type="cellIs" dxfId="40" priority="6" operator="lessThan">
      <formula>0</formula>
    </cfRule>
  </conditionalFormatting>
  <conditionalFormatting sqref="J1:J4">
    <cfRule type="cellIs" dxfId="39" priority="39" operator="greaterThanOrEqual">
      <formula>0</formula>
    </cfRule>
    <cfRule type="cellIs" dxfId="38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1.75" style="94" customWidth="1"/>
    <col min="3" max="3" width="14.375" style="5" customWidth="1"/>
    <col min="4" max="4" width="11" style="94" customWidth="1"/>
    <col min="5" max="5" width="12.625" style="5" customWidth="1"/>
    <col min="6" max="6" width="8.875" style="94" customWidth="1"/>
    <col min="7" max="7" width="13.375" style="94" customWidth="1"/>
    <col min="8" max="8" width="9.125" style="5" customWidth="1"/>
    <col min="9" max="9" width="10.5" style="94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7" customFormat="1" ht="19.5">
      <c r="A1" s="176"/>
      <c r="C1" s="178" t="s">
        <v>502</v>
      </c>
    </row>
    <row r="2" spans="1:9" ht="9" customHeight="1"/>
    <row r="3" spans="1:9" s="7" customFormat="1" ht="15.75">
      <c r="A3" s="110" t="s">
        <v>152</v>
      </c>
      <c r="B3" s="179"/>
      <c r="C3" s="62"/>
      <c r="D3" s="180"/>
      <c r="E3" s="62"/>
      <c r="F3" s="179"/>
      <c r="G3" s="179"/>
      <c r="H3" s="62"/>
      <c r="I3" s="180"/>
    </row>
    <row r="4" spans="1:9" s="13" customFormat="1">
      <c r="A4" s="8" t="s">
        <v>488</v>
      </c>
      <c r="B4" s="8" t="s">
        <v>489</v>
      </c>
      <c r="C4" s="8" t="s">
        <v>490</v>
      </c>
      <c r="D4" s="9" t="s">
        <v>0</v>
      </c>
      <c r="E4" s="10" t="s">
        <v>491</v>
      </c>
      <c r="F4" s="11" t="s">
        <v>1</v>
      </c>
      <c r="G4" s="8" t="s">
        <v>492</v>
      </c>
      <c r="H4" s="11" t="s">
        <v>1</v>
      </c>
      <c r="I4" s="181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2" t="s">
        <v>3</v>
      </c>
    </row>
    <row r="6" spans="1:9" ht="18.600000000000001" customHeight="1">
      <c r="A6" s="169" t="s">
        <v>4</v>
      </c>
      <c r="B6" s="183"/>
      <c r="C6" s="17"/>
      <c r="D6" s="184"/>
      <c r="E6" s="17"/>
      <c r="F6" s="184"/>
      <c r="G6" s="184"/>
      <c r="H6" s="17"/>
      <c r="I6" s="185"/>
    </row>
    <row r="7" spans="1:9">
      <c r="A7" s="20" t="s">
        <v>5</v>
      </c>
      <c r="B7" s="186">
        <f>SUM(B8:B10)</f>
        <v>0</v>
      </c>
      <c r="C7" s="22">
        <f>SUM(C8:C10)</f>
        <v>0</v>
      </c>
      <c r="D7" s="187">
        <f>IF(B7,C7/B7,0)</f>
        <v>0</v>
      </c>
      <c r="E7" s="22">
        <f>SUM(E8:E10)</f>
        <v>20</v>
      </c>
      <c r="F7" s="188">
        <f>E7/$E$68</f>
        <v>5.778676683039584E-3</v>
      </c>
      <c r="G7" s="189">
        <f>SUM(G8:G10)</f>
        <v>43199</v>
      </c>
      <c r="H7" s="24">
        <f>G7/$G$68</f>
        <v>1.628782765872893E-2</v>
      </c>
      <c r="I7" s="190">
        <f>IF(E7,G7/E7,0)</f>
        <v>2159.9499999999998</v>
      </c>
    </row>
    <row r="8" spans="1:9">
      <c r="A8" s="26" t="s">
        <v>379</v>
      </c>
      <c r="B8" s="191">
        <v>0</v>
      </c>
      <c r="C8" s="28">
        <v>0</v>
      </c>
      <c r="D8" s="187">
        <f t="shared" ref="D8:D67" si="0">IF(B8,C8/B8,0)</f>
        <v>0</v>
      </c>
      <c r="E8" s="28">
        <f>VLOOKUP(A8,[10]進出口值表查詢結果!$A$10:$C$21,3,0)</f>
        <v>20</v>
      </c>
      <c r="F8" s="188">
        <f>E8/$E$68</f>
        <v>5.778676683039584E-3</v>
      </c>
      <c r="G8" s="28">
        <f>VLOOKUP(A8,[10]進出口值表查詢結果!$A$10:$C$21,2,0)</f>
        <v>43199</v>
      </c>
      <c r="H8" s="24">
        <f>G8/$G$68</f>
        <v>1.628782765872893E-2</v>
      </c>
      <c r="I8" s="190">
        <f t="shared" ref="I8:I67" si="1">IF(E8,G8/E8,0)</f>
        <v>2159.9499999999998</v>
      </c>
    </row>
    <row r="9" spans="1:9">
      <c r="A9" s="30" t="s">
        <v>6</v>
      </c>
      <c r="B9" s="191">
        <v>0</v>
      </c>
      <c r="C9" s="28">
        <v>0</v>
      </c>
      <c r="D9" s="187">
        <f t="shared" si="0"/>
        <v>0</v>
      </c>
      <c r="E9" s="28">
        <v>0</v>
      </c>
      <c r="F9" s="188">
        <f>E9/$E$68</f>
        <v>0</v>
      </c>
      <c r="G9" s="28">
        <v>0</v>
      </c>
      <c r="H9" s="24">
        <f>G9/$G$68</f>
        <v>0</v>
      </c>
      <c r="I9" s="190">
        <f t="shared" si="1"/>
        <v>0</v>
      </c>
    </row>
    <row r="10" spans="1:9">
      <c r="A10" s="30" t="s">
        <v>7</v>
      </c>
      <c r="B10" s="191">
        <v>0</v>
      </c>
      <c r="C10" s="28">
        <v>0</v>
      </c>
      <c r="D10" s="187">
        <f t="shared" si="0"/>
        <v>0</v>
      </c>
      <c r="E10" s="28">
        <v>0</v>
      </c>
      <c r="F10" s="188">
        <f>E10/$E$68</f>
        <v>0</v>
      </c>
      <c r="G10" s="28">
        <v>0</v>
      </c>
      <c r="H10" s="24">
        <f>G10/$G$68</f>
        <v>0</v>
      </c>
      <c r="I10" s="190">
        <f t="shared" si="1"/>
        <v>0</v>
      </c>
    </row>
    <row r="11" spans="1:9">
      <c r="A11" s="31"/>
      <c r="B11" s="191"/>
      <c r="C11" s="28"/>
      <c r="D11" s="187"/>
      <c r="E11" s="27"/>
      <c r="F11" s="192"/>
      <c r="G11" s="191"/>
      <c r="H11" s="29"/>
      <c r="I11" s="190"/>
    </row>
    <row r="12" spans="1:9">
      <c r="A12" s="32" t="s">
        <v>8</v>
      </c>
      <c r="B12" s="193">
        <f>SUM(B13:B39)</f>
        <v>0</v>
      </c>
      <c r="C12" s="33">
        <f>SUM(C13:C39)</f>
        <v>0</v>
      </c>
      <c r="D12" s="187">
        <f t="shared" si="0"/>
        <v>0</v>
      </c>
      <c r="E12" s="33">
        <f>SUM(E13:E39)</f>
        <v>731</v>
      </c>
      <c r="F12" s="188">
        <f t="shared" ref="F12:F13" si="2">E12/$E$68</f>
        <v>0.2112106327650968</v>
      </c>
      <c r="G12" s="193">
        <f>SUM(G13:G39)</f>
        <v>313851</v>
      </c>
      <c r="H12" s="24">
        <f>G12/$G$68</f>
        <v>0.11833493827449093</v>
      </c>
      <c r="I12" s="190">
        <f t="shared" si="1"/>
        <v>429.34473324213405</v>
      </c>
    </row>
    <row r="13" spans="1:9">
      <c r="A13" s="425" t="s">
        <v>198</v>
      </c>
      <c r="B13" s="191">
        <v>0</v>
      </c>
      <c r="C13" s="27">
        <v>0</v>
      </c>
      <c r="D13" s="187">
        <f t="shared" si="0"/>
        <v>0</v>
      </c>
      <c r="E13" s="28">
        <f>VLOOKUP(A13,[10]進出口值表查詢結果!$A$10:$C$21,3,0)</f>
        <v>631</v>
      </c>
      <c r="F13" s="188">
        <f t="shared" si="2"/>
        <v>0.18231724934989887</v>
      </c>
      <c r="G13" s="28">
        <f>VLOOKUP(A13,[10]進出口值表查詢結果!$A$10:$C$21,2,0)</f>
        <v>295315</v>
      </c>
      <c r="H13" s="24">
        <f>G13/$G$68</f>
        <v>0.11134609192429303</v>
      </c>
      <c r="I13" s="190">
        <f t="shared" si="1"/>
        <v>468.01109350237721</v>
      </c>
    </row>
    <row r="14" spans="1:9">
      <c r="A14" s="425" t="s">
        <v>199</v>
      </c>
      <c r="B14" s="191">
        <v>0</v>
      </c>
      <c r="C14" s="27">
        <v>0</v>
      </c>
      <c r="D14" s="187">
        <f t="shared" ref="D14:D39" si="3">IF(B14,C14/B14,0)</f>
        <v>0</v>
      </c>
      <c r="E14" s="28">
        <v>0</v>
      </c>
      <c r="F14" s="188">
        <f t="shared" ref="F14:F39" si="4">E14/$E$68</f>
        <v>0</v>
      </c>
      <c r="G14" s="28">
        <v>0</v>
      </c>
      <c r="H14" s="24">
        <f t="shared" ref="H14:H39" si="5">G14/$G$68</f>
        <v>0</v>
      </c>
      <c r="I14" s="190">
        <f t="shared" ref="I14:I39" si="6">IF(E14,G14/E14,0)</f>
        <v>0</v>
      </c>
    </row>
    <row r="15" spans="1:9">
      <c r="A15" s="426" t="s">
        <v>9</v>
      </c>
      <c r="B15" s="191">
        <v>0</v>
      </c>
      <c r="C15" s="27">
        <v>0</v>
      </c>
      <c r="D15" s="187">
        <f t="shared" si="3"/>
        <v>0</v>
      </c>
      <c r="E15" s="28">
        <v>0</v>
      </c>
      <c r="F15" s="188">
        <f t="shared" si="4"/>
        <v>0</v>
      </c>
      <c r="G15" s="28">
        <v>0</v>
      </c>
      <c r="H15" s="24">
        <f t="shared" si="5"/>
        <v>0</v>
      </c>
      <c r="I15" s="190">
        <f t="shared" si="6"/>
        <v>0</v>
      </c>
    </row>
    <row r="16" spans="1:9">
      <c r="A16" s="425" t="s">
        <v>200</v>
      </c>
      <c r="B16" s="191">
        <v>0</v>
      </c>
      <c r="C16" s="27">
        <v>0</v>
      </c>
      <c r="D16" s="187">
        <f t="shared" si="3"/>
        <v>0</v>
      </c>
      <c r="E16" s="28">
        <v>0</v>
      </c>
      <c r="F16" s="188">
        <f t="shared" si="4"/>
        <v>0</v>
      </c>
      <c r="G16" s="28">
        <v>0</v>
      </c>
      <c r="H16" s="24">
        <f t="shared" si="5"/>
        <v>0</v>
      </c>
      <c r="I16" s="190">
        <f t="shared" si="6"/>
        <v>0</v>
      </c>
    </row>
    <row r="17" spans="1:9">
      <c r="A17" s="426" t="s">
        <v>10</v>
      </c>
      <c r="B17" s="191">
        <v>0</v>
      </c>
      <c r="C17" s="27">
        <v>0</v>
      </c>
      <c r="D17" s="187">
        <f t="shared" si="3"/>
        <v>0</v>
      </c>
      <c r="E17" s="28">
        <v>0</v>
      </c>
      <c r="F17" s="188">
        <f t="shared" si="4"/>
        <v>0</v>
      </c>
      <c r="G17" s="28">
        <v>0</v>
      </c>
      <c r="H17" s="24">
        <f t="shared" si="5"/>
        <v>0</v>
      </c>
      <c r="I17" s="190">
        <f t="shared" si="6"/>
        <v>0</v>
      </c>
    </row>
    <row r="18" spans="1:9">
      <c r="A18" s="426" t="s">
        <v>11</v>
      </c>
      <c r="B18" s="191">
        <v>0</v>
      </c>
      <c r="C18" s="27">
        <v>0</v>
      </c>
      <c r="D18" s="187">
        <f t="shared" si="3"/>
        <v>0</v>
      </c>
      <c r="E18" s="28">
        <v>0</v>
      </c>
      <c r="F18" s="188">
        <f t="shared" si="4"/>
        <v>0</v>
      </c>
      <c r="G18" s="28">
        <v>0</v>
      </c>
      <c r="H18" s="24">
        <f t="shared" si="5"/>
        <v>0</v>
      </c>
      <c r="I18" s="190">
        <f t="shared" si="6"/>
        <v>0</v>
      </c>
    </row>
    <row r="19" spans="1:9">
      <c r="A19" s="425" t="s">
        <v>201</v>
      </c>
      <c r="B19" s="191">
        <v>0</v>
      </c>
      <c r="C19" s="27">
        <v>0</v>
      </c>
      <c r="D19" s="187">
        <f t="shared" si="3"/>
        <v>0</v>
      </c>
      <c r="E19" s="28">
        <v>0</v>
      </c>
      <c r="F19" s="188">
        <f t="shared" si="4"/>
        <v>0</v>
      </c>
      <c r="G19" s="28">
        <v>0</v>
      </c>
      <c r="H19" s="24">
        <f t="shared" si="5"/>
        <v>0</v>
      </c>
      <c r="I19" s="190">
        <f t="shared" si="6"/>
        <v>0</v>
      </c>
    </row>
    <row r="20" spans="1:9">
      <c r="A20" s="426" t="s">
        <v>12</v>
      </c>
      <c r="B20" s="191">
        <v>0</v>
      </c>
      <c r="C20" s="27">
        <v>0</v>
      </c>
      <c r="D20" s="187">
        <f t="shared" si="3"/>
        <v>0</v>
      </c>
      <c r="E20" s="28">
        <v>0</v>
      </c>
      <c r="F20" s="188">
        <f t="shared" si="4"/>
        <v>0</v>
      </c>
      <c r="G20" s="28">
        <v>0</v>
      </c>
      <c r="H20" s="24">
        <f t="shared" si="5"/>
        <v>0</v>
      </c>
      <c r="I20" s="190">
        <f t="shared" si="6"/>
        <v>0</v>
      </c>
    </row>
    <row r="21" spans="1:9">
      <c r="A21" s="425" t="s">
        <v>203</v>
      </c>
      <c r="B21" s="191">
        <v>0</v>
      </c>
      <c r="C21" s="27">
        <v>0</v>
      </c>
      <c r="D21" s="187">
        <f t="shared" si="3"/>
        <v>0</v>
      </c>
      <c r="E21" s="28">
        <v>0</v>
      </c>
      <c r="F21" s="188">
        <f t="shared" si="4"/>
        <v>0</v>
      </c>
      <c r="G21" s="28">
        <v>0</v>
      </c>
      <c r="H21" s="24">
        <f t="shared" si="5"/>
        <v>0</v>
      </c>
      <c r="I21" s="190">
        <f t="shared" si="6"/>
        <v>0</v>
      </c>
    </row>
    <row r="22" spans="1:9">
      <c r="A22" s="426" t="s">
        <v>13</v>
      </c>
      <c r="B22" s="191">
        <v>0</v>
      </c>
      <c r="C22" s="27">
        <v>0</v>
      </c>
      <c r="D22" s="187">
        <f t="shared" si="3"/>
        <v>0</v>
      </c>
      <c r="E22" s="28">
        <v>0</v>
      </c>
      <c r="F22" s="188">
        <f t="shared" si="4"/>
        <v>0</v>
      </c>
      <c r="G22" s="28">
        <v>0</v>
      </c>
      <c r="H22" s="24">
        <f t="shared" si="5"/>
        <v>0</v>
      </c>
      <c r="I22" s="190">
        <f t="shared" si="6"/>
        <v>0</v>
      </c>
    </row>
    <row r="23" spans="1:9">
      <c r="A23" s="426" t="s">
        <v>14</v>
      </c>
      <c r="B23" s="191">
        <v>0</v>
      </c>
      <c r="C23" s="27">
        <v>0</v>
      </c>
      <c r="D23" s="187">
        <f t="shared" si="3"/>
        <v>0</v>
      </c>
      <c r="E23" s="28">
        <v>0</v>
      </c>
      <c r="F23" s="188">
        <f t="shared" si="4"/>
        <v>0</v>
      </c>
      <c r="G23" s="28">
        <v>0</v>
      </c>
      <c r="H23" s="24">
        <f t="shared" si="5"/>
        <v>0</v>
      </c>
      <c r="I23" s="190">
        <f t="shared" si="6"/>
        <v>0</v>
      </c>
    </row>
    <row r="24" spans="1:9">
      <c r="A24" s="426" t="s">
        <v>15</v>
      </c>
      <c r="B24" s="191">
        <v>0</v>
      </c>
      <c r="C24" s="27">
        <v>0</v>
      </c>
      <c r="D24" s="187">
        <f t="shared" si="3"/>
        <v>0</v>
      </c>
      <c r="E24" s="28">
        <v>0</v>
      </c>
      <c r="F24" s="188">
        <f t="shared" si="4"/>
        <v>0</v>
      </c>
      <c r="G24" s="28">
        <v>0</v>
      </c>
      <c r="H24" s="24">
        <f t="shared" si="5"/>
        <v>0</v>
      </c>
      <c r="I24" s="190">
        <f t="shared" si="6"/>
        <v>0</v>
      </c>
    </row>
    <row r="25" spans="1:9">
      <c r="A25" s="425" t="s">
        <v>204</v>
      </c>
      <c r="B25" s="191">
        <v>0</v>
      </c>
      <c r="C25" s="27">
        <v>0</v>
      </c>
      <c r="D25" s="187">
        <f t="shared" si="3"/>
        <v>0</v>
      </c>
      <c r="E25" s="28">
        <v>0</v>
      </c>
      <c r="F25" s="188">
        <f t="shared" si="4"/>
        <v>0</v>
      </c>
      <c r="G25" s="28">
        <v>0</v>
      </c>
      <c r="H25" s="24">
        <f t="shared" si="5"/>
        <v>0</v>
      </c>
      <c r="I25" s="190">
        <f t="shared" si="6"/>
        <v>0</v>
      </c>
    </row>
    <row r="26" spans="1:9">
      <c r="A26" s="425" t="s">
        <v>205</v>
      </c>
      <c r="B26" s="191">
        <v>0</v>
      </c>
      <c r="C26" s="27">
        <v>0</v>
      </c>
      <c r="D26" s="187">
        <f t="shared" si="3"/>
        <v>0</v>
      </c>
      <c r="E26" s="28">
        <v>0</v>
      </c>
      <c r="F26" s="188">
        <f t="shared" si="4"/>
        <v>0</v>
      </c>
      <c r="G26" s="28">
        <v>0</v>
      </c>
      <c r="H26" s="24">
        <f t="shared" si="5"/>
        <v>0</v>
      </c>
      <c r="I26" s="190">
        <f t="shared" si="6"/>
        <v>0</v>
      </c>
    </row>
    <row r="27" spans="1:9">
      <c r="A27" s="285" t="s">
        <v>206</v>
      </c>
      <c r="B27" s="191">
        <v>0</v>
      </c>
      <c r="C27" s="27">
        <v>0</v>
      </c>
      <c r="D27" s="187">
        <f t="shared" si="3"/>
        <v>0</v>
      </c>
      <c r="E27" s="28">
        <v>0</v>
      </c>
      <c r="F27" s="188">
        <f t="shared" si="4"/>
        <v>0</v>
      </c>
      <c r="G27" s="28">
        <v>0</v>
      </c>
      <c r="H27" s="24">
        <f t="shared" si="5"/>
        <v>0</v>
      </c>
      <c r="I27" s="190">
        <f t="shared" si="6"/>
        <v>0</v>
      </c>
    </row>
    <row r="28" spans="1:9">
      <c r="A28" s="285" t="s">
        <v>207</v>
      </c>
      <c r="B28" s="191">
        <v>0</v>
      </c>
      <c r="C28" s="27">
        <v>0</v>
      </c>
      <c r="D28" s="187">
        <f t="shared" si="3"/>
        <v>0</v>
      </c>
      <c r="E28" s="28">
        <v>0</v>
      </c>
      <c r="F28" s="188">
        <f t="shared" si="4"/>
        <v>0</v>
      </c>
      <c r="G28" s="28">
        <v>0</v>
      </c>
      <c r="H28" s="24">
        <f t="shared" si="5"/>
        <v>0</v>
      </c>
      <c r="I28" s="190">
        <f t="shared" si="6"/>
        <v>0</v>
      </c>
    </row>
    <row r="29" spans="1:9">
      <c r="A29" s="426" t="s">
        <v>208</v>
      </c>
      <c r="B29" s="191">
        <v>0</v>
      </c>
      <c r="C29" s="27">
        <v>0</v>
      </c>
      <c r="D29" s="187">
        <f t="shared" si="3"/>
        <v>0</v>
      </c>
      <c r="E29" s="28">
        <v>0</v>
      </c>
      <c r="F29" s="188">
        <f t="shared" si="4"/>
        <v>0</v>
      </c>
      <c r="G29" s="28">
        <v>0</v>
      </c>
      <c r="H29" s="24">
        <f t="shared" si="5"/>
        <v>0</v>
      </c>
      <c r="I29" s="190">
        <f t="shared" si="6"/>
        <v>0</v>
      </c>
    </row>
    <row r="30" spans="1:9">
      <c r="A30" s="426" t="s">
        <v>209</v>
      </c>
      <c r="B30" s="191">
        <v>0</v>
      </c>
      <c r="C30" s="27">
        <v>0</v>
      </c>
      <c r="D30" s="187">
        <f t="shared" si="3"/>
        <v>0</v>
      </c>
      <c r="E30" s="28">
        <v>0</v>
      </c>
      <c r="F30" s="188">
        <f t="shared" si="4"/>
        <v>0</v>
      </c>
      <c r="G30" s="28">
        <v>0</v>
      </c>
      <c r="H30" s="24">
        <f t="shared" si="5"/>
        <v>0</v>
      </c>
      <c r="I30" s="190">
        <f t="shared" si="6"/>
        <v>0</v>
      </c>
    </row>
    <row r="31" spans="1:9">
      <c r="A31" s="426" t="s">
        <v>16</v>
      </c>
      <c r="B31" s="191">
        <v>0</v>
      </c>
      <c r="C31" s="27">
        <v>0</v>
      </c>
      <c r="D31" s="187">
        <f t="shared" si="3"/>
        <v>0</v>
      </c>
      <c r="E31" s="28">
        <v>0</v>
      </c>
      <c r="F31" s="188">
        <f t="shared" si="4"/>
        <v>0</v>
      </c>
      <c r="G31" s="28">
        <v>0</v>
      </c>
      <c r="H31" s="24">
        <f t="shared" si="5"/>
        <v>0</v>
      </c>
      <c r="I31" s="190">
        <f t="shared" si="6"/>
        <v>0</v>
      </c>
    </row>
    <row r="32" spans="1:9">
      <c r="A32" s="426" t="s">
        <v>17</v>
      </c>
      <c r="B32" s="191">
        <v>0</v>
      </c>
      <c r="C32" s="27">
        <v>0</v>
      </c>
      <c r="D32" s="187">
        <f t="shared" si="3"/>
        <v>0</v>
      </c>
      <c r="E32" s="28">
        <v>0</v>
      </c>
      <c r="F32" s="188">
        <f t="shared" si="4"/>
        <v>0</v>
      </c>
      <c r="G32" s="28">
        <v>0</v>
      </c>
      <c r="H32" s="24">
        <f t="shared" si="5"/>
        <v>0</v>
      </c>
      <c r="I32" s="190">
        <f t="shared" si="6"/>
        <v>0</v>
      </c>
    </row>
    <row r="33" spans="1:9">
      <c r="A33" s="426" t="s">
        <v>210</v>
      </c>
      <c r="B33" s="191">
        <v>0</v>
      </c>
      <c r="C33" s="27">
        <v>0</v>
      </c>
      <c r="D33" s="187">
        <f t="shared" si="3"/>
        <v>0</v>
      </c>
      <c r="E33" s="28">
        <v>0</v>
      </c>
      <c r="F33" s="188">
        <f t="shared" si="4"/>
        <v>0</v>
      </c>
      <c r="G33" s="28">
        <v>0</v>
      </c>
      <c r="H33" s="24">
        <f t="shared" si="5"/>
        <v>0</v>
      </c>
      <c r="I33" s="190">
        <f t="shared" si="6"/>
        <v>0</v>
      </c>
    </row>
    <row r="34" spans="1:9">
      <c r="A34" s="426" t="s">
        <v>211</v>
      </c>
      <c r="B34" s="191">
        <v>0</v>
      </c>
      <c r="C34" s="27">
        <v>0</v>
      </c>
      <c r="D34" s="187">
        <f t="shared" si="3"/>
        <v>0</v>
      </c>
      <c r="E34" s="28">
        <v>0</v>
      </c>
      <c r="F34" s="188">
        <f t="shared" si="4"/>
        <v>0</v>
      </c>
      <c r="G34" s="28">
        <v>0</v>
      </c>
      <c r="H34" s="24">
        <f t="shared" si="5"/>
        <v>0</v>
      </c>
      <c r="I34" s="190">
        <f t="shared" si="6"/>
        <v>0</v>
      </c>
    </row>
    <row r="35" spans="1:9">
      <c r="A35" s="426" t="s">
        <v>212</v>
      </c>
      <c r="B35" s="191">
        <v>0</v>
      </c>
      <c r="C35" s="27">
        <v>0</v>
      </c>
      <c r="D35" s="187">
        <f t="shared" si="3"/>
        <v>0</v>
      </c>
      <c r="E35" s="28">
        <v>0</v>
      </c>
      <c r="F35" s="188">
        <f t="shared" si="4"/>
        <v>0</v>
      </c>
      <c r="G35" s="28">
        <v>0</v>
      </c>
      <c r="H35" s="24">
        <f t="shared" si="5"/>
        <v>0</v>
      </c>
      <c r="I35" s="190">
        <f t="shared" si="6"/>
        <v>0</v>
      </c>
    </row>
    <row r="36" spans="1:9">
      <c r="A36" s="426" t="s">
        <v>380</v>
      </c>
      <c r="B36" s="191">
        <v>0</v>
      </c>
      <c r="C36" s="27">
        <v>0</v>
      </c>
      <c r="D36" s="187">
        <f t="shared" si="3"/>
        <v>0</v>
      </c>
      <c r="E36" s="28">
        <v>0</v>
      </c>
      <c r="F36" s="188">
        <f t="shared" si="4"/>
        <v>0</v>
      </c>
      <c r="G36" s="28">
        <v>0</v>
      </c>
      <c r="H36" s="24">
        <f t="shared" si="5"/>
        <v>0</v>
      </c>
      <c r="I36" s="190">
        <f t="shared" si="6"/>
        <v>0</v>
      </c>
    </row>
    <row r="37" spans="1:9">
      <c r="A37" s="426" t="s">
        <v>214</v>
      </c>
      <c r="B37" s="191">
        <v>0</v>
      </c>
      <c r="C37" s="27">
        <v>0</v>
      </c>
      <c r="D37" s="187">
        <f t="shared" si="3"/>
        <v>0</v>
      </c>
      <c r="E37" s="28">
        <v>0</v>
      </c>
      <c r="F37" s="188">
        <f t="shared" si="4"/>
        <v>0</v>
      </c>
      <c r="G37" s="28">
        <v>0</v>
      </c>
      <c r="H37" s="24">
        <f t="shared" si="5"/>
        <v>0</v>
      </c>
      <c r="I37" s="190">
        <f t="shared" si="6"/>
        <v>0</v>
      </c>
    </row>
    <row r="38" spans="1:9">
      <c r="A38" s="426" t="s">
        <v>215</v>
      </c>
      <c r="B38" s="191">
        <v>0</v>
      </c>
      <c r="C38" s="27">
        <v>0</v>
      </c>
      <c r="D38" s="187">
        <f t="shared" si="3"/>
        <v>0</v>
      </c>
      <c r="E38" s="28">
        <f>VLOOKUP(A38,[10]進出口值表查詢結果!$A$10:$C$21,3,0)</f>
        <v>100</v>
      </c>
      <c r="F38" s="188">
        <f t="shared" si="4"/>
        <v>2.8893383415197919E-2</v>
      </c>
      <c r="G38" s="28">
        <f>VLOOKUP(A38,[10]進出口值表查詢結果!$A$10:$C$21,2,0)</f>
        <v>18536</v>
      </c>
      <c r="H38" s="24">
        <f t="shared" si="5"/>
        <v>6.9888463501979088E-3</v>
      </c>
      <c r="I38" s="190">
        <f t="shared" si="6"/>
        <v>185.36</v>
      </c>
    </row>
    <row r="39" spans="1:9">
      <c r="A39" s="426" t="s">
        <v>18</v>
      </c>
      <c r="B39" s="191">
        <v>0</v>
      </c>
      <c r="C39" s="27">
        <v>0</v>
      </c>
      <c r="D39" s="187">
        <f t="shared" si="3"/>
        <v>0</v>
      </c>
      <c r="E39" s="28">
        <v>0</v>
      </c>
      <c r="F39" s="188">
        <f t="shared" si="4"/>
        <v>0</v>
      </c>
      <c r="G39" s="28">
        <v>0</v>
      </c>
      <c r="H39" s="24">
        <f t="shared" si="5"/>
        <v>0</v>
      </c>
      <c r="I39" s="190">
        <f t="shared" si="6"/>
        <v>0</v>
      </c>
    </row>
    <row r="40" spans="1:9">
      <c r="A40" s="30"/>
      <c r="B40" s="191"/>
      <c r="C40" s="27"/>
      <c r="D40" s="187"/>
      <c r="E40" s="27"/>
      <c r="F40" s="192"/>
      <c r="G40" s="191"/>
      <c r="H40" s="24"/>
      <c r="I40" s="190"/>
    </row>
    <row r="41" spans="1:9" ht="15.6" customHeight="1">
      <c r="A41" s="36" t="s">
        <v>19</v>
      </c>
      <c r="B41" s="193">
        <f>SUM(B42:B45)</f>
        <v>0</v>
      </c>
      <c r="C41" s="33">
        <f>SUM(C42:C45)</f>
        <v>0</v>
      </c>
      <c r="D41" s="187">
        <f t="shared" si="0"/>
        <v>0</v>
      </c>
      <c r="E41" s="33">
        <f>SUM(E42:E45)</f>
        <v>0</v>
      </c>
      <c r="F41" s="188">
        <f>E41/$E$68</f>
        <v>0</v>
      </c>
      <c r="G41" s="193">
        <f>SUM(G42:G45)</f>
        <v>0</v>
      </c>
      <c r="H41" s="24">
        <f t="shared" ref="H41:H42" si="7">G41/$G$68</f>
        <v>0</v>
      </c>
      <c r="I41" s="190">
        <f t="shared" si="1"/>
        <v>0</v>
      </c>
    </row>
    <row r="42" spans="1:9">
      <c r="A42" s="425" t="s">
        <v>216</v>
      </c>
      <c r="B42" s="191">
        <v>0</v>
      </c>
      <c r="C42" s="27">
        <f>_xlfn.IFNA(VLOOKUP(A42,[11]折!$C$3:$F$99,3,0),-[4]整車!$B$22)</f>
        <v>0</v>
      </c>
      <c r="D42" s="187">
        <f t="shared" si="0"/>
        <v>0</v>
      </c>
      <c r="E42" s="28">
        <v>0</v>
      </c>
      <c r="F42" s="188">
        <f>E42/$E$68</f>
        <v>0</v>
      </c>
      <c r="G42" s="28">
        <v>0</v>
      </c>
      <c r="H42" s="24">
        <f t="shared" si="7"/>
        <v>0</v>
      </c>
      <c r="I42" s="190">
        <f t="shared" si="1"/>
        <v>0</v>
      </c>
    </row>
    <row r="43" spans="1:9">
      <c r="A43" s="425" t="s">
        <v>217</v>
      </c>
      <c r="B43" s="191">
        <v>0</v>
      </c>
      <c r="C43" s="27">
        <f>_xlfn.IFNA(VLOOKUP(A43,[11]折!$C$3:$F$99,3,0),-[4]整車!$B$22)</f>
        <v>0</v>
      </c>
      <c r="D43" s="187">
        <f t="shared" ref="D43:D45" si="8">IF(B43,C43/B43,0)</f>
        <v>0</v>
      </c>
      <c r="E43" s="28">
        <v>0</v>
      </c>
      <c r="F43" s="188">
        <f t="shared" ref="F43:F45" si="9">E43/$E$68</f>
        <v>0</v>
      </c>
      <c r="G43" s="28">
        <v>0</v>
      </c>
      <c r="H43" s="24">
        <f t="shared" ref="H43:H45" si="10">G43/$G$68</f>
        <v>0</v>
      </c>
      <c r="I43" s="190">
        <f t="shared" ref="I43:I45" si="11">IF(E43,G43/E43,0)</f>
        <v>0</v>
      </c>
    </row>
    <row r="44" spans="1:9">
      <c r="A44" s="425" t="s">
        <v>218</v>
      </c>
      <c r="B44" s="191">
        <v>0</v>
      </c>
      <c r="C44" s="27">
        <f>_xlfn.IFNA(VLOOKUP(A44,[11]折!$C$3:$F$99,3,0),-[4]整車!$B$22)</f>
        <v>0</v>
      </c>
      <c r="D44" s="187">
        <f t="shared" si="8"/>
        <v>0</v>
      </c>
      <c r="E44" s="28">
        <v>0</v>
      </c>
      <c r="F44" s="188">
        <f t="shared" si="9"/>
        <v>0</v>
      </c>
      <c r="G44" s="28">
        <v>0</v>
      </c>
      <c r="H44" s="24">
        <f t="shared" si="10"/>
        <v>0</v>
      </c>
      <c r="I44" s="190">
        <f t="shared" si="11"/>
        <v>0</v>
      </c>
    </row>
    <row r="45" spans="1:9">
      <c r="A45" s="30" t="s">
        <v>20</v>
      </c>
      <c r="B45" s="191">
        <v>0</v>
      </c>
      <c r="C45" s="27">
        <f>_xlfn.IFNA(VLOOKUP(A45,[11]折!$C$3:$F$99,3,0),-[4]整車!$B$22)</f>
        <v>0</v>
      </c>
      <c r="D45" s="187">
        <f t="shared" si="8"/>
        <v>0</v>
      </c>
      <c r="E45" s="28">
        <v>0</v>
      </c>
      <c r="F45" s="188">
        <f t="shared" si="9"/>
        <v>0</v>
      </c>
      <c r="G45" s="28">
        <v>0</v>
      </c>
      <c r="H45" s="24">
        <f t="shared" si="10"/>
        <v>0</v>
      </c>
      <c r="I45" s="190">
        <f t="shared" si="11"/>
        <v>0</v>
      </c>
    </row>
    <row r="46" spans="1:9" ht="16.899999999999999" customHeight="1">
      <c r="A46" s="30"/>
      <c r="B46" s="191"/>
      <c r="C46" s="27"/>
      <c r="D46" s="187"/>
      <c r="E46" s="27"/>
      <c r="F46" s="192"/>
      <c r="G46" s="191"/>
      <c r="H46" s="24"/>
      <c r="I46" s="190"/>
    </row>
    <row r="47" spans="1:9">
      <c r="A47" s="36" t="s">
        <v>21</v>
      </c>
      <c r="B47" s="193">
        <f>SUM(B48:B66)</f>
        <v>110</v>
      </c>
      <c r="C47" s="33">
        <f>SUM(C48:C66)</f>
        <v>105064</v>
      </c>
      <c r="D47" s="187">
        <f t="shared" si="0"/>
        <v>955.12727272727273</v>
      </c>
      <c r="E47" s="33">
        <f>SUM(E48:E66)</f>
        <v>2689</v>
      </c>
      <c r="F47" s="188">
        <f>E47/$E$68</f>
        <v>0.77694308003467205</v>
      </c>
      <c r="G47" s="193">
        <f>SUM(G48:G66)</f>
        <v>2280930</v>
      </c>
      <c r="H47" s="24">
        <f>G47/$G$68</f>
        <v>0.86000589693336837</v>
      </c>
      <c r="I47" s="190">
        <f t="shared" si="1"/>
        <v>848.24470063220531</v>
      </c>
    </row>
    <row r="48" spans="1:9">
      <c r="A48" s="453" t="s">
        <v>159</v>
      </c>
      <c r="B48" s="191">
        <v>0</v>
      </c>
      <c r="C48" s="27">
        <v>0</v>
      </c>
      <c r="D48" s="187">
        <f t="shared" si="0"/>
        <v>0</v>
      </c>
      <c r="E48" s="28">
        <v>0</v>
      </c>
      <c r="F48" s="188">
        <f t="shared" ref="F48" si="12">E48/$E$68</f>
        <v>0</v>
      </c>
      <c r="G48" s="28">
        <v>0</v>
      </c>
      <c r="H48" s="24">
        <f>G48/$G$68</f>
        <v>0</v>
      </c>
      <c r="I48" s="190">
        <f t="shared" si="1"/>
        <v>0</v>
      </c>
    </row>
    <row r="49" spans="1:10">
      <c r="A49" s="425" t="s">
        <v>219</v>
      </c>
      <c r="B49" s="191">
        <v>0</v>
      </c>
      <c r="C49" s="27">
        <v>0</v>
      </c>
      <c r="D49" s="187">
        <f t="shared" ref="D49:D66" si="13">IF(B49,C49/B49,0)</f>
        <v>0</v>
      </c>
      <c r="E49" s="28">
        <f>VLOOKUP(A49,[10]進出口值表查詢結果!$A$10:$C$21,3,0)</f>
        <v>168</v>
      </c>
      <c r="F49" s="188">
        <f t="shared" ref="F49:F66" si="14">E49/$E$68</f>
        <v>4.8540884137532506E-2</v>
      </c>
      <c r="G49" s="28">
        <f>VLOOKUP(A49,[10]進出口值表查詢結果!$A$10:$C$21,2,0)</f>
        <v>130809</v>
      </c>
      <c r="H49" s="24">
        <f t="shared" ref="H49:H66" si="15">G49/$G$68</f>
        <v>4.9320457608062057E-2</v>
      </c>
      <c r="I49" s="190">
        <f t="shared" ref="I49:I66" si="16">IF(E49,G49/E49,0)</f>
        <v>778.625</v>
      </c>
    </row>
    <row r="50" spans="1:10">
      <c r="A50" s="282" t="s">
        <v>220</v>
      </c>
      <c r="B50" s="191">
        <v>0</v>
      </c>
      <c r="C50" s="27">
        <v>0</v>
      </c>
      <c r="D50" s="187">
        <f t="shared" si="13"/>
        <v>0</v>
      </c>
      <c r="E50" s="28">
        <f>VLOOKUP(A50,[10]進出口值表查詢結果!$A$10:$C$21,3,0)</f>
        <v>19</v>
      </c>
      <c r="F50" s="188">
        <f t="shared" si="14"/>
        <v>5.4897428488876049E-3</v>
      </c>
      <c r="G50" s="28">
        <f>VLOOKUP(A50,[10]進出口值表查詢結果!$A$10:$C$21,2,0)</f>
        <v>19056</v>
      </c>
      <c r="H50" s="24">
        <f t="shared" si="15"/>
        <v>7.1849080734447219E-3</v>
      </c>
      <c r="I50" s="190">
        <f t="shared" si="16"/>
        <v>1002.9473684210526</v>
      </c>
      <c r="J50" s="454"/>
    </row>
    <row r="51" spans="1:10">
      <c r="A51" s="425" t="s">
        <v>221</v>
      </c>
      <c r="B51" s="191">
        <v>0</v>
      </c>
      <c r="C51" s="27">
        <v>0</v>
      </c>
      <c r="D51" s="187">
        <f t="shared" si="13"/>
        <v>0</v>
      </c>
      <c r="E51" s="28">
        <v>0</v>
      </c>
      <c r="F51" s="188">
        <f t="shared" si="14"/>
        <v>0</v>
      </c>
      <c r="G51" s="28">
        <v>0</v>
      </c>
      <c r="H51" s="24">
        <f t="shared" si="15"/>
        <v>0</v>
      </c>
      <c r="I51" s="190">
        <f t="shared" si="16"/>
        <v>0</v>
      </c>
    </row>
    <row r="52" spans="1:10">
      <c r="A52" s="426" t="s">
        <v>22</v>
      </c>
      <c r="B52" s="191">
        <v>0</v>
      </c>
      <c r="C52" s="27">
        <v>0</v>
      </c>
      <c r="D52" s="187">
        <f t="shared" si="13"/>
        <v>0</v>
      </c>
      <c r="E52" s="28">
        <v>0</v>
      </c>
      <c r="F52" s="188">
        <f t="shared" si="14"/>
        <v>0</v>
      </c>
      <c r="G52" s="28">
        <v>0</v>
      </c>
      <c r="H52" s="24">
        <f t="shared" si="15"/>
        <v>0</v>
      </c>
      <c r="I52" s="190">
        <f t="shared" si="16"/>
        <v>0</v>
      </c>
    </row>
    <row r="53" spans="1:10">
      <c r="A53" s="425" t="s">
        <v>222</v>
      </c>
      <c r="B53" s="191">
        <v>0</v>
      </c>
      <c r="C53" s="27">
        <v>0</v>
      </c>
      <c r="D53" s="187">
        <f t="shared" si="13"/>
        <v>0</v>
      </c>
      <c r="E53" s="28">
        <v>0</v>
      </c>
      <c r="F53" s="188">
        <f t="shared" si="14"/>
        <v>0</v>
      </c>
      <c r="G53" s="28">
        <v>0</v>
      </c>
      <c r="H53" s="24">
        <f t="shared" si="15"/>
        <v>0</v>
      </c>
      <c r="I53" s="190">
        <f t="shared" si="16"/>
        <v>0</v>
      </c>
    </row>
    <row r="54" spans="1:10">
      <c r="A54" s="426" t="s">
        <v>223</v>
      </c>
      <c r="B54" s="191">
        <v>0</v>
      </c>
      <c r="C54" s="27">
        <v>0</v>
      </c>
      <c r="D54" s="187">
        <f t="shared" si="13"/>
        <v>0</v>
      </c>
      <c r="E54" s="28">
        <v>0</v>
      </c>
      <c r="F54" s="188">
        <f t="shared" si="14"/>
        <v>0</v>
      </c>
      <c r="G54" s="28">
        <v>0</v>
      </c>
      <c r="H54" s="24">
        <f t="shared" si="15"/>
        <v>0</v>
      </c>
      <c r="I54" s="190">
        <f t="shared" si="16"/>
        <v>0</v>
      </c>
    </row>
    <row r="55" spans="1:10">
      <c r="A55" s="426" t="s">
        <v>23</v>
      </c>
      <c r="B55" s="191">
        <v>0</v>
      </c>
      <c r="C55" s="27">
        <v>0</v>
      </c>
      <c r="D55" s="187">
        <f t="shared" si="13"/>
        <v>0</v>
      </c>
      <c r="E55" s="28">
        <v>0</v>
      </c>
      <c r="F55" s="188">
        <f t="shared" si="14"/>
        <v>0</v>
      </c>
      <c r="G55" s="28">
        <v>0</v>
      </c>
      <c r="H55" s="24">
        <f t="shared" si="15"/>
        <v>0</v>
      </c>
      <c r="I55" s="190">
        <f t="shared" si="16"/>
        <v>0</v>
      </c>
    </row>
    <row r="56" spans="1:10">
      <c r="A56" s="426" t="s">
        <v>224</v>
      </c>
      <c r="B56" s="191">
        <v>10</v>
      </c>
      <c r="C56" s="27">
        <v>3564</v>
      </c>
      <c r="D56" s="187">
        <f t="shared" si="13"/>
        <v>356.4</v>
      </c>
      <c r="E56" s="28">
        <f>VLOOKUP(A56,[10]進出口值表查詢結果!$A$10:$C$21,3,0)</f>
        <v>1617</v>
      </c>
      <c r="F56" s="188">
        <f t="shared" si="14"/>
        <v>0.46720600982375038</v>
      </c>
      <c r="G56" s="28">
        <f>VLOOKUP(A56,[10]進出口值表查詢結果!$A$10:$C$21,2,0)</f>
        <v>1313459</v>
      </c>
      <c r="H56" s="24">
        <f t="shared" si="15"/>
        <v>0.4952289133731439</v>
      </c>
      <c r="I56" s="190">
        <f t="shared" si="16"/>
        <v>812.28138528138527</v>
      </c>
    </row>
    <row r="57" spans="1:10">
      <c r="A57" s="428" t="s">
        <v>225</v>
      </c>
      <c r="B57" s="191">
        <v>100</v>
      </c>
      <c r="C57" s="27">
        <v>101500</v>
      </c>
      <c r="D57" s="187">
        <f t="shared" si="13"/>
        <v>1015</v>
      </c>
      <c r="E57" s="28">
        <f>VLOOKUP(A57,[10]進出口值表查詢結果!$A$10:$C$21,3,0)</f>
        <v>705</v>
      </c>
      <c r="F57" s="188">
        <f t="shared" si="14"/>
        <v>0.20369835307714534</v>
      </c>
      <c r="G57" s="28">
        <f>VLOOKUP(A57,[10]進出口值表查詢結果!$A$10:$C$21,2,0)</f>
        <v>640845</v>
      </c>
      <c r="H57" s="24">
        <f t="shared" si="15"/>
        <v>0.24162533660404506</v>
      </c>
      <c r="I57" s="190">
        <f t="shared" si="16"/>
        <v>909</v>
      </c>
    </row>
    <row r="58" spans="1:10">
      <c r="A58" s="285" t="s">
        <v>381</v>
      </c>
      <c r="B58" s="191">
        <v>0</v>
      </c>
      <c r="C58" s="27">
        <v>0</v>
      </c>
      <c r="D58" s="187">
        <f t="shared" si="13"/>
        <v>0</v>
      </c>
      <c r="E58" s="28">
        <f>VLOOKUP(A58,[10]進出口值表查詢結果!$A$10:$C$21,3,0)</f>
        <v>172</v>
      </c>
      <c r="F58" s="188">
        <f t="shared" si="14"/>
        <v>4.9696619474140419E-2</v>
      </c>
      <c r="G58" s="28">
        <f>VLOOKUP(A58,[10]進出口值表查詢結果!$A$10:$C$21,2,0)</f>
        <v>173183</v>
      </c>
      <c r="H58" s="24">
        <f t="shared" si="15"/>
        <v>6.529722580202442E-2</v>
      </c>
      <c r="I58" s="190">
        <f t="shared" si="16"/>
        <v>1006.8779069767442</v>
      </c>
    </row>
    <row r="59" spans="1:10">
      <c r="A59" s="426" t="s">
        <v>24</v>
      </c>
      <c r="B59" s="191">
        <v>0</v>
      </c>
      <c r="C59" s="27">
        <v>0</v>
      </c>
      <c r="D59" s="187">
        <f t="shared" si="13"/>
        <v>0</v>
      </c>
      <c r="E59" s="28">
        <v>0</v>
      </c>
      <c r="F59" s="188">
        <f t="shared" si="14"/>
        <v>0</v>
      </c>
      <c r="G59" s="28">
        <v>0</v>
      </c>
      <c r="H59" s="24">
        <f t="shared" si="15"/>
        <v>0</v>
      </c>
      <c r="I59" s="190">
        <f t="shared" si="16"/>
        <v>0</v>
      </c>
    </row>
    <row r="60" spans="1:10">
      <c r="A60" s="426" t="s">
        <v>25</v>
      </c>
      <c r="B60" s="191">
        <v>0</v>
      </c>
      <c r="C60" s="27">
        <v>0</v>
      </c>
      <c r="D60" s="187">
        <f t="shared" si="13"/>
        <v>0</v>
      </c>
      <c r="E60" s="28">
        <v>0</v>
      </c>
      <c r="F60" s="188">
        <f t="shared" si="14"/>
        <v>0</v>
      </c>
      <c r="G60" s="28">
        <v>0</v>
      </c>
      <c r="H60" s="24">
        <f t="shared" si="15"/>
        <v>0</v>
      </c>
      <c r="I60" s="190">
        <f t="shared" si="16"/>
        <v>0</v>
      </c>
    </row>
    <row r="61" spans="1:10">
      <c r="A61" s="426" t="s">
        <v>26</v>
      </c>
      <c r="B61" s="191">
        <v>0</v>
      </c>
      <c r="C61" s="27">
        <v>0</v>
      </c>
      <c r="D61" s="187">
        <f t="shared" si="13"/>
        <v>0</v>
      </c>
      <c r="E61" s="28">
        <v>0</v>
      </c>
      <c r="F61" s="188">
        <f t="shared" si="14"/>
        <v>0</v>
      </c>
      <c r="G61" s="28">
        <v>0</v>
      </c>
      <c r="H61" s="24">
        <f t="shared" si="15"/>
        <v>0</v>
      </c>
      <c r="I61" s="190">
        <f t="shared" si="16"/>
        <v>0</v>
      </c>
    </row>
    <row r="62" spans="1:10">
      <c r="A62" s="285" t="s">
        <v>226</v>
      </c>
      <c r="B62" s="191">
        <v>0</v>
      </c>
      <c r="C62" s="27">
        <v>0</v>
      </c>
      <c r="D62" s="187">
        <f t="shared" si="13"/>
        <v>0</v>
      </c>
      <c r="E62" s="28">
        <v>0</v>
      </c>
      <c r="F62" s="188">
        <f t="shared" si="14"/>
        <v>0</v>
      </c>
      <c r="G62" s="28">
        <v>0</v>
      </c>
      <c r="H62" s="24">
        <f t="shared" si="15"/>
        <v>0</v>
      </c>
      <c r="I62" s="190">
        <f t="shared" si="16"/>
        <v>0</v>
      </c>
    </row>
    <row r="63" spans="1:10">
      <c r="A63" s="426" t="s">
        <v>27</v>
      </c>
      <c r="B63" s="191">
        <v>0</v>
      </c>
      <c r="C63" s="27">
        <v>0</v>
      </c>
      <c r="D63" s="187">
        <f t="shared" si="13"/>
        <v>0</v>
      </c>
      <c r="E63" s="28">
        <v>0</v>
      </c>
      <c r="F63" s="188">
        <f t="shared" si="14"/>
        <v>0</v>
      </c>
      <c r="G63" s="28">
        <v>0</v>
      </c>
      <c r="H63" s="24">
        <f t="shared" si="15"/>
        <v>0</v>
      </c>
      <c r="I63" s="190">
        <f t="shared" si="16"/>
        <v>0</v>
      </c>
    </row>
    <row r="64" spans="1:10" ht="15.75" customHeight="1">
      <c r="A64" s="285" t="s">
        <v>227</v>
      </c>
      <c r="B64" s="191">
        <v>0</v>
      </c>
      <c r="C64" s="27">
        <v>0</v>
      </c>
      <c r="D64" s="187">
        <f t="shared" si="13"/>
        <v>0</v>
      </c>
      <c r="E64" s="28">
        <v>0</v>
      </c>
      <c r="F64" s="188">
        <f t="shared" si="14"/>
        <v>0</v>
      </c>
      <c r="G64" s="28">
        <v>0</v>
      </c>
      <c r="H64" s="24">
        <f t="shared" si="15"/>
        <v>0</v>
      </c>
      <c r="I64" s="190">
        <f t="shared" si="16"/>
        <v>0</v>
      </c>
    </row>
    <row r="65" spans="1:9">
      <c r="A65" s="426" t="s">
        <v>28</v>
      </c>
      <c r="B65" s="191">
        <v>0</v>
      </c>
      <c r="C65" s="27">
        <v>0</v>
      </c>
      <c r="D65" s="187">
        <f t="shared" si="13"/>
        <v>0</v>
      </c>
      <c r="E65" s="28">
        <v>0</v>
      </c>
      <c r="F65" s="188">
        <f t="shared" si="14"/>
        <v>0</v>
      </c>
      <c r="G65" s="28">
        <v>0</v>
      </c>
      <c r="H65" s="24">
        <f t="shared" si="15"/>
        <v>0</v>
      </c>
      <c r="I65" s="190">
        <f t="shared" si="16"/>
        <v>0</v>
      </c>
    </row>
    <row r="66" spans="1:9">
      <c r="A66" s="285" t="s">
        <v>228</v>
      </c>
      <c r="B66" s="191">
        <v>0</v>
      </c>
      <c r="C66" s="27">
        <v>0</v>
      </c>
      <c r="D66" s="187">
        <f t="shared" si="13"/>
        <v>0</v>
      </c>
      <c r="E66" s="28">
        <f>VLOOKUP(A66,[10]進出口值表查詢結果!$A$10:$C$21,3,0)</f>
        <v>8</v>
      </c>
      <c r="F66" s="188">
        <f t="shared" si="14"/>
        <v>2.3114706732158337E-3</v>
      </c>
      <c r="G66" s="28">
        <f>VLOOKUP(A66,[10]進出口值表查詢結果!$A$10:$C$21,2,0)</f>
        <v>3578</v>
      </c>
      <c r="H66" s="24">
        <f t="shared" si="15"/>
        <v>1.3490554726482585E-3</v>
      </c>
      <c r="I66" s="190">
        <f t="shared" si="16"/>
        <v>447.25</v>
      </c>
    </row>
    <row r="67" spans="1:9">
      <c r="A67" s="30" t="s">
        <v>29</v>
      </c>
      <c r="B67" s="191">
        <f>B68-B7-B12-B41-B47</f>
        <v>0</v>
      </c>
      <c r="C67" s="27">
        <f>C68-C47-C41-C12-C7</f>
        <v>0</v>
      </c>
      <c r="D67" s="187">
        <f t="shared" si="0"/>
        <v>0</v>
      </c>
      <c r="E67" s="27">
        <f>E68-E47-E41-E12-E7</f>
        <v>21</v>
      </c>
      <c r="F67" s="188">
        <f t="shared" ref="F67:F68" si="17">E67/$E$68</f>
        <v>6.0676105171915632E-3</v>
      </c>
      <c r="G67" s="191">
        <f>G68-G47-G41-G12-G7</f>
        <v>14246</v>
      </c>
      <c r="H67" s="24">
        <f t="shared" ref="H67:H68" si="18">G67/$G$68</f>
        <v>5.3713371334117074E-3</v>
      </c>
      <c r="I67" s="190">
        <f t="shared" si="1"/>
        <v>678.38095238095241</v>
      </c>
    </row>
    <row r="68" spans="1:9">
      <c r="A68" s="32" t="s">
        <v>400</v>
      </c>
      <c r="B68" s="193">
        <v>110</v>
      </c>
      <c r="C68" s="33">
        <v>105064</v>
      </c>
      <c r="D68" s="187">
        <f t="shared" ref="D68" si="19">C68/B68</f>
        <v>955.12727272727273</v>
      </c>
      <c r="E68" s="28">
        <f>VLOOKUP(A68,[10]進出口值表查詢結果!$A$10:$C$21,3,0)</f>
        <v>3461</v>
      </c>
      <c r="F68" s="188">
        <f t="shared" si="17"/>
        <v>1</v>
      </c>
      <c r="G68" s="28">
        <f>VLOOKUP(A68,[10]進出口值表查詢結果!$A$10:$C$21,2,0)</f>
        <v>2652226</v>
      </c>
      <c r="H68" s="24">
        <f t="shared" si="18"/>
        <v>1</v>
      </c>
      <c r="I68" s="190">
        <f t="shared" ref="I68" si="20">G68/E68</f>
        <v>766.31782721756713</v>
      </c>
    </row>
    <row r="69" spans="1:9" ht="6" customHeight="1">
      <c r="A69" s="38"/>
      <c r="B69" s="194"/>
      <c r="C69" s="39"/>
      <c r="D69" s="195"/>
      <c r="E69" s="39"/>
      <c r="F69" s="196"/>
      <c r="G69" s="194"/>
      <c r="H69" s="41"/>
      <c r="I69" s="195"/>
    </row>
    <row r="70" spans="1:9">
      <c r="A70" s="54" t="s">
        <v>54</v>
      </c>
      <c r="B70" s="197"/>
      <c r="C70" s="39"/>
      <c r="D70" s="197"/>
      <c r="E70" s="13"/>
      <c r="F70" s="197"/>
      <c r="G70" s="197"/>
      <c r="H70" s="13"/>
      <c r="I70" s="197"/>
    </row>
    <row r="71" spans="1:9" s="13" customFormat="1">
      <c r="A71" s="5"/>
      <c r="B71" s="94"/>
      <c r="C71" s="39"/>
      <c r="D71" s="94"/>
      <c r="E71" s="5"/>
      <c r="F71" s="94"/>
      <c r="G71" s="94"/>
      <c r="H71" s="5"/>
      <c r="I71" s="94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出口地區(整車)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'出口地區(整車)'!Print_Area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2025-01-09T03:54:28Z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