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ATA Files\Desktop\"/>
    </mc:Choice>
  </mc:AlternateContent>
  <xr:revisionPtr revIDLastSave="0" documentId="13_ncr:1_{5852526B-88B7-4488-A97E-6AF1CB076799}" xr6:coauthVersionLast="47" xr6:coauthVersionMax="47" xr10:uidLastSave="{00000000-0000-0000-0000-000000000000}"/>
  <bookViews>
    <workbookView xWindow="1755" yWindow="0" windowWidth="18840" windowHeight="10920" tabRatio="597" xr2:uid="{00000000-000D-0000-FFFF-FFFF00000000}"/>
  </bookViews>
  <sheets>
    <sheet name="整車" sheetId="1" r:id="rId1"/>
    <sheet name="整車進口" sheetId="5" r:id="rId2"/>
    <sheet name="整車比較" sheetId="2" r:id="rId3"/>
    <sheet name="整車同期比較" sheetId="27" r:id="rId4"/>
    <sheet name="整車出口全球總表更新至8月(記得隱藏)" sheetId="18" state="hidden" r:id="rId5"/>
    <sheet name="出口地區" sheetId="28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5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6" l="1"/>
  <c r="D39" i="26"/>
  <c r="D18" i="26"/>
  <c r="G18" i="26"/>
  <c r="B30" i="28"/>
  <c r="B29" i="28"/>
  <c r="B28" i="28"/>
  <c r="B27" i="28"/>
  <c r="G38" i="26"/>
  <c r="D38" i="26"/>
  <c r="G17" i="26"/>
  <c r="D17" i="26"/>
  <c r="G17" i="27"/>
  <c r="D17" i="27"/>
  <c r="I72" i="2" l="1"/>
  <c r="I160" i="31"/>
  <c r="J160" i="31"/>
  <c r="I159" i="31"/>
  <c r="J159" i="31"/>
  <c r="I101" i="31"/>
  <c r="J101" i="31"/>
  <c r="I100" i="31"/>
  <c r="J100" i="31"/>
  <c r="I99" i="31"/>
  <c r="J99" i="31"/>
  <c r="D85" i="31"/>
  <c r="E85" i="31"/>
  <c r="D86" i="31"/>
  <c r="E86" i="31"/>
  <c r="D70" i="31"/>
  <c r="E70" i="31"/>
  <c r="B74" i="31"/>
  <c r="C74" i="31"/>
  <c r="B73" i="31"/>
  <c r="C73" i="31"/>
  <c r="B72" i="31"/>
  <c r="C72" i="31"/>
  <c r="I53" i="31"/>
  <c r="J53" i="31"/>
  <c r="G55" i="31"/>
  <c r="H55" i="31"/>
  <c r="G54" i="31"/>
  <c r="H54" i="31"/>
  <c r="I44" i="31"/>
  <c r="J44" i="31"/>
  <c r="G14" i="31"/>
  <c r="H14" i="31"/>
  <c r="D8" i="31"/>
  <c r="E8" i="31"/>
  <c r="F63" i="25"/>
  <c r="C63" i="25"/>
  <c r="F60" i="25"/>
  <c r="C60" i="25"/>
  <c r="F58" i="25"/>
  <c r="C58" i="25"/>
  <c r="F55" i="25"/>
  <c r="C55" i="25"/>
  <c r="F52" i="25"/>
  <c r="C52" i="25"/>
  <c r="F50" i="25"/>
  <c r="C50" i="25"/>
  <c r="F48" i="25"/>
  <c r="C48" i="25"/>
  <c r="F45" i="25"/>
  <c r="C45" i="25"/>
  <c r="F42" i="25"/>
  <c r="C42" i="25"/>
  <c r="F39" i="25"/>
  <c r="C39" i="25"/>
  <c r="F37" i="25"/>
  <c r="C37" i="25"/>
  <c r="F35" i="25"/>
  <c r="C35" i="25"/>
  <c r="F32" i="25"/>
  <c r="C32" i="25"/>
  <c r="F29" i="25"/>
  <c r="C29" i="25"/>
  <c r="F27" i="25"/>
  <c r="C27" i="25"/>
  <c r="F24" i="25"/>
  <c r="C24" i="25"/>
  <c r="F22" i="25"/>
  <c r="C22" i="25"/>
  <c r="F19" i="25"/>
  <c r="C19" i="25"/>
  <c r="F16" i="25"/>
  <c r="C16" i="25"/>
  <c r="F13" i="25"/>
  <c r="C13" i="25"/>
  <c r="F10" i="25"/>
  <c r="C10" i="25"/>
  <c r="F7" i="25"/>
  <c r="C7" i="25"/>
  <c r="L65" i="22"/>
  <c r="M64" i="22"/>
  <c r="L64" i="22"/>
  <c r="L62" i="22"/>
  <c r="M61" i="22"/>
  <c r="L61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3" i="22"/>
  <c r="L43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M13" i="22"/>
  <c r="L13" i="22"/>
  <c r="L11" i="22"/>
  <c r="M10" i="22"/>
  <c r="L10" i="22"/>
  <c r="L8" i="22"/>
  <c r="M7" i="22"/>
  <c r="L7" i="22"/>
  <c r="I65" i="22"/>
  <c r="J64" i="22"/>
  <c r="I64" i="22"/>
  <c r="I62" i="22"/>
  <c r="J61" i="22"/>
  <c r="I61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3" i="22"/>
  <c r="I43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I11" i="22"/>
  <c r="J10" i="22"/>
  <c r="I10" i="22"/>
  <c r="I8" i="22"/>
  <c r="J7" i="22"/>
  <c r="I7" i="22"/>
  <c r="F63" i="23"/>
  <c r="C63" i="23"/>
  <c r="F60" i="23"/>
  <c r="C60" i="23"/>
  <c r="F58" i="23"/>
  <c r="C58" i="23"/>
  <c r="F55" i="23"/>
  <c r="C55" i="23"/>
  <c r="F52" i="23"/>
  <c r="C52" i="23"/>
  <c r="F50" i="23"/>
  <c r="C50" i="23"/>
  <c r="F48" i="23"/>
  <c r="C48" i="23"/>
  <c r="F45" i="23"/>
  <c r="C45" i="23"/>
  <c r="F42" i="23"/>
  <c r="C42" i="23"/>
  <c r="F39" i="23"/>
  <c r="C39" i="23"/>
  <c r="F37" i="23"/>
  <c r="C37" i="23"/>
  <c r="F35" i="23"/>
  <c r="C35" i="23"/>
  <c r="F32" i="23"/>
  <c r="C32" i="23"/>
  <c r="F29" i="23"/>
  <c r="C29" i="23"/>
  <c r="F27" i="23"/>
  <c r="C27" i="23"/>
  <c r="F24" i="23"/>
  <c r="C24" i="23"/>
  <c r="F22" i="23"/>
  <c r="C22" i="23"/>
  <c r="F19" i="23"/>
  <c r="C19" i="23"/>
  <c r="F16" i="23"/>
  <c r="C16" i="23"/>
  <c r="F13" i="23"/>
  <c r="C13" i="23"/>
  <c r="F10" i="23"/>
  <c r="C10" i="23"/>
  <c r="F7" i="23"/>
  <c r="C7" i="23"/>
  <c r="F65" i="22"/>
  <c r="G64" i="22"/>
  <c r="F64" i="22"/>
  <c r="F62" i="22"/>
  <c r="G61" i="22"/>
  <c r="F61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3" i="22"/>
  <c r="F43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F17" i="22"/>
  <c r="G16" i="22"/>
  <c r="F16" i="22"/>
  <c r="F14" i="22"/>
  <c r="G13" i="22"/>
  <c r="F13" i="22"/>
  <c r="F11" i="22"/>
  <c r="G10" i="22"/>
  <c r="F10" i="22"/>
  <c r="F8" i="22"/>
  <c r="G7" i="22"/>
  <c r="F7" i="22"/>
  <c r="C65" i="22"/>
  <c r="D64" i="22"/>
  <c r="C64" i="22"/>
  <c r="C62" i="22"/>
  <c r="D61" i="22"/>
  <c r="C61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3" i="22"/>
  <c r="C43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C17" i="22"/>
  <c r="D16" i="22"/>
  <c r="C16" i="22"/>
  <c r="C14" i="22"/>
  <c r="D13" i="22"/>
  <c r="C13" i="22"/>
  <c r="C11" i="22"/>
  <c r="D10" i="22"/>
  <c r="C10" i="22"/>
  <c r="C8" i="22"/>
  <c r="D7" i="22"/>
  <c r="C7" i="22"/>
  <c r="F64" i="12"/>
  <c r="C64" i="12"/>
  <c r="F62" i="12"/>
  <c r="C62" i="12"/>
  <c r="F61" i="12"/>
  <c r="C61" i="12"/>
  <c r="F60" i="12"/>
  <c r="C60" i="12"/>
  <c r="F59" i="12"/>
  <c r="C59" i="12"/>
  <c r="F58" i="12"/>
  <c r="C58" i="12"/>
  <c r="F57" i="12"/>
  <c r="C57" i="12"/>
  <c r="F56" i="12"/>
  <c r="C56" i="12"/>
  <c r="F55" i="12"/>
  <c r="C55" i="12"/>
  <c r="F54" i="12"/>
  <c r="C54" i="12"/>
  <c r="F53" i="12"/>
  <c r="C53" i="12"/>
  <c r="F52" i="12"/>
  <c r="C52" i="12"/>
  <c r="F51" i="12"/>
  <c r="C51" i="12"/>
  <c r="F50" i="12"/>
  <c r="C50" i="12"/>
  <c r="F49" i="12"/>
  <c r="C49" i="12"/>
  <c r="F46" i="12"/>
  <c r="C46" i="12"/>
  <c r="F45" i="12"/>
  <c r="C45" i="12"/>
  <c r="F44" i="12"/>
  <c r="C44" i="12"/>
  <c r="F43" i="12"/>
  <c r="C43" i="12"/>
  <c r="F40" i="12"/>
  <c r="C40" i="12"/>
  <c r="F39" i="12"/>
  <c r="C39" i="12"/>
  <c r="F38" i="12"/>
  <c r="C38" i="12"/>
  <c r="F37" i="12"/>
  <c r="C37" i="12"/>
  <c r="F36" i="12"/>
  <c r="C36" i="12"/>
  <c r="F35" i="12"/>
  <c r="C35" i="12"/>
  <c r="F34" i="12"/>
  <c r="C34" i="12"/>
  <c r="F33" i="12"/>
  <c r="C33" i="12"/>
  <c r="F32" i="12"/>
  <c r="C32" i="12"/>
  <c r="F31" i="12"/>
  <c r="C31" i="12"/>
  <c r="F30" i="12"/>
  <c r="C30" i="12"/>
  <c r="F29" i="12"/>
  <c r="C29" i="12"/>
  <c r="F28" i="12"/>
  <c r="C28" i="12"/>
  <c r="F27" i="12"/>
  <c r="C27" i="12"/>
  <c r="F26" i="12"/>
  <c r="C26" i="12"/>
  <c r="F25" i="12"/>
  <c r="C25" i="12"/>
  <c r="F24" i="12"/>
  <c r="C24" i="12"/>
  <c r="F23" i="12"/>
  <c r="C23" i="12"/>
  <c r="F22" i="12"/>
  <c r="C22" i="12"/>
  <c r="F21" i="12"/>
  <c r="C21" i="12"/>
  <c r="F20" i="12"/>
  <c r="C20" i="12"/>
  <c r="F19" i="12"/>
  <c r="C19" i="12"/>
  <c r="F18" i="12"/>
  <c r="C18" i="12"/>
  <c r="F17" i="12"/>
  <c r="C17" i="12"/>
  <c r="F16" i="12"/>
  <c r="C16" i="12"/>
  <c r="F15" i="12"/>
  <c r="C15" i="12"/>
  <c r="F14" i="12"/>
  <c r="C14" i="12"/>
  <c r="F11" i="12"/>
  <c r="C11" i="12"/>
  <c r="F10" i="12"/>
  <c r="C10" i="12"/>
  <c r="F9" i="12"/>
  <c r="C9" i="12"/>
  <c r="G64" i="11"/>
  <c r="E64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6" i="11"/>
  <c r="E46" i="11"/>
  <c r="G45" i="11"/>
  <c r="E45" i="11"/>
  <c r="G44" i="11"/>
  <c r="E44" i="11"/>
  <c r="G43" i="11"/>
  <c r="E43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1" i="11"/>
  <c r="E11" i="11"/>
  <c r="G10" i="11"/>
  <c r="E10" i="11"/>
  <c r="G9" i="11"/>
  <c r="E9" i="11"/>
  <c r="C64" i="11"/>
  <c r="B64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6" i="11"/>
  <c r="B46" i="11"/>
  <c r="C45" i="11"/>
  <c r="B45" i="11"/>
  <c r="C44" i="11"/>
  <c r="B44" i="11"/>
  <c r="C43" i="11"/>
  <c r="B43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1" i="11"/>
  <c r="B11" i="11"/>
  <c r="C10" i="11"/>
  <c r="B10" i="11"/>
  <c r="C9" i="11"/>
  <c r="B9" i="11"/>
  <c r="F68" i="10"/>
  <c r="E68" i="10"/>
  <c r="C68" i="10"/>
  <c r="F66" i="10"/>
  <c r="C66" i="10"/>
  <c r="F65" i="10"/>
  <c r="C65" i="10"/>
  <c r="F64" i="10"/>
  <c r="C64" i="10"/>
  <c r="F63" i="10"/>
  <c r="C63" i="10"/>
  <c r="F62" i="10"/>
  <c r="C62" i="10"/>
  <c r="F61" i="10"/>
  <c r="C61" i="10"/>
  <c r="F60" i="10"/>
  <c r="C60" i="10"/>
  <c r="F59" i="10"/>
  <c r="C59" i="10"/>
  <c r="F58" i="10"/>
  <c r="C58" i="10"/>
  <c r="F57" i="10"/>
  <c r="C57" i="10"/>
  <c r="F56" i="10"/>
  <c r="C56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9" i="10"/>
  <c r="C49" i="10"/>
  <c r="F48" i="10"/>
  <c r="C48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4" i="10"/>
  <c r="C24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5" i="10"/>
  <c r="C15" i="10"/>
  <c r="F14" i="10"/>
  <c r="C14" i="10"/>
  <c r="F13" i="10"/>
  <c r="C13" i="10"/>
  <c r="F10" i="10"/>
  <c r="C10" i="10"/>
  <c r="F9" i="10"/>
  <c r="C9" i="10"/>
  <c r="F8" i="10"/>
  <c r="C8" i="10"/>
  <c r="G68" i="9"/>
  <c r="E68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0" i="9"/>
  <c r="E10" i="9"/>
  <c r="G9" i="9"/>
  <c r="E9" i="9"/>
  <c r="G8" i="9"/>
  <c r="E8" i="9"/>
  <c r="C68" i="9"/>
  <c r="B68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0" i="9"/>
  <c r="B10" i="9"/>
  <c r="C9" i="9"/>
  <c r="B9" i="9"/>
  <c r="C8" i="9"/>
  <c r="B8" i="9"/>
  <c r="G66" i="5"/>
  <c r="E66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5" i="5"/>
  <c r="E45" i="5"/>
  <c r="G44" i="5"/>
  <c r="E44" i="5"/>
  <c r="G43" i="5"/>
  <c r="E43" i="5"/>
  <c r="G42" i="5"/>
  <c r="E42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0" i="5"/>
  <c r="E10" i="5"/>
  <c r="G9" i="5"/>
  <c r="E9" i="5"/>
  <c r="G8" i="5"/>
  <c r="E8" i="5"/>
  <c r="C66" i="5"/>
  <c r="B66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5" i="5"/>
  <c r="B45" i="5"/>
  <c r="C44" i="5"/>
  <c r="B44" i="5"/>
  <c r="C43" i="5"/>
  <c r="B43" i="5"/>
  <c r="C42" i="5"/>
  <c r="B42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0" i="5"/>
  <c r="B10" i="5"/>
  <c r="C9" i="5"/>
  <c r="B9" i="5"/>
  <c r="C8" i="5"/>
  <c r="B8" i="5"/>
  <c r="F67" i="2"/>
  <c r="C67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5" i="2"/>
  <c r="C45" i="2"/>
  <c r="F44" i="2"/>
  <c r="C44" i="2"/>
  <c r="F43" i="2"/>
  <c r="C43" i="2"/>
  <c r="F42" i="2"/>
  <c r="C42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0" i="2"/>
  <c r="C10" i="2"/>
  <c r="F9" i="2"/>
  <c r="C9" i="2"/>
  <c r="F8" i="2"/>
  <c r="C8" i="2"/>
  <c r="G67" i="1"/>
  <c r="E67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5" i="1"/>
  <c r="E45" i="1"/>
  <c r="G44" i="1"/>
  <c r="E44" i="1"/>
  <c r="G43" i="1"/>
  <c r="E43" i="1"/>
  <c r="G42" i="1"/>
  <c r="E42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0" i="1"/>
  <c r="E10" i="1"/>
  <c r="G9" i="1"/>
  <c r="E9" i="1"/>
  <c r="G8" i="1"/>
  <c r="E8" i="1"/>
  <c r="C67" i="1"/>
  <c r="B67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5" i="1"/>
  <c r="B45" i="1"/>
  <c r="C44" i="1"/>
  <c r="B44" i="1"/>
  <c r="C43" i="1"/>
  <c r="B43" i="1"/>
  <c r="C42" i="1"/>
  <c r="B42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0" i="1"/>
  <c r="B10" i="1"/>
  <c r="C9" i="1"/>
  <c r="B9" i="1"/>
  <c r="C8" i="1"/>
  <c r="B8" i="1"/>
  <c r="J166" i="31"/>
  <c r="J158" i="31"/>
  <c r="I158" i="31"/>
  <c r="J157" i="31"/>
  <c r="I157" i="31"/>
  <c r="J156" i="31"/>
  <c r="I156" i="31"/>
  <c r="J155" i="31"/>
  <c r="I155" i="31"/>
  <c r="H166" i="31"/>
  <c r="H164" i="31"/>
  <c r="G164" i="31"/>
  <c r="H163" i="31"/>
  <c r="G163" i="31"/>
  <c r="H162" i="31"/>
  <c r="G162" i="31"/>
  <c r="H161" i="31"/>
  <c r="G161" i="31"/>
  <c r="H160" i="31"/>
  <c r="G160" i="31"/>
  <c r="H159" i="31"/>
  <c r="G159" i="31"/>
  <c r="H158" i="31"/>
  <c r="G158" i="31"/>
  <c r="H157" i="31"/>
  <c r="G157" i="31"/>
  <c r="H156" i="31"/>
  <c r="G156" i="31"/>
  <c r="H155" i="31"/>
  <c r="G155" i="31"/>
  <c r="E166" i="31"/>
  <c r="E162" i="31"/>
  <c r="D162" i="31"/>
  <c r="E161" i="31"/>
  <c r="D161" i="31"/>
  <c r="E160" i="31"/>
  <c r="D160" i="31"/>
  <c r="E159" i="31"/>
  <c r="D159" i="31"/>
  <c r="E158" i="31"/>
  <c r="D158" i="31"/>
  <c r="E157" i="31"/>
  <c r="D157" i="31"/>
  <c r="E156" i="31"/>
  <c r="D156" i="31"/>
  <c r="E155" i="31"/>
  <c r="D155" i="31"/>
  <c r="C166" i="31"/>
  <c r="C164" i="31"/>
  <c r="B164" i="31"/>
  <c r="C163" i="31"/>
  <c r="B163" i="31"/>
  <c r="C162" i="31"/>
  <c r="B162" i="31"/>
  <c r="C161" i="31"/>
  <c r="B161" i="31"/>
  <c r="C160" i="31"/>
  <c r="B160" i="31"/>
  <c r="C159" i="31"/>
  <c r="B159" i="31"/>
  <c r="C158" i="31"/>
  <c r="B158" i="31"/>
  <c r="C157" i="31"/>
  <c r="B157" i="31"/>
  <c r="C156" i="31"/>
  <c r="B156" i="31"/>
  <c r="C155" i="31"/>
  <c r="B155" i="31"/>
  <c r="J151" i="31"/>
  <c r="J146" i="31"/>
  <c r="I146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H151" i="31"/>
  <c r="H149" i="31"/>
  <c r="G149" i="31"/>
  <c r="H148" i="31"/>
  <c r="G148" i="31"/>
  <c r="H147" i="31"/>
  <c r="G147" i="31"/>
  <c r="H146" i="31"/>
  <c r="G146" i="31"/>
  <c r="H145" i="31"/>
  <c r="G145" i="31"/>
  <c r="H144" i="31"/>
  <c r="G144" i="31"/>
  <c r="H143" i="31"/>
  <c r="G143" i="31"/>
  <c r="H142" i="31"/>
  <c r="G142" i="31"/>
  <c r="H141" i="31"/>
  <c r="G141" i="31"/>
  <c r="H140" i="31"/>
  <c r="G140" i="31"/>
  <c r="E151" i="31"/>
  <c r="E146" i="31"/>
  <c r="D146" i="31"/>
  <c r="E145" i="31"/>
  <c r="D145" i="31"/>
  <c r="E144" i="31"/>
  <c r="D144" i="31"/>
  <c r="E143" i="31"/>
  <c r="D143" i="31"/>
  <c r="E142" i="31"/>
  <c r="D142" i="31"/>
  <c r="E141" i="31"/>
  <c r="D141" i="31"/>
  <c r="E140" i="31"/>
  <c r="D140" i="31"/>
  <c r="C151" i="31"/>
  <c r="C149" i="31"/>
  <c r="B149" i="31"/>
  <c r="C148" i="31"/>
  <c r="B148" i="31"/>
  <c r="C147" i="31"/>
  <c r="B147" i="31"/>
  <c r="C146" i="31"/>
  <c r="B146" i="31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J136" i="31"/>
  <c r="J126" i="31"/>
  <c r="I126" i="31"/>
  <c r="J125" i="31"/>
  <c r="I125" i="31"/>
  <c r="H136" i="31"/>
  <c r="H134" i="31"/>
  <c r="G134" i="31"/>
  <c r="H133" i="31"/>
  <c r="G133" i="31"/>
  <c r="H132" i="31"/>
  <c r="G132" i="31"/>
  <c r="H131" i="31"/>
  <c r="G131" i="31"/>
  <c r="H130" i="31"/>
  <c r="G130" i="31"/>
  <c r="H129" i="31"/>
  <c r="G129" i="31"/>
  <c r="H128" i="31"/>
  <c r="G128" i="31"/>
  <c r="H127" i="31"/>
  <c r="G127" i="31"/>
  <c r="H126" i="31"/>
  <c r="G126" i="31"/>
  <c r="H125" i="31"/>
  <c r="G125" i="31"/>
  <c r="E136" i="31"/>
  <c r="E126" i="31"/>
  <c r="D126" i="31"/>
  <c r="E125" i="31"/>
  <c r="D125" i="31"/>
  <c r="C136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J121" i="31"/>
  <c r="J119" i="31"/>
  <c r="I119" i="31"/>
  <c r="J118" i="31"/>
  <c r="I118" i="31"/>
  <c r="J117" i="31"/>
  <c r="I117" i="31"/>
  <c r="J116" i="31"/>
  <c r="I116" i="31"/>
  <c r="J115" i="31"/>
  <c r="I115" i="31"/>
  <c r="J114" i="31"/>
  <c r="I114" i="31"/>
  <c r="J113" i="31"/>
  <c r="I113" i="31"/>
  <c r="J112" i="31"/>
  <c r="I112" i="31"/>
  <c r="J111" i="31"/>
  <c r="I111" i="31"/>
  <c r="J110" i="31"/>
  <c r="I110" i="31"/>
  <c r="H121" i="31"/>
  <c r="H119" i="31"/>
  <c r="G119" i="31"/>
  <c r="H118" i="31"/>
  <c r="G118" i="31"/>
  <c r="H117" i="31"/>
  <c r="G117" i="31"/>
  <c r="H116" i="31"/>
  <c r="G116" i="31"/>
  <c r="H115" i="31"/>
  <c r="G115" i="31"/>
  <c r="H114" i="31"/>
  <c r="G114" i="31"/>
  <c r="H113" i="31"/>
  <c r="G113" i="31"/>
  <c r="H112" i="31"/>
  <c r="G112" i="31"/>
  <c r="H111" i="31"/>
  <c r="G111" i="31"/>
  <c r="H110" i="31"/>
  <c r="G110" i="31"/>
  <c r="E121" i="31"/>
  <c r="E113" i="31"/>
  <c r="D113" i="31"/>
  <c r="E112" i="31"/>
  <c r="D112" i="31"/>
  <c r="E111" i="31"/>
  <c r="D111" i="31"/>
  <c r="E110" i="31"/>
  <c r="D110" i="31"/>
  <c r="C121" i="31"/>
  <c r="C119" i="31"/>
  <c r="B119" i="31"/>
  <c r="C118" i="31"/>
  <c r="B118" i="31"/>
  <c r="C117" i="31"/>
  <c r="B117" i="31"/>
  <c r="C116" i="31"/>
  <c r="B116" i="31"/>
  <c r="C115" i="31"/>
  <c r="B115" i="31"/>
  <c r="C114" i="31"/>
  <c r="B114" i="31"/>
  <c r="C113" i="31"/>
  <c r="B113" i="31"/>
  <c r="C112" i="31"/>
  <c r="B112" i="31"/>
  <c r="C111" i="31"/>
  <c r="B111" i="31"/>
  <c r="C110" i="31"/>
  <c r="B110" i="31"/>
  <c r="J106" i="31"/>
  <c r="J98" i="31"/>
  <c r="I98" i="31"/>
  <c r="J97" i="31"/>
  <c r="I97" i="31"/>
  <c r="J96" i="31"/>
  <c r="I96" i="31"/>
  <c r="J95" i="31"/>
  <c r="I95" i="31"/>
  <c r="H106" i="31"/>
  <c r="H104" i="31"/>
  <c r="G104" i="31"/>
  <c r="H103" i="31"/>
  <c r="G103" i="31"/>
  <c r="H102" i="31"/>
  <c r="G102" i="31"/>
  <c r="H101" i="31"/>
  <c r="G101" i="31"/>
  <c r="H100" i="31"/>
  <c r="G100" i="31"/>
  <c r="H99" i="31"/>
  <c r="G99" i="31"/>
  <c r="H98" i="31"/>
  <c r="G98" i="31"/>
  <c r="H97" i="31"/>
  <c r="G97" i="31"/>
  <c r="H96" i="31"/>
  <c r="G96" i="31"/>
  <c r="H95" i="31"/>
  <c r="G95" i="31"/>
  <c r="E106" i="31"/>
  <c r="E104" i="31"/>
  <c r="D104" i="31"/>
  <c r="E103" i="31"/>
  <c r="D103" i="31"/>
  <c r="E102" i="31"/>
  <c r="D102" i="31"/>
  <c r="E101" i="31"/>
  <c r="D101" i="31"/>
  <c r="E100" i="31"/>
  <c r="D100" i="31"/>
  <c r="E99" i="31"/>
  <c r="D99" i="31"/>
  <c r="E98" i="31"/>
  <c r="D98" i="31"/>
  <c r="E97" i="31"/>
  <c r="D97" i="31"/>
  <c r="E96" i="31"/>
  <c r="D96" i="31"/>
  <c r="E95" i="31"/>
  <c r="D95" i="31"/>
  <c r="C106" i="31"/>
  <c r="C104" i="31"/>
  <c r="B104" i="31"/>
  <c r="C103" i="31"/>
  <c r="B103" i="31"/>
  <c r="C102" i="31"/>
  <c r="B102" i="31"/>
  <c r="C101" i="31"/>
  <c r="B101" i="31"/>
  <c r="C100" i="31"/>
  <c r="B100" i="31"/>
  <c r="C99" i="31"/>
  <c r="B99" i="31"/>
  <c r="C98" i="31"/>
  <c r="B98" i="31"/>
  <c r="C97" i="31"/>
  <c r="B97" i="31"/>
  <c r="C96" i="31"/>
  <c r="B96" i="31"/>
  <c r="C95" i="31"/>
  <c r="B95" i="31"/>
  <c r="J91" i="31"/>
  <c r="J89" i="31"/>
  <c r="I89" i="31"/>
  <c r="J88" i="31"/>
  <c r="I88" i="31"/>
  <c r="J87" i="31"/>
  <c r="I87" i="31"/>
  <c r="J86" i="31"/>
  <c r="I86" i="31"/>
  <c r="J85" i="31"/>
  <c r="I85" i="31"/>
  <c r="J84" i="31"/>
  <c r="I84" i="31"/>
  <c r="J83" i="31"/>
  <c r="I83" i="31"/>
  <c r="J82" i="31"/>
  <c r="I82" i="31"/>
  <c r="J81" i="31"/>
  <c r="I81" i="31"/>
  <c r="J80" i="31"/>
  <c r="I80" i="31"/>
  <c r="H91" i="31"/>
  <c r="H89" i="31"/>
  <c r="G89" i="31"/>
  <c r="H88" i="31"/>
  <c r="G88" i="31"/>
  <c r="H87" i="31"/>
  <c r="G87" i="31"/>
  <c r="H86" i="31"/>
  <c r="G86" i="31"/>
  <c r="H85" i="31"/>
  <c r="G85" i="31"/>
  <c r="H84" i="31"/>
  <c r="G84" i="31"/>
  <c r="H83" i="31"/>
  <c r="G83" i="31"/>
  <c r="H82" i="31"/>
  <c r="G82" i="31"/>
  <c r="H81" i="31"/>
  <c r="G81" i="31"/>
  <c r="H80" i="31"/>
  <c r="G80" i="31"/>
  <c r="E91" i="31"/>
  <c r="E84" i="31"/>
  <c r="D84" i="31"/>
  <c r="E83" i="31"/>
  <c r="D83" i="31"/>
  <c r="E82" i="31"/>
  <c r="D82" i="31"/>
  <c r="E81" i="31"/>
  <c r="D81" i="31"/>
  <c r="E80" i="31"/>
  <c r="D80" i="31"/>
  <c r="C91" i="31"/>
  <c r="C89" i="31"/>
  <c r="B89" i="31"/>
  <c r="C88" i="31"/>
  <c r="B88" i="31"/>
  <c r="C87" i="31"/>
  <c r="B87" i="31"/>
  <c r="C86" i="31"/>
  <c r="B86" i="31"/>
  <c r="C85" i="31"/>
  <c r="B85" i="31"/>
  <c r="C84" i="31"/>
  <c r="B84" i="31"/>
  <c r="C83" i="31"/>
  <c r="B83" i="31"/>
  <c r="C82" i="31"/>
  <c r="B82" i="31"/>
  <c r="C81" i="31"/>
  <c r="B81" i="31"/>
  <c r="C80" i="31"/>
  <c r="B80" i="31"/>
  <c r="J76" i="31"/>
  <c r="J74" i="31"/>
  <c r="I74" i="31"/>
  <c r="J73" i="31"/>
  <c r="I73" i="31"/>
  <c r="J72" i="31"/>
  <c r="I72" i="31"/>
  <c r="J71" i="31"/>
  <c r="I71" i="31"/>
  <c r="J70" i="31"/>
  <c r="I70" i="31"/>
  <c r="J69" i="31"/>
  <c r="I69" i="31"/>
  <c r="J68" i="31"/>
  <c r="I68" i="31"/>
  <c r="J67" i="31"/>
  <c r="I67" i="31"/>
  <c r="J66" i="31"/>
  <c r="I66" i="31"/>
  <c r="J65" i="31"/>
  <c r="I65" i="31"/>
  <c r="H76" i="31"/>
  <c r="H74" i="31"/>
  <c r="G74" i="31"/>
  <c r="H73" i="31"/>
  <c r="G73" i="31"/>
  <c r="H72" i="31"/>
  <c r="G72" i="31"/>
  <c r="H71" i="31"/>
  <c r="G71" i="31"/>
  <c r="H70" i="31"/>
  <c r="G70" i="31"/>
  <c r="H69" i="31"/>
  <c r="G69" i="31"/>
  <c r="H68" i="31"/>
  <c r="G68" i="31"/>
  <c r="H67" i="31"/>
  <c r="G67" i="31"/>
  <c r="H66" i="31"/>
  <c r="G66" i="31"/>
  <c r="H65" i="31"/>
  <c r="G65" i="31"/>
  <c r="E76" i="31"/>
  <c r="E69" i="31"/>
  <c r="D69" i="31"/>
  <c r="E68" i="31"/>
  <c r="D68" i="31"/>
  <c r="E67" i="31"/>
  <c r="D67" i="31"/>
  <c r="E66" i="31"/>
  <c r="D66" i="31"/>
  <c r="E65" i="31"/>
  <c r="D65" i="31"/>
  <c r="C76" i="31"/>
  <c r="C71" i="31"/>
  <c r="B71" i="31"/>
  <c r="C70" i="31"/>
  <c r="B70" i="31"/>
  <c r="C69" i="31"/>
  <c r="B69" i="31"/>
  <c r="C68" i="31"/>
  <c r="B68" i="31"/>
  <c r="C67" i="31"/>
  <c r="B67" i="31"/>
  <c r="C66" i="31"/>
  <c r="B66" i="31"/>
  <c r="C65" i="31"/>
  <c r="B65" i="31"/>
  <c r="J61" i="31"/>
  <c r="J52" i="31"/>
  <c r="I52" i="31"/>
  <c r="J51" i="31"/>
  <c r="I51" i="31"/>
  <c r="J50" i="31"/>
  <c r="I50" i="31"/>
  <c r="H61" i="31"/>
  <c r="H53" i="31"/>
  <c r="G53" i="31"/>
  <c r="H52" i="31"/>
  <c r="G52" i="31"/>
  <c r="H51" i="31"/>
  <c r="G51" i="31"/>
  <c r="H50" i="31"/>
  <c r="G50" i="31"/>
  <c r="E61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C61" i="31"/>
  <c r="C59" i="31"/>
  <c r="B59" i="31"/>
  <c r="C58" i="31"/>
  <c r="B58" i="31"/>
  <c r="C57" i="31"/>
  <c r="B57" i="31"/>
  <c r="C56" i="31"/>
  <c r="B56" i="31"/>
  <c r="C55" i="31"/>
  <c r="B55" i="31"/>
  <c r="C54" i="31"/>
  <c r="B54" i="31"/>
  <c r="C53" i="31"/>
  <c r="B53" i="31"/>
  <c r="C52" i="31"/>
  <c r="B52" i="31"/>
  <c r="C51" i="31"/>
  <c r="B51" i="31"/>
  <c r="C50" i="31"/>
  <c r="B50" i="31"/>
  <c r="J46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7" i="31"/>
  <c r="I37" i="31"/>
  <c r="J36" i="31"/>
  <c r="I36" i="31"/>
  <c r="J35" i="31"/>
  <c r="I35" i="31"/>
  <c r="H46" i="31"/>
  <c r="H44" i="31"/>
  <c r="G44" i="31"/>
  <c r="H43" i="31"/>
  <c r="G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E46" i="31"/>
  <c r="E39" i="31"/>
  <c r="D39" i="31"/>
  <c r="E38" i="31"/>
  <c r="D38" i="31"/>
  <c r="E37" i="31"/>
  <c r="D37" i="31"/>
  <c r="E36" i="31"/>
  <c r="D36" i="31"/>
  <c r="E35" i="31"/>
  <c r="D35" i="31"/>
  <c r="C46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J31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J20" i="31"/>
  <c r="I20" i="31"/>
  <c r="H31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E31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C31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J16" i="31"/>
  <c r="J7" i="31"/>
  <c r="I7" i="31"/>
  <c r="J6" i="31"/>
  <c r="I6" i="31"/>
  <c r="J5" i="31"/>
  <c r="I5" i="31"/>
  <c r="H16" i="31"/>
  <c r="H13" i="31"/>
  <c r="G13" i="31"/>
  <c r="H12" i="31"/>
  <c r="G12" i="31"/>
  <c r="H11" i="31"/>
  <c r="G11" i="31"/>
  <c r="H10" i="31"/>
  <c r="G10" i="31"/>
  <c r="H9" i="31"/>
  <c r="G9" i="31"/>
  <c r="H8" i="31"/>
  <c r="G8" i="31"/>
  <c r="H7" i="31"/>
  <c r="G7" i="31"/>
  <c r="H6" i="31"/>
  <c r="G6" i="31"/>
  <c r="H5" i="31"/>
  <c r="G5" i="31"/>
  <c r="E16" i="31"/>
  <c r="E7" i="31"/>
  <c r="D7" i="31"/>
  <c r="E6" i="31"/>
  <c r="D6" i="31"/>
  <c r="E5" i="31"/>
  <c r="D5" i="31"/>
  <c r="C16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B25" i="28" l="1"/>
  <c r="B26" i="28"/>
  <c r="G16" i="26" l="1"/>
  <c r="D16" i="26"/>
  <c r="G37" i="26"/>
  <c r="D37" i="26"/>
  <c r="G15" i="26" l="1"/>
  <c r="D15" i="26"/>
  <c r="G36" i="26"/>
  <c r="D36" i="26"/>
  <c r="B24" i="28"/>
  <c r="B23" i="28"/>
  <c r="B22" i="28" l="1"/>
  <c r="B21" i="28"/>
  <c r="G35" i="26"/>
  <c r="D35" i="26"/>
  <c r="G14" i="26"/>
  <c r="D14" i="26"/>
  <c r="B20" i="28"/>
  <c r="B19" i="28"/>
  <c r="B18" i="28"/>
  <c r="B17" i="28"/>
  <c r="G33" i="26" l="1"/>
  <c r="G34" i="26"/>
  <c r="D33" i="26"/>
  <c r="D34" i="26"/>
  <c r="G12" i="26"/>
  <c r="G13" i="26"/>
  <c r="D12" i="26"/>
  <c r="D13" i="26"/>
  <c r="B16" i="28" l="1"/>
  <c r="B15" i="28"/>
  <c r="G32" i="26"/>
  <c r="D32" i="26"/>
  <c r="G11" i="26"/>
  <c r="D11" i="26"/>
  <c r="B14" i="28" l="1"/>
  <c r="B13" i="28"/>
  <c r="G31" i="26"/>
  <c r="D31" i="26"/>
  <c r="G10" i="26"/>
  <c r="D10" i="26"/>
  <c r="B12" i="28" l="1"/>
  <c r="B11" i="28"/>
  <c r="G30" i="26"/>
  <c r="D30" i="26"/>
  <c r="G9" i="26"/>
  <c r="D9" i="26"/>
  <c r="B10" i="28" l="1"/>
  <c r="B9" i="28"/>
  <c r="J165" i="31"/>
  <c r="J150" i="31"/>
  <c r="E150" i="31"/>
  <c r="J135" i="31"/>
  <c r="E90" i="31"/>
  <c r="J30" i="31"/>
  <c r="H30" i="31" l="1"/>
  <c r="E135" i="31"/>
  <c r="C150" i="31"/>
  <c r="J45" i="31"/>
  <c r="E60" i="31"/>
  <c r="J75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48" i="5" l="1"/>
  <c r="B8" i="28"/>
  <c r="B7" i="28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B64" i="10"/>
  <c r="H64" i="10" s="1"/>
  <c r="E63" i="10"/>
  <c r="I62" i="9"/>
  <c r="B60" i="10"/>
  <c r="H60" i="10" s="1"/>
  <c r="B59" i="10"/>
  <c r="E53" i="10"/>
  <c r="I52" i="9"/>
  <c r="D65" i="10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F65" i="23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F67" i="22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G47" i="1"/>
  <c r="I47" i="1" s="1"/>
  <c r="B47" i="9"/>
  <c r="G47" i="9"/>
  <c r="F47" i="10"/>
  <c r="E48" i="11"/>
  <c r="E47" i="5"/>
  <c r="G47" i="5"/>
  <c r="C47" i="9"/>
  <c r="G48" i="11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C65" i="25"/>
  <c r="D58" i="25"/>
  <c r="D39" i="25"/>
  <c r="G19" i="23"/>
  <c r="G24" i="23"/>
  <c r="G55" i="25"/>
  <c r="G45" i="23"/>
  <c r="F65" i="25"/>
  <c r="D29" i="25"/>
  <c r="D67" i="22"/>
  <c r="J67" i="22"/>
  <c r="G13" i="25"/>
  <c r="D13" i="25"/>
  <c r="M67" i="22"/>
  <c r="L67" i="22"/>
  <c r="I67" i="22"/>
  <c r="B16" i="25"/>
  <c r="D16" i="25" s="1"/>
  <c r="B65" i="23"/>
  <c r="C65" i="23"/>
  <c r="G67" i="22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D36" i="18" s="1"/>
  <c r="C38" i="18"/>
  <c r="B38" i="18"/>
  <c r="B36" i="18" s="1"/>
  <c r="N36" i="18"/>
  <c r="N9" i="18" s="1"/>
  <c r="L36" i="18"/>
  <c r="J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J9" i="18" s="1"/>
  <c r="I11" i="18"/>
  <c r="H11" i="18"/>
  <c r="G11" i="18"/>
  <c r="F11" i="18"/>
  <c r="E11" i="18"/>
  <c r="D11" i="18"/>
  <c r="D9" i="18" s="1"/>
  <c r="C11" i="18"/>
  <c r="B11" i="18"/>
  <c r="L9" i="18" l="1"/>
  <c r="I36" i="18"/>
  <c r="K36" i="18"/>
  <c r="K9" i="18" s="1"/>
  <c r="M9" i="18"/>
  <c r="F9" i="18"/>
  <c r="V36" i="18"/>
  <c r="V9" i="18" s="1"/>
  <c r="I9" i="18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G41" i="5"/>
  <c r="I41" i="5" s="1"/>
  <c r="C42" i="12" l="1"/>
  <c r="H53" i="11"/>
  <c r="H32" i="11"/>
  <c r="H28" i="11"/>
  <c r="H27" i="11"/>
  <c r="H20" i="11"/>
  <c r="G8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B41" i="9"/>
  <c r="D41" i="9" s="1"/>
  <c r="E41" i="9"/>
  <c r="E41" i="10"/>
  <c r="G41" i="9"/>
  <c r="H41" i="9" s="1"/>
  <c r="C65" i="5"/>
  <c r="B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B13" i="11"/>
  <c r="H43" i="11"/>
  <c r="E41" i="1"/>
  <c r="B12" i="9"/>
  <c r="G12" i="9"/>
  <c r="H12" i="9" s="1"/>
  <c r="C7" i="2"/>
  <c r="H72" i="2"/>
  <c r="E7" i="5"/>
  <c r="F44" i="5"/>
  <c r="F38" i="5"/>
  <c r="F37" i="5"/>
  <c r="F39" i="5"/>
  <c r="G12" i="1"/>
  <c r="H12" i="1" s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E8" i="11"/>
  <c r="C42" i="11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G13" i="11"/>
  <c r="H29" i="11"/>
  <c r="E42" i="11"/>
  <c r="H52" i="11"/>
  <c r="H8" i="11"/>
  <c r="H15" i="11"/>
  <c r="H16" i="11"/>
  <c r="H17" i="11"/>
  <c r="F7" i="10"/>
  <c r="E12" i="10"/>
  <c r="F12" i="10"/>
  <c r="H7" i="9"/>
  <c r="F47" i="9"/>
  <c r="E7" i="9"/>
  <c r="F9" i="5"/>
  <c r="G12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C12" i="1"/>
  <c r="I67" i="1"/>
  <c r="E12" i="1"/>
  <c r="G41" i="1"/>
  <c r="F67" i="1"/>
  <c r="G8" i="12" l="1"/>
  <c r="D7" i="9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F12" i="5"/>
  <c r="J72" i="2"/>
  <c r="E63" i="12"/>
  <c r="G66" i="1"/>
  <c r="H66" i="1" s="1"/>
  <c r="C63" i="12"/>
  <c r="C67" i="9"/>
  <c r="B67" i="9"/>
  <c r="C66" i="1"/>
  <c r="B63" i="11"/>
  <c r="G63" i="11"/>
  <c r="C63" i="11"/>
  <c r="E67" i="9"/>
  <c r="E65" i="5"/>
  <c r="B66" i="2"/>
  <c r="F63" i="12"/>
  <c r="B63" i="12"/>
  <c r="H13" i="11"/>
  <c r="E63" i="11"/>
  <c r="F48" i="11"/>
  <c r="F67" i="10"/>
  <c r="H12" i="5"/>
  <c r="G65" i="5"/>
  <c r="F66" i="2"/>
  <c r="E66" i="2"/>
  <c r="F47" i="1"/>
  <c r="E66" i="1"/>
  <c r="H41" i="1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<sst xmlns="http://schemas.openxmlformats.org/spreadsheetml/2006/main" count="1448" uniqueCount="493">
  <si>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</si>
  <si>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</si>
  <si>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</si>
  <si>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</si>
  <si>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</si>
  <si>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</si>
  <si>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</si>
  <si>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</si>
  <si>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</si>
  <si>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</si>
  <si>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</si>
  <si>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</si>
  <si>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</si>
  <si>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</si>
  <si>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</si>
  <si>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</si>
  <si>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</si>
  <si>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</si>
  <si>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</si>
  <si>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</si>
  <si>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</si>
  <si>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</si>
  <si>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</si>
  <si>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</si>
  <si>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</si>
  <si>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</si>
  <si>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</si>
  <si>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</si>
  <si>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</si>
  <si>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</si>
  <si>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</si>
  <si>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</si>
  <si>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</si>
  <si>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</si>
  <si>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</si>
  <si>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</si>
  <si>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</si>
  <si>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</si>
  <si>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</si>
  <si>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</si>
  <si>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</si>
  <si>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</si>
  <si>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</si>
  <si>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</si>
  <si>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</si>
  <si>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</si>
  <si>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</si>
  <si>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</si>
  <si>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</si>
  <si>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</si>
  <si>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</si>
  <si>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</si>
  <si>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</si>
  <si>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</si>
  <si>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</si>
  <si>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</si>
  <si>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</si>
  <si>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</si>
  <si>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</si>
  <si>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</si>
  <si>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</si>
  <si>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</si>
  <si>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</si>
  <si>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</si>
  <si>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</si>
  <si>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</si>
  <si>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</si>
  <si>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</si>
  <si>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</si>
  <si>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</si>
  <si>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</si>
  <si>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</si>
  <si>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</si>
  <si>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</si>
  <si>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</si>
  <si>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</si>
  <si>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</si>
  <si>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</si>
  <si>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</si>
  <si>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</si>
  <si>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</si>
  <si>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</si>
  <si>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</si>
  <si>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</si>
  <si>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</si>
  <si>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</si>
  <si>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</si>
  <si>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</si>
  <si>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</si>
  <si>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</si>
  <si>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</si>
  <si>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</si>
  <si>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</si>
  <si>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</si>
  <si>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</si>
  <si>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</si>
  <si>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</si>
  <si>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</si>
  <si>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</si>
  <si>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</si>
  <si>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</si>
  <si>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</si>
  <si>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</si>
  <si>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</si>
  <si>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</si>
  <si>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</si>
  <si>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</si>
  <si>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</si>
  <si>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</si>
  <si>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</si>
  <si>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</si>
  <si>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</si>
  <si>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</si>
  <si>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</si>
  <si>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</si>
  <si>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</si>
  <si>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</si>
  <si>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</si>
  <si>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</si>
  <si>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</si>
  <si>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</si>
  <si>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</si>
  <si>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</si>
  <si>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</si>
  <si>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</si>
  <si>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</si>
  <si>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</si>
  <si>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</si>
  <si>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</si>
  <si>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</si>
  <si>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</si>
  <si>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</si>
  <si>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</si>
  <si>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</si>
  <si>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</si>
  <si>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</si>
  <si>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</si>
  <si>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</si>
  <si>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</si>
  <si>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</si>
  <si>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</si>
  <si>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</si>
  <si>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</si>
  <si>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</si>
  <si>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</si>
  <si>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</si>
  <si>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</si>
  <si>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</si>
  <si>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</si>
  <si>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</si>
  <si>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</si>
  <si>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</si>
  <si>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</si>
  <si>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</si>
  <si>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</si>
  <si>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</si>
  <si>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</si>
  <si>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</si>
  <si>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</si>
  <si>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</si>
  <si>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</si>
  <si>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</si>
  <si>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</si>
  <si>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</si>
  <si>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</si>
  <si>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</si>
  <si>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</si>
  <si>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</si>
  <si>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</si>
  <si>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</si>
  <si>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</si>
  <si>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</si>
  <si>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</si>
  <si>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</si>
  <si>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</si>
  <si>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</si>
  <si>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</si>
  <si>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</si>
  <si>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</si>
  <si>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</si>
  <si>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</si>
  <si>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</si>
  <si>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</si>
  <si>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</si>
  <si>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</si>
  <si>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</si>
  <si>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</si>
  <si>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</si>
  <si>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</si>
  <si>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</si>
  <si>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</si>
  <si>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</si>
  <si>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</si>
  <si>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</si>
  <si>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</si>
  <si>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</si>
  <si>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</si>
  <si>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</si>
  <si>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</si>
  <si>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</si>
  <si>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</si>
  <si>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</si>
  <si>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</si>
  <si>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</si>
  <si>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</si>
  <si>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</si>
  <si>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</si>
  <si>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</si>
  <si>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</si>
  <si>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</si>
  <si>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</si>
  <si>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</si>
  <si>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</si>
  <si>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</si>
  <si>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</si>
  <si>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</si>
  <si>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</si>
  <si>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</si>
  <si>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</si>
  <si>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</si>
  <si>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</si>
  <si>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</si>
  <si>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</si>
  <si>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</si>
  <si>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</si>
  <si>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</si>
  <si>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</si>
  <si>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</si>
  <si>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</si>
  <si>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</si>
  <si>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</si>
  <si>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</si>
  <si>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</si>
  <si>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</si>
  <si>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</si>
  <si>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</si>
  <si>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</si>
  <si>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</si>
  <si>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</si>
  <si>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</si>
  <si>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</si>
  <si>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</si>
  <si>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</si>
  <si>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</si>
  <si>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</si>
  <si>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</si>
  <si>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</si>
  <si>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</si>
  <si>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</si>
  <si>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</si>
  <si>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</si>
  <si>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</si>
  <si>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</si>
  <si>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</si>
  <si>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</si>
  <si>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</si>
  <si>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</si>
  <si>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</si>
  <si>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</si>
  <si>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</si>
  <si>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</si>
  <si>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</si>
  <si>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</si>
  <si>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</si>
  <si>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</si>
  <si>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</si>
  <si>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</si>
  <si>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</si>
  <si>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</si>
  <si>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</si>
  <si>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</si>
  <si>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</si>
  <si>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</si>
  <si>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</si>
  <si>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</si>
  <si>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</si>
  <si>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</si>
  <si>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</si>
  <si>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</si>
  <si>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</si>
  <si>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</si>
  <si>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</si>
  <si>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</si>
  <si>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</si>
  <si>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</si>
  <si>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</si>
  <si>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</si>
  <si>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</si>
  <si>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</si>
  <si>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</si>
  <si>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</si>
  <si>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</si>
  <si>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</si>
  <si>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</si>
  <si>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</si>
  <si>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</si>
  <si>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</si>
  <si>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</si>
  <si>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</si>
  <si>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</si>
  <si>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</si>
  <si>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</si>
  <si>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</si>
  <si>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</si>
  <si>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</si>
  <si>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</si>
  <si>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</si>
  <si>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</si>
  <si>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</si>
  <si>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</si>
  <si>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</si>
  <si>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</si>
  <si>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</si>
  <si>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</si>
  <si>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</si>
  <si>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</si>
  <si>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</si>
  <si>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</si>
  <si>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</si>
  <si>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</si>
  <si>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</si>
  <si>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</si>
  <si>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</si>
  <si>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</si>
  <si>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</si>
  <si>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</si>
  <si>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</si>
  <si>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</si>
  <si>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</si>
  <si>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</si>
  <si>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</si>
  <si>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</si>
  <si>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</si>
  <si>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</si>
  <si>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</si>
  <si>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</si>
  <si>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</si>
  <si>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</si>
  <si>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</si>
  <si>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</si>
  <si>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</si>
  <si>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</si>
  <si>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</si>
  <si>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</si>
  <si>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</si>
  <si>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</si>
  <si>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</si>
  <si>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</si>
  <si>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</si>
  <si>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</si>
  <si>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</si>
  <si>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</si>
  <si>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</si>
  <si>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</si>
  <si>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</si>
  <si>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</si>
  <si>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</si>
  <si>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</si>
  <si>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</si>
  <si>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</si>
  <si>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</si>
  <si>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</si>
  <si>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</si>
  <si>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</si>
  <si>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</si>
  <si>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</si>
  <si>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</si>
  <si>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</si>
  <si>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</si>
  <si>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</si>
  <si>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</si>
  <si>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</si>
  <si>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</si>
  <si>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</si>
  <si>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</si>
  <si>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</si>
  <si>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</si>
  <si>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</si>
  <si>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</si>
  <si>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</si>
  <si>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</si>
  <si>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</si>
  <si>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</si>
  <si>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</si>
  <si>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</si>
  <si>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</si>
  <si>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</si>
  <si>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</si>
  <si>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</si>
  <si>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</si>
  <si>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</si>
  <si>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</si>
  <si>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</si>
  <si>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</si>
  <si>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</si>
  <si>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</si>
  <si>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</si>
  <si>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</si>
  <si>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</si>
  <si>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</si>
  <si>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</si>
  <si>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</si>
  <si>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</si>
  <si>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</si>
  <si>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</si>
  <si>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</si>
  <si>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</si>
  <si>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</si>
  <si>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</si>
  <si>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</si>
  <si>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</si>
  <si>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</si>
  <si>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</si>
  <si>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</si>
  <si>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</si>
  <si>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</si>
  <si>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</si>
  <si>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87120090004 (Other Cycles)</t>
    <phoneticPr fontId="3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</si>
  <si>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</si>
  <si>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</si>
  <si>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</si>
  <si>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</si>
  <si>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</si>
  <si>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</si>
  <si>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</si>
  <si>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</si>
  <si>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</si>
  <si>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</si>
  <si>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</si>
  <si>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</si>
  <si>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</si>
  <si>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</si>
  <si>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</si>
  <si>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</si>
  <si>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</si>
  <si>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</si>
  <si>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</si>
  <si>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</si>
  <si>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t>CCC CODE: 87120090004 (Other Cycles)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</si>
  <si>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</si>
  <si>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</si>
  <si>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</si>
  <si>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</si>
  <si>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</si>
  <si>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</si>
  <si>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</si>
  <si>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</si>
  <si>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</si>
  <si>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</si>
  <si>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</si>
  <si>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</si>
  <si>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</si>
  <si>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</si>
  <si>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</si>
  <si>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</si>
  <si>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</si>
  <si>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</si>
  <si>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</si>
  <si>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</si>
  <si>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</si>
  <si>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</si>
  <si>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</si>
  <si>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t>日    期: 2023-2022年同期比較</t>
    <phoneticPr fontId="3" type="noConversion"/>
  </si>
  <si>
    <t>2023年1-12月台灣自行車主要出口國家統計</t>
    <phoneticPr fontId="4" type="noConversion"/>
  </si>
  <si>
    <t>2023年12月</t>
    <phoneticPr fontId="3" type="noConversion"/>
  </si>
  <si>
    <t>12月數量</t>
    <phoneticPr fontId="3" type="noConversion"/>
  </si>
  <si>
    <t>12月金額</t>
    <phoneticPr fontId="3" type="noConversion"/>
  </si>
  <si>
    <t>1-12月數量</t>
    <phoneticPr fontId="3" type="noConversion"/>
  </si>
  <si>
    <t>1-12月金額</t>
    <phoneticPr fontId="3" type="noConversion"/>
  </si>
  <si>
    <r>
      <t>2023年1-12月</t>
    </r>
    <r>
      <rPr>
        <b/>
        <sz val="14"/>
        <rFont val="新細明體"/>
        <family val="1"/>
        <charset val="136"/>
      </rPr>
      <t>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</si>
  <si>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</si>
  <si>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t>2023/2022年1-12月</t>
    <phoneticPr fontId="3" type="noConversion"/>
  </si>
  <si>
    <t>2023年1-12月與2022年同期台灣其他自行車出口統計比較</t>
    <phoneticPr fontId="3" type="noConversion"/>
  </si>
  <si>
    <t>2023年1-12月與2022年同期台灣自行車出口統計比較</t>
    <phoneticPr fontId="3" type="noConversion"/>
  </si>
  <si>
    <t>2023年12月台灣自行車出口地區別統計</t>
    <phoneticPr fontId="3" type="noConversion"/>
  </si>
  <si>
    <t>2023年1-12月台灣折疊式自行車主要出口國家統計</t>
    <phoneticPr fontId="4" type="noConversion"/>
  </si>
  <si>
    <r>
      <t xml:space="preserve">     '2023/2022年1-12月</t>
    </r>
    <r>
      <rPr>
        <b/>
        <sz val="14"/>
        <rFont val="新細明體"/>
        <family val="1"/>
        <charset val="136"/>
      </rPr>
      <t>台灣折疊式自行車主要出口國家比較</t>
    </r>
    <phoneticPr fontId="4" type="noConversion"/>
  </si>
  <si>
    <r>
      <t>2023年1-12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</si>
  <si>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'2023/2022年1-12月台灣電動自行車主要出口國家比較        </t>
    <phoneticPr fontId="4" type="noConversion"/>
  </si>
  <si>
    <t>2023年1-12月與2022年同期台灣電動自行車出口統計比較</t>
    <phoneticPr fontId="3" type="noConversion"/>
  </si>
  <si>
    <t>2023年1-12月與2022年同期台灣折疊式自行車出口統計比較</t>
    <phoneticPr fontId="3" type="noConversion"/>
  </si>
  <si>
    <r>
      <t>2023年1-12月</t>
    </r>
    <r>
      <rPr>
        <b/>
        <sz val="14"/>
        <rFont val="新細明體"/>
        <family val="1"/>
        <charset val="136"/>
      </rPr>
      <t>份自行車主要零件進出口統計</t>
    </r>
    <phoneticPr fontId="4" type="noConversion"/>
  </si>
  <si>
    <t>12月出口量</t>
    <phoneticPr fontId="4" type="noConversion"/>
  </si>
  <si>
    <t>12月出口金額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</si>
  <si>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</si>
  <si>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</si>
  <si>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12月進口量</t>
    <phoneticPr fontId="4" type="noConversion"/>
  </si>
  <si>
    <t>12月進口金額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</si>
  <si>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</si>
  <si>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</si>
  <si>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2023/2022年1-12月</t>
    </r>
    <r>
      <rPr>
        <b/>
        <sz val="16"/>
        <rFont val="新細明體"/>
        <family val="1"/>
        <charset val="136"/>
      </rPr>
      <t>同期自行車主要零件出口統計比較</t>
    </r>
    <phoneticPr fontId="4" type="noConversion"/>
  </si>
  <si>
    <r>
      <t xml:space="preserve">     2023/2022年1-12月</t>
    </r>
    <r>
      <rPr>
        <b/>
        <sz val="16"/>
        <rFont val="新細明體"/>
        <family val="1"/>
        <charset val="136"/>
      </rPr>
      <t>同期自行車主要零件進口統計比較</t>
    </r>
    <phoneticPr fontId="4" type="noConversion"/>
  </si>
  <si>
    <t>2023年12月台灣自行車主要零件進出口統計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</si>
</sst>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8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gray125">
        <fgColor indexed="31"/>
        <bgColor rgb="FFCCCC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Alignment="1">
      <alignment horizontal="center"/>
    </xf>
    <xf numFmtId="176" fontId="34" fillId="2" borderId="0" xfId="0" applyNumberFormat="1" applyFont="1" applyFill="1" applyAlignment="1"/>
    <xf numFmtId="176" fontId="35" fillId="0" borderId="0" xfId="0" applyNumberFormat="1" applyFont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80" fontId="54" fillId="0" borderId="10" xfId="1" applyNumberFormat="1" applyFont="1" applyFill="1" applyBorder="1" applyAlignment="1"/>
    <xf numFmtId="176" fontId="54" fillId="5" borderId="10" xfId="4" applyNumberFormat="1" applyFont="1" applyFill="1" applyBorder="1"/>
    <xf numFmtId="176" fontId="55" fillId="0" borderId="10" xfId="0" applyNumberFormat="1" applyFont="1" applyBorder="1" applyAlignment="1"/>
    <xf numFmtId="176" fontId="56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0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1" fillId="7" borderId="9" xfId="4" applyNumberFormat="1" applyFont="1" applyFill="1" applyBorder="1" applyAlignment="1">
      <alignment horizontal="right"/>
    </xf>
    <xf numFmtId="176" fontId="62" fillId="7" borderId="9" xfId="4" applyNumberFormat="1" applyFont="1" applyFill="1" applyBorder="1"/>
    <xf numFmtId="176" fontId="62" fillId="7" borderId="9" xfId="4" applyNumberFormat="1" applyFont="1" applyFill="1" applyBorder="1" applyAlignment="1">
      <alignment horizontal="right"/>
    </xf>
    <xf numFmtId="179" fontId="62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3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9" fillId="0" borderId="10" xfId="4" applyNumberFormat="1" applyFont="1" applyBorder="1" applyAlignment="1">
      <alignment horizontal="right"/>
    </xf>
    <xf numFmtId="176" fontId="66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7" fillId="0" borderId="9" xfId="0" applyNumberFormat="1" applyFont="1" applyBorder="1" applyAlignment="1">
      <alignment horizontal="center"/>
    </xf>
    <xf numFmtId="10" fontId="67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3" fillId="0" borderId="10" xfId="0" quotePrefix="1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8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8" fillId="0" borderId="10" xfId="4" applyNumberFormat="1" applyFont="1" applyBorder="1" applyAlignment="1">
      <alignment horizontal="right"/>
    </xf>
    <xf numFmtId="176" fontId="71" fillId="7" borderId="10" xfId="4" applyNumberFormat="1" applyFont="1" applyFill="1" applyBorder="1" applyAlignment="1">
      <alignment horizontal="right"/>
    </xf>
    <xf numFmtId="176" fontId="63" fillId="0" borderId="10" xfId="0" applyNumberFormat="1" applyFont="1" applyBorder="1" applyAlignment="1">
      <alignment horizontal="center" vertical="center"/>
    </xf>
    <xf numFmtId="176" fontId="63" fillId="0" borderId="10" xfId="0" quotePrefix="1" applyNumberFormat="1" applyFont="1" applyBorder="1" applyAlignment="1">
      <alignment horizontal="center" vertical="center"/>
    </xf>
    <xf numFmtId="0" fontId="68" fillId="0" borderId="10" xfId="0" quotePrefix="1" applyFont="1" applyBorder="1" applyAlignment="1">
      <alignment horizontal="center"/>
    </xf>
    <xf numFmtId="178" fontId="63" fillId="0" borderId="11" xfId="2" applyNumberFormat="1" applyFont="1" applyBorder="1" applyAlignment="1"/>
    <xf numFmtId="176" fontId="63" fillId="0" borderId="0" xfId="0" applyNumberFormat="1" applyFont="1" applyAlignment="1"/>
    <xf numFmtId="178" fontId="63" fillId="4" borderId="11" xfId="2" applyNumberFormat="1" applyFont="1" applyFill="1" applyBorder="1" applyAlignment="1"/>
    <xf numFmtId="176" fontId="63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3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6" fontId="75" fillId="0" borderId="0" xfId="0" applyNumberFormat="1" applyFont="1" applyAlignment="1"/>
    <xf numFmtId="178" fontId="63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3" fillId="0" borderId="0" xfId="0" applyFont="1" applyAlignment="1"/>
    <xf numFmtId="0" fontId="68" fillId="0" borderId="10" xfId="0" applyFont="1" applyBorder="1" applyAlignment="1">
      <alignment horizontal="right"/>
    </xf>
    <xf numFmtId="0" fontId="75" fillId="0" borderId="10" xfId="0" applyFont="1" applyBorder="1" applyAlignment="1">
      <alignment horizontal="right"/>
    </xf>
    <xf numFmtId="0" fontId="68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176" fontId="78" fillId="0" borderId="10" xfId="4" applyNumberFormat="1" applyFont="1" applyBorder="1"/>
    <xf numFmtId="180" fontId="78" fillId="0" borderId="0" xfId="1" applyNumberFormat="1" applyFont="1" applyFill="1" applyAlignment="1"/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176" fontId="9" fillId="0" borderId="10" xfId="0" quotePrefix="1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0" borderId="0" xfId="0" applyFont="1" applyAlignment="1">
      <alignment horizontal="centerContinuous"/>
    </xf>
    <xf numFmtId="176" fontId="83" fillId="10" borderId="5" xfId="0" applyNumberFormat="1" applyFont="1" applyFill="1" applyBorder="1" applyAlignment="1"/>
    <xf numFmtId="176" fontId="72" fillId="0" borderId="3" xfId="0" applyNumberFormat="1" applyFont="1" applyBorder="1" applyAlignment="1">
      <alignment horizontal="center"/>
    </xf>
    <xf numFmtId="176" fontId="72" fillId="0" borderId="10" xfId="0" applyNumberFormat="1" applyFont="1" applyBorder="1" applyAlignment="1">
      <alignment horizontal="center"/>
    </xf>
    <xf numFmtId="178" fontId="13" fillId="10" borderId="5" xfId="2" applyNumberFormat="1" applyFont="1" applyFill="1" applyBorder="1" applyAlignment="1"/>
    <xf numFmtId="181" fontId="23" fillId="10" borderId="5" xfId="3" applyNumberFormat="1" applyFont="1" applyFill="1" applyBorder="1" applyAlignment="1"/>
    <xf numFmtId="178" fontId="7" fillId="10" borderId="5" xfId="2" applyNumberFormat="1" applyFont="1" applyFill="1" applyBorder="1" applyAlignment="1"/>
    <xf numFmtId="176" fontId="13" fillId="10" borderId="5" xfId="0" applyNumberFormat="1" applyFont="1" applyFill="1" applyBorder="1" applyAlignment="1"/>
    <xf numFmtId="181" fontId="7" fillId="10" borderId="5" xfId="3" applyNumberFormat="1" applyFont="1" applyFill="1" applyBorder="1" applyAlignment="1"/>
    <xf numFmtId="0" fontId="46" fillId="10" borderId="5" xfId="0" applyFont="1" applyFill="1" applyBorder="1" applyAlignment="1">
      <alignment horizontal="left"/>
    </xf>
    <xf numFmtId="178" fontId="7" fillId="11" borderId="5" xfId="2" applyNumberFormat="1" applyFont="1" applyFill="1" applyBorder="1" applyAlignment="1"/>
    <xf numFmtId="0" fontId="8" fillId="10" borderId="0" xfId="0" applyFont="1" applyFill="1" applyAlignment="1"/>
    <xf numFmtId="10" fontId="23" fillId="2" borderId="10" xfId="3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8" fillId="12" borderId="4" xfId="0" quotePrefix="1" applyFont="1" applyFill="1" applyBorder="1" applyAlignment="1">
      <alignment horizontal="center"/>
    </xf>
    <xf numFmtId="43" fontId="8" fillId="12" borderId="4" xfId="0" applyNumberFormat="1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176" fontId="8" fillId="12" borderId="9" xfId="0" applyNumberFormat="1" applyFont="1" applyFill="1" applyBorder="1" applyAlignment="1">
      <alignment horizontal="center"/>
    </xf>
    <xf numFmtId="176" fontId="8" fillId="12" borderId="9" xfId="0" quotePrefix="1" applyNumberFormat="1" applyFont="1" applyFill="1" applyBorder="1" applyAlignment="1">
      <alignment horizontal="center"/>
    </xf>
    <xf numFmtId="43" fontId="8" fillId="12" borderId="11" xfId="0" applyNumberFormat="1" applyFont="1" applyFill="1" applyBorder="1" applyAlignment="1">
      <alignment horizontal="center"/>
    </xf>
    <xf numFmtId="0" fontId="8" fillId="12" borderId="10" xfId="0" quotePrefix="1" applyFont="1" applyFill="1" applyBorder="1" applyAlignment="1">
      <alignment horizontal="center"/>
    </xf>
    <xf numFmtId="176" fontId="0" fillId="12" borderId="10" xfId="0" applyNumberFormat="1" applyFill="1" applyBorder="1" applyAlignment="1"/>
    <xf numFmtId="43" fontId="0" fillId="12" borderId="10" xfId="0" applyNumberForma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2023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12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0&#24180;5&#26376;&#27491;&#26412;&#32113;&#35336;(&#26377;&#20989;&#259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&#38646;&#20214;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Emily\&#21508;&#24180;&#32113;&#35336;\2018&#32113;&#35336;\BP107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12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12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\202312\12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同"/>
      <sheetName val="電"/>
      <sheetName val="折"/>
      <sheetName val="折同"/>
      <sheetName val="出同"/>
      <sheetName val="進同"/>
      <sheetName val="進"/>
      <sheetName val="出"/>
      <sheetName val="折出同"/>
    </sheetNames>
    <sheetDataSet>
      <sheetData sheetId="0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1553628157</v>
          </cell>
          <cell r="F2">
            <v>1213279475</v>
          </cell>
          <cell r="G2">
            <v>1036118</v>
          </cell>
          <cell r="H2">
            <v>686557</v>
          </cell>
        </row>
        <row r="3">
          <cell r="C3" t="str">
            <v>荷蘭</v>
          </cell>
          <cell r="D3" t="str">
            <v>Netherlands</v>
          </cell>
          <cell r="E3">
            <v>517626720</v>
          </cell>
          <cell r="F3">
            <v>408185223</v>
          </cell>
          <cell r="G3">
            <v>370455</v>
          </cell>
          <cell r="H3">
            <v>241871</v>
          </cell>
        </row>
        <row r="4">
          <cell r="C4" t="str">
            <v>美國</v>
          </cell>
          <cell r="D4" t="str">
            <v>United States</v>
          </cell>
          <cell r="E4">
            <v>451525736</v>
          </cell>
          <cell r="F4">
            <v>310934897</v>
          </cell>
          <cell r="G4">
            <v>248659</v>
          </cell>
          <cell r="H4">
            <v>142310</v>
          </cell>
        </row>
        <row r="5">
          <cell r="C5" t="str">
            <v>德國</v>
          </cell>
          <cell r="D5" t="str">
            <v>Germany</v>
          </cell>
          <cell r="E5">
            <v>95981948</v>
          </cell>
          <cell r="F5">
            <v>84863783</v>
          </cell>
          <cell r="G5">
            <v>109552</v>
          </cell>
          <cell r="H5">
            <v>71603</v>
          </cell>
        </row>
        <row r="6">
          <cell r="C6" t="str">
            <v>英國</v>
          </cell>
          <cell r="D6" t="str">
            <v>United Kingdom</v>
          </cell>
          <cell r="E6">
            <v>93775874</v>
          </cell>
          <cell r="F6">
            <v>67781573</v>
          </cell>
          <cell r="G6">
            <v>60330</v>
          </cell>
          <cell r="H6">
            <v>46445</v>
          </cell>
        </row>
        <row r="7">
          <cell r="C7" t="str">
            <v>希臘</v>
          </cell>
          <cell r="D7" t="str">
            <v>Greece</v>
          </cell>
          <cell r="E7">
            <v>2323630</v>
          </cell>
          <cell r="F7">
            <v>40089880</v>
          </cell>
          <cell r="G7">
            <v>1077</v>
          </cell>
          <cell r="H7">
            <v>16291</v>
          </cell>
        </row>
        <row r="8">
          <cell r="C8" t="str">
            <v>澳大利亞</v>
          </cell>
          <cell r="D8" t="str">
            <v>Australia</v>
          </cell>
          <cell r="E8">
            <v>48910853</v>
          </cell>
          <cell r="F8">
            <v>39907587</v>
          </cell>
          <cell r="G8">
            <v>23844</v>
          </cell>
          <cell r="H8">
            <v>17592</v>
          </cell>
        </row>
        <row r="9">
          <cell r="C9" t="str">
            <v>加拿大</v>
          </cell>
          <cell r="D9" t="str">
            <v>Canada</v>
          </cell>
          <cell r="E9">
            <v>38866643</v>
          </cell>
          <cell r="F9">
            <v>36230128</v>
          </cell>
          <cell r="G9">
            <v>18973</v>
          </cell>
          <cell r="H9">
            <v>16703</v>
          </cell>
        </row>
        <row r="10">
          <cell r="C10" t="str">
            <v>紐西蘭</v>
          </cell>
          <cell r="D10" t="str">
            <v>New Zealand</v>
          </cell>
          <cell r="E10">
            <v>33876263</v>
          </cell>
          <cell r="F10">
            <v>30805586</v>
          </cell>
          <cell r="G10">
            <v>15160</v>
          </cell>
          <cell r="H10">
            <v>13430</v>
          </cell>
        </row>
        <row r="11">
          <cell r="C11" t="str">
            <v>瑞士</v>
          </cell>
          <cell r="D11" t="str">
            <v>Switzerland</v>
          </cell>
          <cell r="E11">
            <v>18730054</v>
          </cell>
          <cell r="F11">
            <v>27760016</v>
          </cell>
          <cell r="G11">
            <v>9097</v>
          </cell>
          <cell r="H11">
            <v>14269</v>
          </cell>
        </row>
        <row r="12">
          <cell r="C12" t="str">
            <v>法國</v>
          </cell>
          <cell r="D12" t="str">
            <v>France</v>
          </cell>
          <cell r="E12">
            <v>42191431</v>
          </cell>
          <cell r="F12">
            <v>22991903</v>
          </cell>
          <cell r="G12">
            <v>38435</v>
          </cell>
          <cell r="H12">
            <v>17231</v>
          </cell>
        </row>
        <row r="13">
          <cell r="C13" t="str">
            <v>比利時</v>
          </cell>
          <cell r="D13" t="str">
            <v>Belgium</v>
          </cell>
          <cell r="E13">
            <v>9825272</v>
          </cell>
          <cell r="F13">
            <v>20951741</v>
          </cell>
          <cell r="G13">
            <v>5990</v>
          </cell>
          <cell r="H13">
            <v>10168</v>
          </cell>
        </row>
        <row r="14">
          <cell r="C14" t="str">
            <v>義大利</v>
          </cell>
          <cell r="D14" t="str">
            <v>Italy</v>
          </cell>
          <cell r="E14">
            <v>61872847</v>
          </cell>
          <cell r="F14">
            <v>19966107</v>
          </cell>
          <cell r="G14">
            <v>29842</v>
          </cell>
          <cell r="H14">
            <v>8944</v>
          </cell>
        </row>
        <row r="15">
          <cell r="C15" t="str">
            <v>西班牙</v>
          </cell>
          <cell r="D15" t="str">
            <v>Spain</v>
          </cell>
          <cell r="E15">
            <v>19686643</v>
          </cell>
          <cell r="F15">
            <v>15500765</v>
          </cell>
          <cell r="G15">
            <v>16033</v>
          </cell>
          <cell r="H15">
            <v>8437</v>
          </cell>
        </row>
        <row r="16">
          <cell r="C16" t="str">
            <v>日本</v>
          </cell>
          <cell r="D16" t="str">
            <v>Japan</v>
          </cell>
          <cell r="E16">
            <v>10395537</v>
          </cell>
          <cell r="F16">
            <v>11352156</v>
          </cell>
          <cell r="G16">
            <v>9700</v>
          </cell>
          <cell r="H16">
            <v>9870</v>
          </cell>
        </row>
        <row r="17">
          <cell r="C17" t="str">
            <v>丹麥</v>
          </cell>
          <cell r="D17" t="str">
            <v>Denmark</v>
          </cell>
          <cell r="E17">
            <v>18901681</v>
          </cell>
          <cell r="F17">
            <v>11088202</v>
          </cell>
          <cell r="G17">
            <v>14020</v>
          </cell>
          <cell r="H17">
            <v>7854</v>
          </cell>
        </row>
        <row r="18">
          <cell r="C18" t="str">
            <v>挪威</v>
          </cell>
          <cell r="D18" t="str">
            <v>Norway</v>
          </cell>
          <cell r="E18">
            <v>7800250</v>
          </cell>
          <cell r="F18">
            <v>9453783</v>
          </cell>
          <cell r="G18">
            <v>4556</v>
          </cell>
          <cell r="H18">
            <v>5825</v>
          </cell>
        </row>
        <row r="19">
          <cell r="C19" t="str">
            <v>南非</v>
          </cell>
          <cell r="D19" t="str">
            <v>South Africa</v>
          </cell>
          <cell r="E19">
            <v>9897631</v>
          </cell>
          <cell r="F19">
            <v>8297193</v>
          </cell>
          <cell r="G19">
            <v>3905</v>
          </cell>
          <cell r="H19">
            <v>3116</v>
          </cell>
        </row>
        <row r="20">
          <cell r="C20" t="str">
            <v>韓國</v>
          </cell>
          <cell r="D20" t="str">
            <v>Republic of Korea</v>
          </cell>
          <cell r="E20">
            <v>6653752</v>
          </cell>
          <cell r="F20">
            <v>6806812</v>
          </cell>
          <cell r="G20">
            <v>3356</v>
          </cell>
          <cell r="H20">
            <v>2994</v>
          </cell>
        </row>
        <row r="21">
          <cell r="C21" t="str">
            <v>奧地利</v>
          </cell>
          <cell r="D21" t="str">
            <v>Austria</v>
          </cell>
          <cell r="E21">
            <v>1836323</v>
          </cell>
          <cell r="F21">
            <v>6038533</v>
          </cell>
          <cell r="G21">
            <v>848</v>
          </cell>
          <cell r="H21">
            <v>2974</v>
          </cell>
        </row>
        <row r="22">
          <cell r="C22" t="str">
            <v>波蘭</v>
          </cell>
          <cell r="D22" t="str">
            <v>Poland</v>
          </cell>
          <cell r="E22">
            <v>5804013</v>
          </cell>
          <cell r="F22">
            <v>6029217</v>
          </cell>
          <cell r="G22">
            <v>4053</v>
          </cell>
          <cell r="H22">
            <v>3131</v>
          </cell>
        </row>
        <row r="23">
          <cell r="C23" t="str">
            <v>捷克</v>
          </cell>
          <cell r="D23" t="str">
            <v>Czech Republic</v>
          </cell>
          <cell r="E23">
            <v>7139231</v>
          </cell>
          <cell r="F23">
            <v>4915526</v>
          </cell>
          <cell r="G23">
            <v>18150</v>
          </cell>
          <cell r="H23">
            <v>8181</v>
          </cell>
        </row>
        <row r="24">
          <cell r="C24" t="str">
            <v>巴拿馬</v>
          </cell>
          <cell r="D24" t="str">
            <v>Panama</v>
          </cell>
          <cell r="E24">
            <v>7135401</v>
          </cell>
          <cell r="F24">
            <v>4072375</v>
          </cell>
          <cell r="G24">
            <v>2719</v>
          </cell>
          <cell r="H24">
            <v>1473</v>
          </cell>
        </row>
        <row r="25">
          <cell r="C25" t="str">
            <v>瑞典</v>
          </cell>
          <cell r="D25" t="str">
            <v>Sweden</v>
          </cell>
          <cell r="E25">
            <v>4687481</v>
          </cell>
          <cell r="F25">
            <v>3963953</v>
          </cell>
          <cell r="G25">
            <v>9310</v>
          </cell>
          <cell r="H25">
            <v>8826</v>
          </cell>
        </row>
        <row r="26">
          <cell r="C26" t="str">
            <v>智利</v>
          </cell>
          <cell r="D26" t="str">
            <v>Chile</v>
          </cell>
          <cell r="E26">
            <v>8379160</v>
          </cell>
          <cell r="F26">
            <v>2582185</v>
          </cell>
          <cell r="G26">
            <v>3284</v>
          </cell>
          <cell r="H26">
            <v>945</v>
          </cell>
        </row>
        <row r="27">
          <cell r="C27" t="str">
            <v>墨西哥</v>
          </cell>
          <cell r="D27" t="str">
            <v>Mexico</v>
          </cell>
          <cell r="E27">
            <v>8041026</v>
          </cell>
          <cell r="F27">
            <v>2354773</v>
          </cell>
          <cell r="G27">
            <v>3454</v>
          </cell>
          <cell r="H27">
            <v>1144</v>
          </cell>
        </row>
        <row r="28">
          <cell r="C28" t="str">
            <v>芬蘭</v>
          </cell>
          <cell r="D28" t="str">
            <v>Finland</v>
          </cell>
          <cell r="E28">
            <v>1585169</v>
          </cell>
          <cell r="F28">
            <v>1676070</v>
          </cell>
          <cell r="G28">
            <v>1891</v>
          </cell>
          <cell r="H28">
            <v>1345</v>
          </cell>
        </row>
        <row r="29">
          <cell r="C29" t="str">
            <v>巴西</v>
          </cell>
          <cell r="D29" t="str">
            <v>Brazil</v>
          </cell>
          <cell r="E29">
            <v>4654768</v>
          </cell>
          <cell r="F29">
            <v>1318412</v>
          </cell>
          <cell r="G29">
            <v>1858</v>
          </cell>
          <cell r="H29">
            <v>488</v>
          </cell>
        </row>
        <row r="30">
          <cell r="C30" t="str">
            <v>哥倫比亞</v>
          </cell>
          <cell r="D30" t="str">
            <v>Colombia</v>
          </cell>
          <cell r="E30">
            <v>3132632</v>
          </cell>
          <cell r="F30">
            <v>1029870</v>
          </cell>
          <cell r="G30">
            <v>1324</v>
          </cell>
          <cell r="H30">
            <v>439</v>
          </cell>
        </row>
        <row r="31">
          <cell r="C31" t="str">
            <v>馬來西亞</v>
          </cell>
          <cell r="D31" t="str">
            <v>Malaysia</v>
          </cell>
          <cell r="E31">
            <v>939028</v>
          </cell>
          <cell r="F31">
            <v>894337</v>
          </cell>
          <cell r="G31">
            <v>286</v>
          </cell>
          <cell r="H31">
            <v>273</v>
          </cell>
        </row>
        <row r="32">
          <cell r="C32" t="str">
            <v>新加坡</v>
          </cell>
          <cell r="D32" t="str">
            <v>Singapore</v>
          </cell>
          <cell r="E32">
            <v>772815</v>
          </cell>
          <cell r="F32">
            <v>756651</v>
          </cell>
          <cell r="G32">
            <v>224</v>
          </cell>
          <cell r="H32">
            <v>253</v>
          </cell>
        </row>
        <row r="33">
          <cell r="C33" t="str">
            <v>以色列</v>
          </cell>
          <cell r="D33" t="str">
            <v>Israel</v>
          </cell>
          <cell r="E33">
            <v>2065171</v>
          </cell>
          <cell r="F33">
            <v>711547</v>
          </cell>
          <cell r="G33">
            <v>709</v>
          </cell>
          <cell r="H33">
            <v>237</v>
          </cell>
        </row>
        <row r="34">
          <cell r="C34" t="str">
            <v>秘魯</v>
          </cell>
          <cell r="D34" t="str">
            <v>Peru</v>
          </cell>
          <cell r="E34">
            <v>875195</v>
          </cell>
          <cell r="F34">
            <v>479354</v>
          </cell>
          <cell r="G34">
            <v>315</v>
          </cell>
          <cell r="H34">
            <v>163</v>
          </cell>
        </row>
        <row r="35">
          <cell r="C35" t="str">
            <v>中國大陸</v>
          </cell>
          <cell r="D35" t="str">
            <v>China</v>
          </cell>
          <cell r="E35">
            <v>242715</v>
          </cell>
          <cell r="F35">
            <v>424751</v>
          </cell>
          <cell r="G35">
            <v>174</v>
          </cell>
          <cell r="H35">
            <v>261</v>
          </cell>
        </row>
        <row r="36">
          <cell r="C36" t="str">
            <v>匈牙利</v>
          </cell>
          <cell r="D36" t="str">
            <v>Hungary</v>
          </cell>
          <cell r="E36">
            <v>336084</v>
          </cell>
          <cell r="F36">
            <v>404514</v>
          </cell>
          <cell r="G36">
            <v>209</v>
          </cell>
          <cell r="H36">
            <v>236</v>
          </cell>
        </row>
        <row r="37">
          <cell r="C37" t="str">
            <v>阿拉伯聯合大公國</v>
          </cell>
          <cell r="D37" t="str">
            <v>United Arab Emirates</v>
          </cell>
          <cell r="E37">
            <v>98957</v>
          </cell>
          <cell r="F37">
            <v>367808</v>
          </cell>
          <cell r="G37">
            <v>45</v>
          </cell>
          <cell r="H37">
            <v>313</v>
          </cell>
        </row>
        <row r="38">
          <cell r="C38" t="str">
            <v>哥斯大黎加</v>
          </cell>
          <cell r="D38" t="str">
            <v>Costa Rica</v>
          </cell>
          <cell r="E38">
            <v>319657</v>
          </cell>
          <cell r="F38">
            <v>334010</v>
          </cell>
          <cell r="G38">
            <v>111</v>
          </cell>
          <cell r="H38">
            <v>122</v>
          </cell>
        </row>
        <row r="39">
          <cell r="C39" t="str">
            <v>多明尼加</v>
          </cell>
          <cell r="D39" t="str">
            <v>Dominican Republic</v>
          </cell>
          <cell r="E39">
            <v>257460</v>
          </cell>
          <cell r="F39">
            <v>265382</v>
          </cell>
          <cell r="G39">
            <v>113</v>
          </cell>
          <cell r="H39">
            <v>91</v>
          </cell>
        </row>
        <row r="40">
          <cell r="C40" t="str">
            <v>厄瓜多</v>
          </cell>
          <cell r="D40" t="str">
            <v>Ecuador</v>
          </cell>
          <cell r="E40">
            <v>688707</v>
          </cell>
          <cell r="F40">
            <v>233288</v>
          </cell>
          <cell r="G40">
            <v>229</v>
          </cell>
          <cell r="H40">
            <v>68</v>
          </cell>
        </row>
        <row r="41">
          <cell r="C41" t="str">
            <v>瓜地馬拉</v>
          </cell>
          <cell r="D41" t="str">
            <v>Guatemala</v>
          </cell>
          <cell r="E41">
            <v>366855</v>
          </cell>
          <cell r="F41">
            <v>187137</v>
          </cell>
          <cell r="G41">
            <v>131</v>
          </cell>
          <cell r="H41">
            <v>63</v>
          </cell>
        </row>
        <row r="42">
          <cell r="C42" t="str">
            <v>葡萄牙</v>
          </cell>
          <cell r="D42" t="str">
            <v>Portugal</v>
          </cell>
          <cell r="E42">
            <v>90734</v>
          </cell>
          <cell r="F42">
            <v>154665</v>
          </cell>
          <cell r="G42">
            <v>28</v>
          </cell>
          <cell r="H42">
            <v>94</v>
          </cell>
        </row>
        <row r="43">
          <cell r="C43" t="str">
            <v>俄羅斯</v>
          </cell>
          <cell r="D43" t="str">
            <v>Russian Federation</v>
          </cell>
          <cell r="E43">
            <v>0</v>
          </cell>
          <cell r="F43">
            <v>129938</v>
          </cell>
          <cell r="G43">
            <v>0</v>
          </cell>
          <cell r="H43">
            <v>88</v>
          </cell>
        </row>
        <row r="44">
          <cell r="C44" t="str">
            <v>香港</v>
          </cell>
          <cell r="D44" t="str">
            <v>Hong Kong</v>
          </cell>
          <cell r="E44">
            <v>734242</v>
          </cell>
          <cell r="F44">
            <v>115354</v>
          </cell>
          <cell r="G44">
            <v>487</v>
          </cell>
          <cell r="H44">
            <v>46</v>
          </cell>
        </row>
        <row r="45">
          <cell r="C45" t="str">
            <v>越南</v>
          </cell>
          <cell r="D45" t="str">
            <v>Viet Nam</v>
          </cell>
          <cell r="E45">
            <v>0</v>
          </cell>
          <cell r="F45">
            <v>104133</v>
          </cell>
          <cell r="G45">
            <v>0</v>
          </cell>
          <cell r="H45">
            <v>38</v>
          </cell>
        </row>
        <row r="46">
          <cell r="C46" t="str">
            <v>關島</v>
          </cell>
          <cell r="D46" t="str">
            <v>Guam</v>
          </cell>
          <cell r="E46">
            <v>50331</v>
          </cell>
          <cell r="F46">
            <v>98292</v>
          </cell>
          <cell r="G46">
            <v>13</v>
          </cell>
          <cell r="H46">
            <v>25</v>
          </cell>
        </row>
        <row r="47">
          <cell r="C47" t="str">
            <v>阿根廷</v>
          </cell>
          <cell r="D47" t="str">
            <v>Argentina</v>
          </cell>
          <cell r="E47">
            <v>584311</v>
          </cell>
          <cell r="F47">
            <v>89805</v>
          </cell>
          <cell r="G47">
            <v>244</v>
          </cell>
          <cell r="H47">
            <v>31</v>
          </cell>
        </row>
        <row r="48">
          <cell r="C48" t="str">
            <v>留尼旺</v>
          </cell>
          <cell r="D48" t="str">
            <v>Reunion</v>
          </cell>
          <cell r="E48">
            <v>498119</v>
          </cell>
          <cell r="F48">
            <v>84769</v>
          </cell>
          <cell r="G48">
            <v>213</v>
          </cell>
          <cell r="H48">
            <v>34</v>
          </cell>
        </row>
        <row r="49">
          <cell r="C49" t="str">
            <v>波多黎各</v>
          </cell>
          <cell r="D49" t="str">
            <v>Puerto Rico</v>
          </cell>
          <cell r="E49">
            <v>344840</v>
          </cell>
          <cell r="F49">
            <v>77654</v>
          </cell>
          <cell r="G49">
            <v>139</v>
          </cell>
          <cell r="H49">
            <v>30</v>
          </cell>
        </row>
        <row r="50">
          <cell r="C50" t="str">
            <v>委內瑞拉</v>
          </cell>
          <cell r="D50" t="str">
            <v>Venezuela</v>
          </cell>
          <cell r="E50">
            <v>104331</v>
          </cell>
          <cell r="F50">
            <v>71824</v>
          </cell>
          <cell r="G50">
            <v>40</v>
          </cell>
          <cell r="H50">
            <v>22</v>
          </cell>
        </row>
        <row r="51">
          <cell r="C51" t="str">
            <v>冰島</v>
          </cell>
          <cell r="D51" t="str">
            <v>Iceland</v>
          </cell>
          <cell r="E51">
            <v>31562</v>
          </cell>
          <cell r="F51">
            <v>68713</v>
          </cell>
          <cell r="G51">
            <v>15</v>
          </cell>
          <cell r="H51">
            <v>35</v>
          </cell>
        </row>
        <row r="52">
          <cell r="C52" t="str">
            <v>哈薩克</v>
          </cell>
          <cell r="D52" t="str">
            <v>Kazakhstan</v>
          </cell>
          <cell r="E52">
            <v>0</v>
          </cell>
          <cell r="F52">
            <v>55194</v>
          </cell>
          <cell r="G52">
            <v>0</v>
          </cell>
          <cell r="H52">
            <v>16</v>
          </cell>
        </row>
        <row r="53">
          <cell r="C53" t="str">
            <v>菲律賓</v>
          </cell>
          <cell r="D53" t="str">
            <v>Philippines</v>
          </cell>
          <cell r="E53">
            <v>635410</v>
          </cell>
          <cell r="F53">
            <v>48411</v>
          </cell>
          <cell r="G53">
            <v>239</v>
          </cell>
          <cell r="H53">
            <v>21</v>
          </cell>
        </row>
        <row r="54">
          <cell r="C54" t="str">
            <v>法屬玻里尼西亞</v>
          </cell>
          <cell r="D54" t="str">
            <v>French Polynesia</v>
          </cell>
          <cell r="E54">
            <v>0</v>
          </cell>
          <cell r="F54">
            <v>37032</v>
          </cell>
          <cell r="G54">
            <v>0</v>
          </cell>
          <cell r="H54">
            <v>12</v>
          </cell>
        </row>
        <row r="55">
          <cell r="C55" t="str">
            <v>薩爾瓦多</v>
          </cell>
          <cell r="D55" t="str">
            <v>El Salvador</v>
          </cell>
          <cell r="E55">
            <v>21786</v>
          </cell>
          <cell r="F55">
            <v>36694</v>
          </cell>
          <cell r="G55">
            <v>9</v>
          </cell>
          <cell r="H55">
            <v>11</v>
          </cell>
        </row>
        <row r="56">
          <cell r="C56" t="str">
            <v>烏拉圭</v>
          </cell>
          <cell r="D56" t="str">
            <v>Uruguay</v>
          </cell>
          <cell r="E56">
            <v>108297</v>
          </cell>
          <cell r="F56">
            <v>36514</v>
          </cell>
          <cell r="G56">
            <v>68</v>
          </cell>
          <cell r="H56">
            <v>18</v>
          </cell>
        </row>
        <row r="57">
          <cell r="C57" t="str">
            <v>斯洛維尼亞</v>
          </cell>
          <cell r="D57" t="str">
            <v>Slovenia</v>
          </cell>
          <cell r="E57">
            <v>1433816</v>
          </cell>
          <cell r="F57">
            <v>29418</v>
          </cell>
          <cell r="G57">
            <v>1658</v>
          </cell>
          <cell r="H57">
            <v>43</v>
          </cell>
        </row>
        <row r="58">
          <cell r="C58" t="str">
            <v>模里西斯</v>
          </cell>
          <cell r="D58" t="str">
            <v>Mauritius</v>
          </cell>
          <cell r="E58">
            <v>0</v>
          </cell>
          <cell r="F58">
            <v>28115</v>
          </cell>
          <cell r="G58">
            <v>0</v>
          </cell>
          <cell r="H58">
            <v>11</v>
          </cell>
        </row>
        <row r="59">
          <cell r="C59" t="str">
            <v>印尼</v>
          </cell>
          <cell r="D59" t="str">
            <v>Indonesia</v>
          </cell>
          <cell r="E59">
            <v>61716</v>
          </cell>
          <cell r="F59">
            <v>2332</v>
          </cell>
          <cell r="G59">
            <v>20</v>
          </cell>
          <cell r="H59">
            <v>1</v>
          </cell>
        </row>
        <row r="60">
          <cell r="C60" t="str">
            <v>泰國</v>
          </cell>
          <cell r="D60" t="str">
            <v>Thailand</v>
          </cell>
          <cell r="E60">
            <v>322908</v>
          </cell>
          <cell r="F60">
            <v>2320</v>
          </cell>
          <cell r="G60">
            <v>230</v>
          </cell>
          <cell r="H60">
            <v>1</v>
          </cell>
        </row>
        <row r="61">
          <cell r="C61" t="str">
            <v>黎巴嫩</v>
          </cell>
          <cell r="D61" t="str">
            <v>Lebanon</v>
          </cell>
          <cell r="E61">
            <v>276751</v>
          </cell>
          <cell r="F61">
            <v>1270</v>
          </cell>
          <cell r="G61">
            <v>235</v>
          </cell>
          <cell r="H61">
            <v>1</v>
          </cell>
        </row>
        <row r="62">
          <cell r="C62" t="str">
            <v>尼泊爾</v>
          </cell>
          <cell r="D62" t="str">
            <v>Nepal</v>
          </cell>
          <cell r="E62">
            <v>23917</v>
          </cell>
          <cell r="F62">
            <v>0</v>
          </cell>
          <cell r="G62">
            <v>10</v>
          </cell>
          <cell r="H62">
            <v>0</v>
          </cell>
        </row>
        <row r="63">
          <cell r="C63" t="str">
            <v>巴拉圭</v>
          </cell>
          <cell r="D63" t="str">
            <v>Paraguay</v>
          </cell>
          <cell r="E63">
            <v>24883</v>
          </cell>
          <cell r="F63">
            <v>0</v>
          </cell>
          <cell r="G63">
            <v>11</v>
          </cell>
          <cell r="H63">
            <v>0</v>
          </cell>
        </row>
        <row r="64">
          <cell r="C64" t="str">
            <v>印度</v>
          </cell>
          <cell r="D64" t="str">
            <v>India</v>
          </cell>
          <cell r="E64">
            <v>12202</v>
          </cell>
          <cell r="F64">
            <v>0</v>
          </cell>
          <cell r="G64">
            <v>4</v>
          </cell>
          <cell r="H64">
            <v>0</v>
          </cell>
        </row>
        <row r="65">
          <cell r="C65" t="str">
            <v>波士尼亞及赫塞哥維納</v>
          </cell>
          <cell r="D65" t="str">
            <v>Bosnia and Herzegovina</v>
          </cell>
          <cell r="E65">
            <v>22124</v>
          </cell>
          <cell r="F65">
            <v>0</v>
          </cell>
          <cell r="G65">
            <v>15</v>
          </cell>
          <cell r="H65">
            <v>0</v>
          </cell>
        </row>
        <row r="66">
          <cell r="C66" t="str">
            <v>汶萊</v>
          </cell>
          <cell r="D66" t="str">
            <v>Brunei Darussalam</v>
          </cell>
          <cell r="E66">
            <v>45264</v>
          </cell>
          <cell r="F66">
            <v>0</v>
          </cell>
          <cell r="G66">
            <v>19</v>
          </cell>
          <cell r="H66">
            <v>0</v>
          </cell>
        </row>
      </sheetData>
      <sheetData sheetId="1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78090935</v>
          </cell>
          <cell r="F2">
            <v>37597</v>
          </cell>
        </row>
        <row r="3">
          <cell r="C3" t="str">
            <v>美國</v>
          </cell>
          <cell r="D3" t="str">
            <v>United States</v>
          </cell>
          <cell r="E3">
            <v>23751126</v>
          </cell>
          <cell r="F3">
            <v>9957</v>
          </cell>
        </row>
        <row r="4">
          <cell r="C4" t="str">
            <v>荷蘭</v>
          </cell>
          <cell r="D4" t="str">
            <v>Netherlands</v>
          </cell>
          <cell r="E4">
            <v>23271542</v>
          </cell>
          <cell r="F4">
            <v>10950</v>
          </cell>
        </row>
        <row r="5">
          <cell r="C5" t="str">
            <v>德國</v>
          </cell>
          <cell r="D5" t="str">
            <v>Germany</v>
          </cell>
          <cell r="E5">
            <v>6256852</v>
          </cell>
          <cell r="F5">
            <v>3129</v>
          </cell>
        </row>
        <row r="6">
          <cell r="C6" t="str">
            <v>澳大利亞</v>
          </cell>
          <cell r="D6" t="str">
            <v>Australia</v>
          </cell>
          <cell r="E6">
            <v>4574212</v>
          </cell>
          <cell r="F6">
            <v>2132</v>
          </cell>
        </row>
        <row r="7">
          <cell r="C7" t="str">
            <v>紐西蘭</v>
          </cell>
          <cell r="D7" t="str">
            <v>New Zealand</v>
          </cell>
          <cell r="E7">
            <v>3383943</v>
          </cell>
          <cell r="F7">
            <v>1713</v>
          </cell>
        </row>
        <row r="8">
          <cell r="C8" t="str">
            <v>瑞士</v>
          </cell>
          <cell r="D8" t="str">
            <v>Switzerland</v>
          </cell>
          <cell r="E8">
            <v>2898569</v>
          </cell>
          <cell r="F8">
            <v>1425</v>
          </cell>
        </row>
        <row r="9">
          <cell r="C9" t="str">
            <v>英國</v>
          </cell>
          <cell r="D9" t="str">
            <v>United Kingdom</v>
          </cell>
          <cell r="E9">
            <v>2689922</v>
          </cell>
          <cell r="F9">
            <v>1743</v>
          </cell>
        </row>
        <row r="10">
          <cell r="C10" t="str">
            <v>加拿大</v>
          </cell>
          <cell r="D10" t="str">
            <v>Canada</v>
          </cell>
          <cell r="E10">
            <v>2506869</v>
          </cell>
          <cell r="F10">
            <v>1021</v>
          </cell>
        </row>
        <row r="11">
          <cell r="C11" t="str">
            <v>義大利</v>
          </cell>
          <cell r="D11" t="str">
            <v>Italy</v>
          </cell>
          <cell r="E11">
            <v>1565692</v>
          </cell>
          <cell r="F11">
            <v>772</v>
          </cell>
        </row>
        <row r="12">
          <cell r="C12" t="str">
            <v>日本</v>
          </cell>
          <cell r="D12" t="str">
            <v>Japan</v>
          </cell>
          <cell r="E12">
            <v>1207375</v>
          </cell>
          <cell r="F12">
            <v>1016</v>
          </cell>
        </row>
        <row r="13">
          <cell r="C13" t="str">
            <v>韓國</v>
          </cell>
          <cell r="D13" t="str">
            <v>Republic of Korea</v>
          </cell>
          <cell r="E13">
            <v>922893</v>
          </cell>
          <cell r="F13">
            <v>384</v>
          </cell>
        </row>
        <row r="14">
          <cell r="C14" t="str">
            <v>西班牙</v>
          </cell>
          <cell r="D14" t="str">
            <v>Spain</v>
          </cell>
          <cell r="E14">
            <v>853196</v>
          </cell>
          <cell r="F14">
            <v>430</v>
          </cell>
        </row>
        <row r="15">
          <cell r="C15" t="str">
            <v>巴拿馬</v>
          </cell>
          <cell r="D15" t="str">
            <v>Panama</v>
          </cell>
          <cell r="E15">
            <v>696089</v>
          </cell>
          <cell r="F15">
            <v>279</v>
          </cell>
        </row>
        <row r="16">
          <cell r="C16" t="str">
            <v>丹麥</v>
          </cell>
          <cell r="D16" t="str">
            <v>Denmark</v>
          </cell>
          <cell r="E16">
            <v>646455</v>
          </cell>
          <cell r="F16">
            <v>301</v>
          </cell>
        </row>
        <row r="17">
          <cell r="C17" t="str">
            <v>挪威</v>
          </cell>
          <cell r="D17" t="str">
            <v>Norway</v>
          </cell>
          <cell r="E17">
            <v>621559</v>
          </cell>
          <cell r="F17">
            <v>374</v>
          </cell>
        </row>
        <row r="18">
          <cell r="C18" t="str">
            <v>波蘭</v>
          </cell>
          <cell r="D18" t="str">
            <v>Poland</v>
          </cell>
          <cell r="E18">
            <v>413132</v>
          </cell>
          <cell r="F18">
            <v>231</v>
          </cell>
        </row>
        <row r="19">
          <cell r="C19" t="str">
            <v>法國</v>
          </cell>
          <cell r="D19" t="str">
            <v>France</v>
          </cell>
          <cell r="E19">
            <v>394658</v>
          </cell>
          <cell r="F19">
            <v>360</v>
          </cell>
        </row>
        <row r="20">
          <cell r="C20" t="str">
            <v>南非</v>
          </cell>
          <cell r="D20" t="str">
            <v>South Africa</v>
          </cell>
          <cell r="E20">
            <v>303020</v>
          </cell>
          <cell r="F20">
            <v>115</v>
          </cell>
        </row>
        <row r="21">
          <cell r="C21" t="str">
            <v>瑞典</v>
          </cell>
          <cell r="D21" t="str">
            <v>Sweden</v>
          </cell>
          <cell r="E21">
            <v>268426</v>
          </cell>
          <cell r="F21">
            <v>750</v>
          </cell>
        </row>
        <row r="22">
          <cell r="C22" t="str">
            <v>比利時</v>
          </cell>
          <cell r="D22" t="str">
            <v>Belgium</v>
          </cell>
          <cell r="E22">
            <v>197265</v>
          </cell>
          <cell r="F22">
            <v>88</v>
          </cell>
        </row>
        <row r="23">
          <cell r="C23" t="str">
            <v>捷克</v>
          </cell>
          <cell r="D23" t="str">
            <v>Czech Republic</v>
          </cell>
          <cell r="E23">
            <v>142512</v>
          </cell>
          <cell r="F23">
            <v>239</v>
          </cell>
        </row>
        <row r="24">
          <cell r="C24" t="str">
            <v>哥斯大黎加</v>
          </cell>
          <cell r="D24" t="str">
            <v>Costa Rica</v>
          </cell>
          <cell r="E24">
            <v>121431</v>
          </cell>
          <cell r="F24">
            <v>43</v>
          </cell>
        </row>
        <row r="25">
          <cell r="C25" t="str">
            <v>墨西哥</v>
          </cell>
          <cell r="D25" t="str">
            <v>Mexico</v>
          </cell>
          <cell r="E25">
            <v>101272</v>
          </cell>
          <cell r="F25">
            <v>28</v>
          </cell>
        </row>
        <row r="26">
          <cell r="C26" t="str">
            <v>新加坡</v>
          </cell>
          <cell r="D26" t="str">
            <v>Singapore</v>
          </cell>
          <cell r="E26">
            <v>76471</v>
          </cell>
          <cell r="F26">
            <v>33</v>
          </cell>
        </row>
        <row r="27">
          <cell r="C27" t="str">
            <v>留尼旺</v>
          </cell>
          <cell r="D27" t="str">
            <v>Reunion</v>
          </cell>
          <cell r="E27">
            <v>41717</v>
          </cell>
          <cell r="F27">
            <v>17</v>
          </cell>
        </row>
        <row r="28">
          <cell r="C28" t="str">
            <v>菲律賓</v>
          </cell>
          <cell r="D28" t="str">
            <v>Philippines</v>
          </cell>
          <cell r="E28">
            <v>38314</v>
          </cell>
          <cell r="F28">
            <v>17</v>
          </cell>
        </row>
        <row r="29">
          <cell r="C29" t="str">
            <v>厄瓜多</v>
          </cell>
          <cell r="D29" t="str">
            <v>Ecuador</v>
          </cell>
          <cell r="E29">
            <v>28394</v>
          </cell>
          <cell r="F29">
            <v>8</v>
          </cell>
        </row>
        <row r="30">
          <cell r="C30" t="str">
            <v>越南</v>
          </cell>
          <cell r="D30" t="str">
            <v>Viet Nam</v>
          </cell>
          <cell r="E30">
            <v>25405</v>
          </cell>
          <cell r="F30">
            <v>6</v>
          </cell>
        </row>
        <row r="31">
          <cell r="C31" t="str">
            <v>阿拉伯聯合大公國</v>
          </cell>
          <cell r="D31" t="str">
            <v>United Arab Emirates</v>
          </cell>
          <cell r="E31">
            <v>25215</v>
          </cell>
          <cell r="F31">
            <v>9</v>
          </cell>
        </row>
        <row r="32">
          <cell r="C32" t="str">
            <v>馬來西亞</v>
          </cell>
          <cell r="D32" t="str">
            <v>Malaysia</v>
          </cell>
          <cell r="E32">
            <v>19078</v>
          </cell>
          <cell r="F32">
            <v>8</v>
          </cell>
        </row>
        <row r="33">
          <cell r="C33" t="str">
            <v>委內瑞拉</v>
          </cell>
          <cell r="D33" t="str">
            <v>Venezuela</v>
          </cell>
          <cell r="E33">
            <v>18474</v>
          </cell>
          <cell r="F33">
            <v>6</v>
          </cell>
        </row>
        <row r="34">
          <cell r="C34" t="str">
            <v>巴西</v>
          </cell>
          <cell r="D34" t="str">
            <v>Brazil</v>
          </cell>
          <cell r="E34">
            <v>17870</v>
          </cell>
          <cell r="F34">
            <v>6</v>
          </cell>
        </row>
        <row r="35">
          <cell r="C35" t="str">
            <v>奧地利</v>
          </cell>
          <cell r="D35" t="str">
            <v>Austria</v>
          </cell>
          <cell r="E35">
            <v>10620</v>
          </cell>
          <cell r="F35">
            <v>4</v>
          </cell>
        </row>
        <row r="36">
          <cell r="C36" t="str">
            <v>芬蘭</v>
          </cell>
          <cell r="D36" t="str">
            <v>Finland</v>
          </cell>
          <cell r="E36">
            <v>890</v>
          </cell>
          <cell r="F36">
            <v>2</v>
          </cell>
        </row>
        <row r="37">
          <cell r="C37" t="str">
            <v>葡萄牙</v>
          </cell>
          <cell r="D37" t="str">
            <v>Portugal</v>
          </cell>
          <cell r="E37">
            <v>477</v>
          </cell>
          <cell r="F37">
            <v>1</v>
          </cell>
        </row>
      </sheetData>
      <sheetData sheetId="2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283211</v>
          </cell>
          <cell r="F2">
            <v>1123</v>
          </cell>
        </row>
        <row r="3">
          <cell r="B3" t="str">
            <v>NL</v>
          </cell>
          <cell r="C3" t="str">
            <v>荷蘭</v>
          </cell>
          <cell r="D3" t="str">
            <v>Netherlands</v>
          </cell>
          <cell r="E3">
            <v>242671</v>
          </cell>
          <cell r="F3">
            <v>1043</v>
          </cell>
        </row>
        <row r="4">
          <cell r="B4" t="str">
            <v>JP</v>
          </cell>
          <cell r="C4" t="str">
            <v>日本</v>
          </cell>
          <cell r="D4" t="str">
            <v>Japan</v>
          </cell>
          <cell r="E4">
            <v>33863</v>
          </cell>
          <cell r="F4">
            <v>76</v>
          </cell>
        </row>
        <row r="5">
          <cell r="B5" t="str">
            <v>HK</v>
          </cell>
          <cell r="C5" t="str">
            <v>香港</v>
          </cell>
          <cell r="D5" t="str">
            <v>Hong Kong</v>
          </cell>
          <cell r="E5">
            <v>4515</v>
          </cell>
          <cell r="F5">
            <v>3</v>
          </cell>
        </row>
        <row r="6">
          <cell r="B6" t="str">
            <v>US</v>
          </cell>
          <cell r="C6" t="str">
            <v>美國</v>
          </cell>
          <cell r="D6" t="str">
            <v>United States</v>
          </cell>
          <cell r="E6">
            <v>2162</v>
          </cell>
          <cell r="F6">
            <v>1</v>
          </cell>
        </row>
      </sheetData>
      <sheetData sheetId="3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10375182</v>
          </cell>
          <cell r="F2">
            <v>6891987</v>
          </cell>
          <cell r="G2">
            <v>15161</v>
          </cell>
          <cell r="H2">
            <v>10572</v>
          </cell>
        </row>
        <row r="3">
          <cell r="C3" t="str">
            <v>中國大陸</v>
          </cell>
          <cell r="D3" t="str">
            <v>China</v>
          </cell>
          <cell r="E3">
            <v>2540495</v>
          </cell>
          <cell r="F3">
            <v>2056250</v>
          </cell>
          <cell r="G3">
            <v>2628</v>
          </cell>
          <cell r="H3">
            <v>3196</v>
          </cell>
        </row>
        <row r="4">
          <cell r="C4" t="str">
            <v>韓國</v>
          </cell>
          <cell r="D4" t="str">
            <v>Republic of Korea</v>
          </cell>
          <cell r="E4">
            <v>2978947</v>
          </cell>
          <cell r="F4">
            <v>1773882</v>
          </cell>
          <cell r="G4">
            <v>3204</v>
          </cell>
          <cell r="H4">
            <v>2095</v>
          </cell>
        </row>
        <row r="5">
          <cell r="C5" t="str">
            <v>日本</v>
          </cell>
          <cell r="D5" t="str">
            <v>Japan</v>
          </cell>
          <cell r="E5">
            <v>1446862</v>
          </cell>
          <cell r="F5">
            <v>1007760</v>
          </cell>
          <cell r="G5">
            <v>2246</v>
          </cell>
          <cell r="H5">
            <v>1308</v>
          </cell>
        </row>
        <row r="6">
          <cell r="C6" t="str">
            <v>奧地利</v>
          </cell>
          <cell r="D6" t="str">
            <v>Austria</v>
          </cell>
          <cell r="E6">
            <v>892558</v>
          </cell>
          <cell r="F6">
            <v>884253</v>
          </cell>
          <cell r="G6">
            <v>1380</v>
          </cell>
          <cell r="H6">
            <v>1500</v>
          </cell>
        </row>
        <row r="7">
          <cell r="C7" t="str">
            <v>俄羅斯</v>
          </cell>
          <cell r="D7" t="str">
            <v>Russian Federation</v>
          </cell>
          <cell r="E7">
            <v>139662</v>
          </cell>
          <cell r="F7">
            <v>366327</v>
          </cell>
          <cell r="G7">
            <v>440</v>
          </cell>
          <cell r="H7">
            <v>820</v>
          </cell>
        </row>
        <row r="8">
          <cell r="C8" t="str">
            <v>香港</v>
          </cell>
          <cell r="D8" t="str">
            <v>Hong Kong</v>
          </cell>
          <cell r="E8">
            <v>641304</v>
          </cell>
          <cell r="F8">
            <v>341709</v>
          </cell>
          <cell r="G8">
            <v>657</v>
          </cell>
          <cell r="H8">
            <v>343</v>
          </cell>
        </row>
        <row r="9">
          <cell r="C9" t="str">
            <v>荷蘭</v>
          </cell>
          <cell r="D9" t="str">
            <v>Netherlands</v>
          </cell>
          <cell r="E9">
            <v>157685</v>
          </cell>
          <cell r="F9">
            <v>257050</v>
          </cell>
          <cell r="G9">
            <v>435</v>
          </cell>
          <cell r="H9">
            <v>1076</v>
          </cell>
        </row>
        <row r="10">
          <cell r="C10" t="str">
            <v>義大利</v>
          </cell>
          <cell r="D10" t="str">
            <v>Italy</v>
          </cell>
          <cell r="E10">
            <v>0</v>
          </cell>
          <cell r="F10">
            <v>115083</v>
          </cell>
          <cell r="G10">
            <v>0</v>
          </cell>
          <cell r="H10">
            <v>113</v>
          </cell>
        </row>
        <row r="11">
          <cell r="C11" t="str">
            <v>西班牙</v>
          </cell>
          <cell r="D11" t="str">
            <v>Spain</v>
          </cell>
          <cell r="E11">
            <v>0</v>
          </cell>
          <cell r="F11">
            <v>40131</v>
          </cell>
          <cell r="G11">
            <v>0</v>
          </cell>
          <cell r="H11">
            <v>48</v>
          </cell>
        </row>
        <row r="12">
          <cell r="C12" t="str">
            <v>澳大利亞</v>
          </cell>
          <cell r="D12" t="str">
            <v>Australia</v>
          </cell>
          <cell r="E12">
            <v>43493</v>
          </cell>
          <cell r="F12">
            <v>29985</v>
          </cell>
          <cell r="G12">
            <v>44</v>
          </cell>
          <cell r="H12">
            <v>43</v>
          </cell>
        </row>
        <row r="13">
          <cell r="C13" t="str">
            <v>美國</v>
          </cell>
          <cell r="D13" t="str">
            <v>United States</v>
          </cell>
          <cell r="E13">
            <v>455424</v>
          </cell>
          <cell r="F13">
            <v>14919</v>
          </cell>
          <cell r="G13">
            <v>403</v>
          </cell>
          <cell r="H13">
            <v>15</v>
          </cell>
        </row>
        <row r="14">
          <cell r="C14" t="str">
            <v>菲律賓</v>
          </cell>
          <cell r="D14" t="str">
            <v>Philippines</v>
          </cell>
          <cell r="E14">
            <v>8891</v>
          </cell>
          <cell r="F14">
            <v>2204</v>
          </cell>
          <cell r="G14">
            <v>56</v>
          </cell>
          <cell r="H14">
            <v>8</v>
          </cell>
        </row>
        <row r="15">
          <cell r="C15" t="str">
            <v>新加坡</v>
          </cell>
          <cell r="D15" t="str">
            <v>Singapore</v>
          </cell>
          <cell r="E15">
            <v>244636</v>
          </cell>
          <cell r="F15">
            <v>1582</v>
          </cell>
          <cell r="G15">
            <v>353</v>
          </cell>
          <cell r="H15">
            <v>1</v>
          </cell>
        </row>
        <row r="16">
          <cell r="C16" t="str">
            <v>加拿大</v>
          </cell>
          <cell r="D16" t="str">
            <v>Canada</v>
          </cell>
          <cell r="E16">
            <v>10164</v>
          </cell>
          <cell r="F16">
            <v>591</v>
          </cell>
          <cell r="G16">
            <v>22</v>
          </cell>
          <cell r="H16">
            <v>1</v>
          </cell>
        </row>
        <row r="17">
          <cell r="C17" t="str">
            <v>泰國</v>
          </cell>
          <cell r="D17" t="str">
            <v>Thailand</v>
          </cell>
          <cell r="E17">
            <v>3622</v>
          </cell>
          <cell r="F17">
            <v>261</v>
          </cell>
          <cell r="G17">
            <v>9</v>
          </cell>
          <cell r="H17">
            <v>5</v>
          </cell>
        </row>
        <row r="18">
          <cell r="C18" t="str">
            <v>馬來西亞</v>
          </cell>
          <cell r="D18" t="str">
            <v>Malaysia</v>
          </cell>
          <cell r="E18">
            <v>99783</v>
          </cell>
          <cell r="F18">
            <v>0</v>
          </cell>
          <cell r="G18">
            <v>78</v>
          </cell>
          <cell r="H18">
            <v>0</v>
          </cell>
        </row>
        <row r="19">
          <cell r="C19" t="str">
            <v>捷克</v>
          </cell>
          <cell r="D19" t="str">
            <v>Czech Republic</v>
          </cell>
          <cell r="E19">
            <v>227800</v>
          </cell>
          <cell r="F19">
            <v>0</v>
          </cell>
          <cell r="G19">
            <v>1150</v>
          </cell>
          <cell r="H19">
            <v>0</v>
          </cell>
        </row>
        <row r="20">
          <cell r="C20" t="str">
            <v>德國</v>
          </cell>
          <cell r="D20" t="str">
            <v>Germany</v>
          </cell>
          <cell r="E20">
            <v>180089</v>
          </cell>
          <cell r="F20">
            <v>0</v>
          </cell>
          <cell r="G20">
            <v>703</v>
          </cell>
          <cell r="H20">
            <v>0</v>
          </cell>
        </row>
        <row r="21">
          <cell r="C21" t="str">
            <v>英國</v>
          </cell>
          <cell r="D21" t="str">
            <v>United Kingdom</v>
          </cell>
          <cell r="E21">
            <v>302135</v>
          </cell>
          <cell r="F21">
            <v>0</v>
          </cell>
          <cell r="G21">
            <v>1352</v>
          </cell>
          <cell r="H21">
            <v>0</v>
          </cell>
        </row>
        <row r="22">
          <cell r="C22" t="str">
            <v>印度</v>
          </cell>
          <cell r="D22" t="str">
            <v>India</v>
          </cell>
          <cell r="E22">
            <v>1632</v>
          </cell>
          <cell r="F22">
            <v>0</v>
          </cell>
          <cell r="G22">
            <v>1</v>
          </cell>
          <cell r="H22">
            <v>0</v>
          </cell>
        </row>
      </sheetData>
      <sheetData sheetId="4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1617656445</v>
          </cell>
          <cell r="F2">
            <v>1383735614</v>
          </cell>
          <cell r="G2">
            <v>1952601</v>
          </cell>
          <cell r="H2">
            <v>1323882</v>
          </cell>
        </row>
        <row r="3">
          <cell r="C3" t="str">
            <v>美國</v>
          </cell>
          <cell r="D3" t="str">
            <v>United States</v>
          </cell>
          <cell r="E3">
            <v>675317309</v>
          </cell>
          <cell r="F3">
            <v>455285868</v>
          </cell>
          <cell r="G3">
            <v>806551</v>
          </cell>
          <cell r="H3">
            <v>440058</v>
          </cell>
        </row>
        <row r="4">
          <cell r="C4" t="str">
            <v>荷蘭</v>
          </cell>
          <cell r="D4" t="str">
            <v>Netherlands</v>
          </cell>
          <cell r="E4">
            <v>159352924</v>
          </cell>
          <cell r="F4">
            <v>173586595</v>
          </cell>
          <cell r="G4">
            <v>152387</v>
          </cell>
          <cell r="H4">
            <v>124269</v>
          </cell>
        </row>
        <row r="5">
          <cell r="C5" t="str">
            <v>中國大陸</v>
          </cell>
          <cell r="D5" t="str">
            <v>China</v>
          </cell>
          <cell r="E5">
            <v>54259099</v>
          </cell>
          <cell r="F5">
            <v>130663744</v>
          </cell>
          <cell r="G5">
            <v>55760</v>
          </cell>
          <cell r="H5">
            <v>121488</v>
          </cell>
        </row>
        <row r="6">
          <cell r="C6" t="str">
            <v>英國</v>
          </cell>
          <cell r="D6" t="str">
            <v>United Kingdom</v>
          </cell>
          <cell r="E6">
            <v>89543824</v>
          </cell>
          <cell r="F6">
            <v>71878744</v>
          </cell>
          <cell r="G6">
            <v>133507</v>
          </cell>
          <cell r="H6">
            <v>77343</v>
          </cell>
        </row>
        <row r="7">
          <cell r="C7" t="str">
            <v>澳大利亞</v>
          </cell>
          <cell r="D7" t="str">
            <v>Australia</v>
          </cell>
          <cell r="E7">
            <v>90208649</v>
          </cell>
          <cell r="F7">
            <v>68257851</v>
          </cell>
          <cell r="G7">
            <v>89021</v>
          </cell>
          <cell r="H7">
            <v>51510</v>
          </cell>
        </row>
        <row r="8">
          <cell r="C8" t="str">
            <v>德國</v>
          </cell>
          <cell r="D8" t="str">
            <v>Germany</v>
          </cell>
          <cell r="E8">
            <v>36223487</v>
          </cell>
          <cell r="F8">
            <v>54841286</v>
          </cell>
          <cell r="G8">
            <v>91079</v>
          </cell>
          <cell r="H8">
            <v>87122</v>
          </cell>
        </row>
        <row r="9">
          <cell r="C9" t="str">
            <v>加拿大</v>
          </cell>
          <cell r="D9" t="str">
            <v>Canada</v>
          </cell>
          <cell r="E9">
            <v>58882892</v>
          </cell>
          <cell r="F9">
            <v>51109110</v>
          </cell>
          <cell r="G9">
            <v>51203</v>
          </cell>
          <cell r="H9">
            <v>38569</v>
          </cell>
        </row>
        <row r="10">
          <cell r="C10" t="str">
            <v>日本</v>
          </cell>
          <cell r="D10" t="str">
            <v>Japan</v>
          </cell>
          <cell r="E10">
            <v>43989092</v>
          </cell>
          <cell r="F10">
            <v>51018724</v>
          </cell>
          <cell r="G10">
            <v>64130</v>
          </cell>
          <cell r="H10">
            <v>62787</v>
          </cell>
        </row>
        <row r="11">
          <cell r="C11" t="str">
            <v>比利時</v>
          </cell>
          <cell r="D11" t="str">
            <v>Belgium</v>
          </cell>
          <cell r="E11">
            <v>46960849</v>
          </cell>
          <cell r="F11">
            <v>45610147</v>
          </cell>
          <cell r="G11">
            <v>61038</v>
          </cell>
          <cell r="H11">
            <v>33729</v>
          </cell>
        </row>
        <row r="12">
          <cell r="C12" t="str">
            <v>韓國</v>
          </cell>
          <cell r="D12" t="str">
            <v>Republic of Korea</v>
          </cell>
          <cell r="E12">
            <v>47798879</v>
          </cell>
          <cell r="F12">
            <v>37591811</v>
          </cell>
          <cell r="G12">
            <v>36785</v>
          </cell>
          <cell r="H12">
            <v>26719</v>
          </cell>
        </row>
        <row r="13">
          <cell r="C13" t="str">
            <v>法國</v>
          </cell>
          <cell r="D13" t="str">
            <v>France</v>
          </cell>
          <cell r="E13">
            <v>33326048</v>
          </cell>
          <cell r="F13">
            <v>34481079</v>
          </cell>
          <cell r="G13">
            <v>39053</v>
          </cell>
          <cell r="H13">
            <v>38090</v>
          </cell>
        </row>
        <row r="14">
          <cell r="C14" t="str">
            <v>義大利</v>
          </cell>
          <cell r="D14" t="str">
            <v>Italy</v>
          </cell>
          <cell r="E14">
            <v>25039867</v>
          </cell>
          <cell r="F14">
            <v>19759127</v>
          </cell>
          <cell r="G14">
            <v>22054</v>
          </cell>
          <cell r="H14">
            <v>13559</v>
          </cell>
        </row>
        <row r="15">
          <cell r="C15" t="str">
            <v>瑞士</v>
          </cell>
          <cell r="D15" t="str">
            <v>Switzerland</v>
          </cell>
          <cell r="E15">
            <v>33262524</v>
          </cell>
          <cell r="F15">
            <v>18891460</v>
          </cell>
          <cell r="G15">
            <v>22457</v>
          </cell>
          <cell r="H15">
            <v>14267</v>
          </cell>
        </row>
        <row r="16">
          <cell r="C16" t="str">
            <v>西班牙</v>
          </cell>
          <cell r="D16" t="str">
            <v>Spain</v>
          </cell>
          <cell r="E16">
            <v>7137141</v>
          </cell>
          <cell r="F16">
            <v>15120815</v>
          </cell>
          <cell r="G16">
            <v>13917</v>
          </cell>
          <cell r="H16">
            <v>12436</v>
          </cell>
        </row>
        <row r="17">
          <cell r="C17" t="str">
            <v>紐西蘭</v>
          </cell>
          <cell r="D17" t="str">
            <v>New Zealand</v>
          </cell>
          <cell r="E17">
            <v>24207487</v>
          </cell>
          <cell r="F17">
            <v>13372947</v>
          </cell>
          <cell r="G17">
            <v>20927</v>
          </cell>
          <cell r="H17">
            <v>10100</v>
          </cell>
        </row>
        <row r="18">
          <cell r="C18" t="str">
            <v>墨西哥</v>
          </cell>
          <cell r="D18" t="str">
            <v>Mexico</v>
          </cell>
          <cell r="E18">
            <v>16856989</v>
          </cell>
          <cell r="F18">
            <v>12453049</v>
          </cell>
          <cell r="G18">
            <v>21438</v>
          </cell>
          <cell r="H18">
            <v>9076</v>
          </cell>
        </row>
        <row r="19">
          <cell r="C19" t="str">
            <v>挪威</v>
          </cell>
          <cell r="D19" t="str">
            <v>Norway</v>
          </cell>
          <cell r="E19">
            <v>9735627</v>
          </cell>
          <cell r="F19">
            <v>12014054</v>
          </cell>
          <cell r="G19">
            <v>20946</v>
          </cell>
          <cell r="H19">
            <v>24354</v>
          </cell>
        </row>
        <row r="20">
          <cell r="C20" t="str">
            <v>巴拿馬</v>
          </cell>
          <cell r="D20" t="str">
            <v>Panama</v>
          </cell>
          <cell r="E20">
            <v>8890736</v>
          </cell>
          <cell r="F20">
            <v>10687012</v>
          </cell>
          <cell r="G20">
            <v>5012</v>
          </cell>
          <cell r="H20">
            <v>4690</v>
          </cell>
        </row>
        <row r="21">
          <cell r="C21" t="str">
            <v>南非</v>
          </cell>
          <cell r="D21" t="str">
            <v>South Africa</v>
          </cell>
          <cell r="E21">
            <v>11454807</v>
          </cell>
          <cell r="F21">
            <v>10148759</v>
          </cell>
          <cell r="G21">
            <v>7098</v>
          </cell>
          <cell r="H21">
            <v>4814</v>
          </cell>
        </row>
        <row r="22">
          <cell r="C22" t="str">
            <v>波蘭</v>
          </cell>
          <cell r="D22" t="str">
            <v>Poland</v>
          </cell>
          <cell r="E22">
            <v>11028433</v>
          </cell>
          <cell r="F22">
            <v>8470846</v>
          </cell>
          <cell r="G22">
            <v>32139</v>
          </cell>
          <cell r="H22">
            <v>13748</v>
          </cell>
        </row>
        <row r="23">
          <cell r="C23" t="str">
            <v>新加坡</v>
          </cell>
          <cell r="D23" t="str">
            <v>Singapore</v>
          </cell>
          <cell r="E23">
            <v>10914226</v>
          </cell>
          <cell r="F23">
            <v>7104930</v>
          </cell>
          <cell r="G23">
            <v>8309</v>
          </cell>
          <cell r="H23">
            <v>4171</v>
          </cell>
        </row>
        <row r="24">
          <cell r="C24" t="str">
            <v>哥倫比亞</v>
          </cell>
          <cell r="D24" t="str">
            <v>Colombia</v>
          </cell>
          <cell r="E24">
            <v>13662697</v>
          </cell>
          <cell r="F24">
            <v>6321884</v>
          </cell>
          <cell r="G24">
            <v>9240</v>
          </cell>
          <cell r="H24">
            <v>3898</v>
          </cell>
        </row>
        <row r="25">
          <cell r="C25" t="str">
            <v>巴西</v>
          </cell>
          <cell r="D25" t="str">
            <v>Brazil</v>
          </cell>
          <cell r="E25">
            <v>6791658</v>
          </cell>
          <cell r="F25">
            <v>5723041</v>
          </cell>
          <cell r="G25">
            <v>4753</v>
          </cell>
          <cell r="H25">
            <v>3747</v>
          </cell>
        </row>
        <row r="26">
          <cell r="C26" t="str">
            <v>香港</v>
          </cell>
          <cell r="D26" t="str">
            <v>Hong Kong</v>
          </cell>
          <cell r="E26">
            <v>7210835</v>
          </cell>
          <cell r="F26">
            <v>5679095</v>
          </cell>
          <cell r="G26">
            <v>8161</v>
          </cell>
          <cell r="H26">
            <v>5315</v>
          </cell>
        </row>
        <row r="27">
          <cell r="C27" t="str">
            <v>丹麥</v>
          </cell>
          <cell r="D27" t="str">
            <v>Denmark</v>
          </cell>
          <cell r="E27">
            <v>8474042</v>
          </cell>
          <cell r="F27">
            <v>5504533</v>
          </cell>
          <cell r="G27">
            <v>28650</v>
          </cell>
          <cell r="H27">
            <v>17981</v>
          </cell>
        </row>
        <row r="28">
          <cell r="C28" t="str">
            <v>馬來西亞</v>
          </cell>
          <cell r="D28" t="str">
            <v>Malaysia</v>
          </cell>
          <cell r="E28">
            <v>7812749</v>
          </cell>
          <cell r="F28">
            <v>5261957</v>
          </cell>
          <cell r="G28">
            <v>4998</v>
          </cell>
          <cell r="H28">
            <v>2792</v>
          </cell>
        </row>
        <row r="29">
          <cell r="C29" t="str">
            <v>瑞典</v>
          </cell>
          <cell r="D29" t="str">
            <v>Sweden</v>
          </cell>
          <cell r="E29">
            <v>8368193</v>
          </cell>
          <cell r="F29">
            <v>4910709</v>
          </cell>
          <cell r="G29">
            <v>36771</v>
          </cell>
          <cell r="H29">
            <v>22195</v>
          </cell>
        </row>
        <row r="30">
          <cell r="C30" t="str">
            <v>以色列</v>
          </cell>
          <cell r="D30" t="str">
            <v>Israel</v>
          </cell>
          <cell r="E30">
            <v>6570930</v>
          </cell>
          <cell r="F30">
            <v>4776747</v>
          </cell>
          <cell r="G30">
            <v>5646</v>
          </cell>
          <cell r="H30">
            <v>3833</v>
          </cell>
        </row>
        <row r="31">
          <cell r="C31" t="str">
            <v>智利</v>
          </cell>
          <cell r="D31" t="str">
            <v>Chile</v>
          </cell>
          <cell r="E31">
            <v>11084608</v>
          </cell>
          <cell r="F31">
            <v>4731061</v>
          </cell>
          <cell r="G31">
            <v>11269</v>
          </cell>
          <cell r="H31">
            <v>3026</v>
          </cell>
        </row>
        <row r="32">
          <cell r="C32" t="str">
            <v>捷克</v>
          </cell>
          <cell r="D32" t="str">
            <v>Czech Republic</v>
          </cell>
          <cell r="E32">
            <v>5834718</v>
          </cell>
          <cell r="F32">
            <v>4249823</v>
          </cell>
          <cell r="G32">
            <v>19990</v>
          </cell>
          <cell r="H32">
            <v>8944</v>
          </cell>
        </row>
        <row r="33">
          <cell r="C33" t="str">
            <v>阿拉伯聯合大公國</v>
          </cell>
          <cell r="D33" t="str">
            <v>United Arab Emirates</v>
          </cell>
          <cell r="E33">
            <v>3797320</v>
          </cell>
          <cell r="F33">
            <v>3404206</v>
          </cell>
          <cell r="G33">
            <v>3287</v>
          </cell>
          <cell r="H33">
            <v>3112</v>
          </cell>
        </row>
        <row r="34">
          <cell r="C34" t="str">
            <v>菲律賓</v>
          </cell>
          <cell r="D34" t="str">
            <v>Philippines</v>
          </cell>
          <cell r="E34">
            <v>3871783</v>
          </cell>
          <cell r="F34">
            <v>2837449</v>
          </cell>
          <cell r="G34">
            <v>4638</v>
          </cell>
          <cell r="H34">
            <v>3602</v>
          </cell>
        </row>
        <row r="35">
          <cell r="C35" t="str">
            <v>泰國</v>
          </cell>
          <cell r="D35" t="str">
            <v>Thailand</v>
          </cell>
          <cell r="E35">
            <v>5979691</v>
          </cell>
          <cell r="F35">
            <v>2651943</v>
          </cell>
          <cell r="G35">
            <v>4724</v>
          </cell>
          <cell r="H35">
            <v>2204</v>
          </cell>
        </row>
        <row r="36">
          <cell r="C36" t="str">
            <v>俄羅斯</v>
          </cell>
          <cell r="D36" t="str">
            <v>Russian Federation</v>
          </cell>
          <cell r="E36">
            <v>2157412</v>
          </cell>
          <cell r="F36">
            <v>2444902</v>
          </cell>
          <cell r="G36">
            <v>5904</v>
          </cell>
          <cell r="H36">
            <v>4880</v>
          </cell>
        </row>
        <row r="37">
          <cell r="C37" t="str">
            <v>哥斯大黎加</v>
          </cell>
          <cell r="D37" t="str">
            <v>Costa Rica</v>
          </cell>
          <cell r="E37">
            <v>3731306</v>
          </cell>
          <cell r="F37">
            <v>2185786</v>
          </cell>
          <cell r="G37">
            <v>2762</v>
          </cell>
          <cell r="H37">
            <v>1722</v>
          </cell>
        </row>
        <row r="38">
          <cell r="C38" t="str">
            <v>印度</v>
          </cell>
          <cell r="D38" t="str">
            <v>India</v>
          </cell>
          <cell r="E38">
            <v>1750604</v>
          </cell>
          <cell r="F38">
            <v>1800871</v>
          </cell>
          <cell r="G38">
            <v>2180</v>
          </cell>
          <cell r="H38">
            <v>2123</v>
          </cell>
        </row>
        <row r="39">
          <cell r="C39" t="str">
            <v>斯洛維尼亞</v>
          </cell>
          <cell r="D39" t="str">
            <v>Slovenia</v>
          </cell>
          <cell r="E39">
            <v>828039</v>
          </cell>
          <cell r="F39">
            <v>1583777</v>
          </cell>
          <cell r="G39">
            <v>2662</v>
          </cell>
          <cell r="H39">
            <v>1471</v>
          </cell>
        </row>
        <row r="40">
          <cell r="C40" t="str">
            <v>秘魯</v>
          </cell>
          <cell r="D40" t="str">
            <v>Peru</v>
          </cell>
          <cell r="E40">
            <v>1517010</v>
          </cell>
          <cell r="F40">
            <v>1542172</v>
          </cell>
          <cell r="G40">
            <v>1237</v>
          </cell>
          <cell r="H40">
            <v>779</v>
          </cell>
        </row>
        <row r="41">
          <cell r="C41" t="str">
            <v>厄瓜多</v>
          </cell>
          <cell r="D41" t="str">
            <v>Ecuador</v>
          </cell>
          <cell r="E41">
            <v>3368039</v>
          </cell>
          <cell r="F41">
            <v>1471439</v>
          </cell>
          <cell r="G41">
            <v>2461</v>
          </cell>
          <cell r="H41">
            <v>1096</v>
          </cell>
        </row>
        <row r="42">
          <cell r="C42" t="str">
            <v>阿根廷</v>
          </cell>
          <cell r="D42" t="str">
            <v>Argentina</v>
          </cell>
          <cell r="E42">
            <v>1947644</v>
          </cell>
          <cell r="F42">
            <v>1197048</v>
          </cell>
          <cell r="G42">
            <v>2492</v>
          </cell>
          <cell r="H42">
            <v>731</v>
          </cell>
        </row>
        <row r="43">
          <cell r="C43" t="str">
            <v>奧地利</v>
          </cell>
          <cell r="D43" t="str">
            <v>Austria</v>
          </cell>
          <cell r="E43">
            <v>1742810</v>
          </cell>
          <cell r="F43">
            <v>1159739</v>
          </cell>
          <cell r="G43">
            <v>4270</v>
          </cell>
          <cell r="H43">
            <v>1650</v>
          </cell>
        </row>
        <row r="44">
          <cell r="C44" t="str">
            <v>瓜地馬拉</v>
          </cell>
          <cell r="D44" t="str">
            <v>Guatemala</v>
          </cell>
          <cell r="E44">
            <v>1057530</v>
          </cell>
          <cell r="F44">
            <v>1109693</v>
          </cell>
          <cell r="G44">
            <v>794</v>
          </cell>
          <cell r="H44">
            <v>829</v>
          </cell>
        </row>
        <row r="45">
          <cell r="C45" t="str">
            <v>芬蘭</v>
          </cell>
          <cell r="D45" t="str">
            <v>Finland</v>
          </cell>
          <cell r="E45">
            <v>1558158</v>
          </cell>
          <cell r="F45">
            <v>1070806</v>
          </cell>
          <cell r="G45">
            <v>3967</v>
          </cell>
          <cell r="H45">
            <v>1936</v>
          </cell>
        </row>
        <row r="46">
          <cell r="C46" t="str">
            <v>越南</v>
          </cell>
          <cell r="D46" t="str">
            <v>Viet Nam</v>
          </cell>
          <cell r="E46">
            <v>1713622</v>
          </cell>
          <cell r="F46">
            <v>1065185</v>
          </cell>
          <cell r="G46">
            <v>1028</v>
          </cell>
          <cell r="H46">
            <v>684</v>
          </cell>
        </row>
        <row r="47">
          <cell r="C47" t="str">
            <v>印尼</v>
          </cell>
          <cell r="D47" t="str">
            <v>Indonesia</v>
          </cell>
          <cell r="E47">
            <v>2394049</v>
          </cell>
          <cell r="F47">
            <v>1010897</v>
          </cell>
          <cell r="G47">
            <v>1858</v>
          </cell>
          <cell r="H47">
            <v>510</v>
          </cell>
        </row>
        <row r="48">
          <cell r="C48" t="str">
            <v>匈牙利</v>
          </cell>
          <cell r="D48" t="str">
            <v>Hungary</v>
          </cell>
          <cell r="E48">
            <v>958412</v>
          </cell>
          <cell r="F48">
            <v>834624</v>
          </cell>
          <cell r="G48">
            <v>5708</v>
          </cell>
          <cell r="H48">
            <v>1701</v>
          </cell>
        </row>
        <row r="49">
          <cell r="C49" t="str">
            <v>愛沙尼亞</v>
          </cell>
          <cell r="D49" t="str">
            <v>Estonia</v>
          </cell>
          <cell r="E49">
            <v>476510</v>
          </cell>
          <cell r="F49">
            <v>651362</v>
          </cell>
          <cell r="G49">
            <v>2031</v>
          </cell>
          <cell r="H49">
            <v>1385</v>
          </cell>
        </row>
        <row r="50">
          <cell r="C50" t="str">
            <v>關島</v>
          </cell>
          <cell r="D50" t="str">
            <v>Guam</v>
          </cell>
          <cell r="E50">
            <v>1113392</v>
          </cell>
          <cell r="F50">
            <v>555052</v>
          </cell>
          <cell r="G50">
            <v>510</v>
          </cell>
          <cell r="H50">
            <v>234</v>
          </cell>
        </row>
        <row r="51">
          <cell r="C51" t="str">
            <v>哈薩克</v>
          </cell>
          <cell r="D51" t="str">
            <v>Kazakhstan</v>
          </cell>
          <cell r="E51">
            <v>502966</v>
          </cell>
          <cell r="F51">
            <v>501587</v>
          </cell>
          <cell r="G51">
            <v>539</v>
          </cell>
          <cell r="H51">
            <v>470</v>
          </cell>
        </row>
        <row r="52">
          <cell r="C52" t="str">
            <v>薩爾瓦多</v>
          </cell>
          <cell r="D52" t="str">
            <v>El Salvador</v>
          </cell>
          <cell r="E52">
            <v>416536</v>
          </cell>
          <cell r="F52">
            <v>452283</v>
          </cell>
          <cell r="G52">
            <v>456</v>
          </cell>
          <cell r="H52">
            <v>369</v>
          </cell>
        </row>
        <row r="53">
          <cell r="C53" t="str">
            <v>希臘</v>
          </cell>
          <cell r="D53" t="str">
            <v>Greece</v>
          </cell>
          <cell r="E53">
            <v>556897</v>
          </cell>
          <cell r="F53">
            <v>445459</v>
          </cell>
          <cell r="G53">
            <v>3696</v>
          </cell>
          <cell r="H53">
            <v>1895</v>
          </cell>
        </row>
        <row r="54">
          <cell r="C54" t="str">
            <v>烏拉圭</v>
          </cell>
          <cell r="D54" t="str">
            <v>Uruguay</v>
          </cell>
          <cell r="E54">
            <v>544484</v>
          </cell>
          <cell r="F54">
            <v>430958</v>
          </cell>
          <cell r="G54">
            <v>621</v>
          </cell>
          <cell r="H54">
            <v>351</v>
          </cell>
        </row>
        <row r="55">
          <cell r="C55" t="str">
            <v>盧森堡</v>
          </cell>
          <cell r="D55" t="str">
            <v>Luxembourg</v>
          </cell>
          <cell r="E55">
            <v>441570</v>
          </cell>
          <cell r="F55">
            <v>414738</v>
          </cell>
          <cell r="G55">
            <v>179</v>
          </cell>
          <cell r="H55">
            <v>161</v>
          </cell>
        </row>
        <row r="56">
          <cell r="C56" t="str">
            <v>多明尼加</v>
          </cell>
          <cell r="D56" t="str">
            <v>Dominican Republic</v>
          </cell>
          <cell r="E56">
            <v>341092</v>
          </cell>
          <cell r="F56">
            <v>405883</v>
          </cell>
          <cell r="G56">
            <v>292</v>
          </cell>
          <cell r="H56">
            <v>253</v>
          </cell>
        </row>
        <row r="57">
          <cell r="C57" t="str">
            <v>土耳其</v>
          </cell>
          <cell r="D57" t="str">
            <v>Turkiye</v>
          </cell>
          <cell r="E57">
            <v>450743</v>
          </cell>
          <cell r="F57">
            <v>357677</v>
          </cell>
          <cell r="G57">
            <v>312</v>
          </cell>
          <cell r="H57">
            <v>192</v>
          </cell>
        </row>
        <row r="58">
          <cell r="C58" t="str">
            <v>巴拉圭</v>
          </cell>
          <cell r="D58" t="str">
            <v>Paraguay</v>
          </cell>
          <cell r="E58">
            <v>113510</v>
          </cell>
          <cell r="F58">
            <v>355120</v>
          </cell>
          <cell r="G58">
            <v>93</v>
          </cell>
          <cell r="H58">
            <v>249</v>
          </cell>
        </row>
        <row r="59">
          <cell r="C59" t="str">
            <v>波多黎各</v>
          </cell>
          <cell r="D59" t="str">
            <v>Puerto Rico</v>
          </cell>
          <cell r="E59">
            <v>223995</v>
          </cell>
          <cell r="F59">
            <v>310587</v>
          </cell>
          <cell r="G59">
            <v>199</v>
          </cell>
          <cell r="H59">
            <v>367</v>
          </cell>
        </row>
        <row r="60">
          <cell r="C60" t="str">
            <v>委內瑞拉</v>
          </cell>
          <cell r="D60" t="str">
            <v>Venezuela</v>
          </cell>
          <cell r="E60">
            <v>114199</v>
          </cell>
          <cell r="F60">
            <v>239254</v>
          </cell>
          <cell r="G60">
            <v>264</v>
          </cell>
          <cell r="H60">
            <v>102</v>
          </cell>
        </row>
        <row r="61">
          <cell r="C61" t="str">
            <v>立陶宛</v>
          </cell>
          <cell r="D61" t="str">
            <v>Lithuania</v>
          </cell>
          <cell r="E61">
            <v>261981</v>
          </cell>
          <cell r="F61">
            <v>205924</v>
          </cell>
          <cell r="G61">
            <v>1009</v>
          </cell>
          <cell r="H61">
            <v>519</v>
          </cell>
        </row>
        <row r="62">
          <cell r="C62" t="str">
            <v>葡萄牙</v>
          </cell>
          <cell r="D62" t="str">
            <v>Portugal</v>
          </cell>
          <cell r="E62">
            <v>54691</v>
          </cell>
          <cell r="F62">
            <v>175126</v>
          </cell>
          <cell r="G62">
            <v>24</v>
          </cell>
          <cell r="H62">
            <v>85</v>
          </cell>
        </row>
        <row r="63">
          <cell r="C63" t="str">
            <v>克羅埃西亞</v>
          </cell>
          <cell r="D63" t="str">
            <v>Croatia</v>
          </cell>
          <cell r="E63">
            <v>257441</v>
          </cell>
          <cell r="F63">
            <v>148696</v>
          </cell>
          <cell r="G63">
            <v>1117</v>
          </cell>
          <cell r="H63">
            <v>578</v>
          </cell>
        </row>
        <row r="64">
          <cell r="C64" t="str">
            <v>留尼旺</v>
          </cell>
          <cell r="D64" t="str">
            <v>Reunion</v>
          </cell>
          <cell r="E64">
            <v>365002</v>
          </cell>
          <cell r="F64">
            <v>144775</v>
          </cell>
          <cell r="G64">
            <v>375</v>
          </cell>
          <cell r="H64">
            <v>84</v>
          </cell>
        </row>
        <row r="65">
          <cell r="C65" t="str">
            <v>黎巴嫩</v>
          </cell>
          <cell r="D65" t="str">
            <v>Lebanon</v>
          </cell>
          <cell r="E65">
            <v>45217</v>
          </cell>
          <cell r="F65">
            <v>116762</v>
          </cell>
          <cell r="G65">
            <v>32</v>
          </cell>
          <cell r="H65">
            <v>87</v>
          </cell>
        </row>
        <row r="66">
          <cell r="C66" t="str">
            <v>拉脫維亞</v>
          </cell>
          <cell r="D66" t="str">
            <v>Latvia</v>
          </cell>
          <cell r="E66">
            <v>573917</v>
          </cell>
          <cell r="F66">
            <v>114645</v>
          </cell>
          <cell r="G66">
            <v>2302</v>
          </cell>
          <cell r="H66">
            <v>427</v>
          </cell>
        </row>
        <row r="67">
          <cell r="C67" t="str">
            <v>冰島</v>
          </cell>
          <cell r="D67" t="str">
            <v>Iceland</v>
          </cell>
          <cell r="E67">
            <v>62400</v>
          </cell>
          <cell r="F67">
            <v>106525</v>
          </cell>
          <cell r="G67">
            <v>55</v>
          </cell>
          <cell r="H67">
            <v>220</v>
          </cell>
        </row>
        <row r="68">
          <cell r="C68" t="str">
            <v>卡達</v>
          </cell>
          <cell r="D68" t="str">
            <v>Qatar</v>
          </cell>
          <cell r="E68">
            <v>153234</v>
          </cell>
          <cell r="F68">
            <v>105263</v>
          </cell>
          <cell r="G68">
            <v>149</v>
          </cell>
          <cell r="H68">
            <v>103</v>
          </cell>
        </row>
        <row r="69">
          <cell r="C69" t="str">
            <v>模里西斯</v>
          </cell>
          <cell r="D69" t="str">
            <v>Mauritius</v>
          </cell>
          <cell r="E69">
            <v>96939</v>
          </cell>
          <cell r="F69">
            <v>95908</v>
          </cell>
          <cell r="G69">
            <v>95</v>
          </cell>
          <cell r="H69">
            <v>46</v>
          </cell>
        </row>
        <row r="70">
          <cell r="C70" t="str">
            <v>沙烏地阿拉伯</v>
          </cell>
          <cell r="D70" t="str">
            <v>Saudi Arabia</v>
          </cell>
          <cell r="E70">
            <v>689626</v>
          </cell>
          <cell r="F70">
            <v>69265</v>
          </cell>
          <cell r="G70">
            <v>919</v>
          </cell>
          <cell r="H70">
            <v>51</v>
          </cell>
        </row>
        <row r="71">
          <cell r="C71" t="str">
            <v>蒙古</v>
          </cell>
          <cell r="D71" t="str">
            <v>Mongolia</v>
          </cell>
          <cell r="E71">
            <v>0</v>
          </cell>
          <cell r="F71">
            <v>67418</v>
          </cell>
          <cell r="G71">
            <v>0</v>
          </cell>
          <cell r="H71">
            <v>61</v>
          </cell>
        </row>
        <row r="72">
          <cell r="C72" t="str">
            <v>保加利亞</v>
          </cell>
          <cell r="D72" t="str">
            <v>Bulgaria</v>
          </cell>
          <cell r="E72">
            <v>71607</v>
          </cell>
          <cell r="F72">
            <v>61429</v>
          </cell>
          <cell r="G72">
            <v>390</v>
          </cell>
          <cell r="H72">
            <v>395</v>
          </cell>
        </row>
        <row r="73">
          <cell r="C73" t="str">
            <v>法屬玻里尼西亞</v>
          </cell>
          <cell r="D73" t="str">
            <v>French Polynesia</v>
          </cell>
          <cell r="E73">
            <v>6699</v>
          </cell>
          <cell r="F73">
            <v>60689</v>
          </cell>
          <cell r="G73">
            <v>10</v>
          </cell>
          <cell r="H73">
            <v>274</v>
          </cell>
        </row>
        <row r="74">
          <cell r="C74" t="str">
            <v>烏克蘭</v>
          </cell>
          <cell r="D74" t="str">
            <v>Ukraine</v>
          </cell>
          <cell r="E74">
            <v>48470</v>
          </cell>
          <cell r="F74">
            <v>44021</v>
          </cell>
          <cell r="G74">
            <v>223</v>
          </cell>
          <cell r="H74">
            <v>119</v>
          </cell>
        </row>
        <row r="75">
          <cell r="C75" t="str">
            <v>賽普勒斯</v>
          </cell>
          <cell r="D75" t="str">
            <v>Cyprus</v>
          </cell>
          <cell r="E75">
            <v>138272</v>
          </cell>
          <cell r="F75">
            <v>33789</v>
          </cell>
          <cell r="G75">
            <v>755</v>
          </cell>
          <cell r="H75">
            <v>210</v>
          </cell>
        </row>
        <row r="76">
          <cell r="C76" t="str">
            <v>白俄羅斯</v>
          </cell>
          <cell r="D76" t="str">
            <v>Belarus</v>
          </cell>
          <cell r="E76">
            <v>0</v>
          </cell>
          <cell r="F76">
            <v>24874</v>
          </cell>
          <cell r="G76">
            <v>0</v>
          </cell>
          <cell r="H76">
            <v>120</v>
          </cell>
        </row>
        <row r="77">
          <cell r="C77" t="str">
            <v>北馬里亞納群島</v>
          </cell>
          <cell r="D77" t="str">
            <v>Northern Mariana Islands</v>
          </cell>
          <cell r="E77">
            <v>0</v>
          </cell>
          <cell r="F77">
            <v>24830</v>
          </cell>
          <cell r="G77">
            <v>0</v>
          </cell>
          <cell r="H77">
            <v>44</v>
          </cell>
        </row>
        <row r="78">
          <cell r="C78" t="str">
            <v>巴基斯坦</v>
          </cell>
          <cell r="D78" t="str">
            <v>Pakistan</v>
          </cell>
          <cell r="E78">
            <v>0</v>
          </cell>
          <cell r="F78">
            <v>18496</v>
          </cell>
          <cell r="G78">
            <v>0</v>
          </cell>
          <cell r="H78">
            <v>12</v>
          </cell>
        </row>
        <row r="79">
          <cell r="C79" t="str">
            <v>東加</v>
          </cell>
          <cell r="D79" t="str">
            <v>Tonga</v>
          </cell>
          <cell r="E79">
            <v>2176</v>
          </cell>
          <cell r="F79">
            <v>18294</v>
          </cell>
          <cell r="G79">
            <v>20</v>
          </cell>
          <cell r="H79">
            <v>160</v>
          </cell>
        </row>
        <row r="80">
          <cell r="C80" t="str">
            <v>尼泊爾</v>
          </cell>
          <cell r="D80" t="str">
            <v>Nepal</v>
          </cell>
          <cell r="E80">
            <v>383871</v>
          </cell>
          <cell r="F80">
            <v>15555</v>
          </cell>
          <cell r="G80">
            <v>274</v>
          </cell>
          <cell r="H80">
            <v>13</v>
          </cell>
        </row>
        <row r="81">
          <cell r="C81" t="str">
            <v>巴林</v>
          </cell>
          <cell r="D81" t="str">
            <v>Bahrain</v>
          </cell>
          <cell r="E81">
            <v>57936</v>
          </cell>
          <cell r="F81">
            <v>15239</v>
          </cell>
          <cell r="G81">
            <v>50</v>
          </cell>
          <cell r="H81">
            <v>20</v>
          </cell>
        </row>
        <row r="82">
          <cell r="C82" t="str">
            <v>汶萊</v>
          </cell>
          <cell r="D82" t="str">
            <v>Brunei Darussalam</v>
          </cell>
          <cell r="E82">
            <v>25774</v>
          </cell>
          <cell r="F82">
            <v>15140</v>
          </cell>
          <cell r="G82">
            <v>18</v>
          </cell>
          <cell r="H82">
            <v>10</v>
          </cell>
        </row>
        <row r="83">
          <cell r="C83" t="str">
            <v>馬紹爾群島共和國</v>
          </cell>
          <cell r="D83" t="str">
            <v>Marshall Islands</v>
          </cell>
          <cell r="E83">
            <v>324</v>
          </cell>
          <cell r="F83">
            <v>10177</v>
          </cell>
          <cell r="G83">
            <v>2</v>
          </cell>
          <cell r="H83">
            <v>70</v>
          </cell>
        </row>
        <row r="84">
          <cell r="C84" t="str">
            <v>肯亞</v>
          </cell>
          <cell r="D84" t="str">
            <v>Kenya</v>
          </cell>
          <cell r="E84">
            <v>194984</v>
          </cell>
          <cell r="F84">
            <v>8076</v>
          </cell>
          <cell r="G84">
            <v>155</v>
          </cell>
          <cell r="H84">
            <v>3</v>
          </cell>
        </row>
        <row r="85">
          <cell r="C85" t="str">
            <v>羅馬尼亞</v>
          </cell>
          <cell r="D85" t="str">
            <v>Romania</v>
          </cell>
          <cell r="E85">
            <v>16956</v>
          </cell>
          <cell r="F85">
            <v>6811</v>
          </cell>
          <cell r="G85">
            <v>142</v>
          </cell>
          <cell r="H85">
            <v>53</v>
          </cell>
        </row>
        <row r="86">
          <cell r="C86" t="str">
            <v>新克里多亞</v>
          </cell>
          <cell r="D86" t="str">
            <v>New Caledonia</v>
          </cell>
          <cell r="E86">
            <v>3721</v>
          </cell>
          <cell r="F86">
            <v>6438</v>
          </cell>
          <cell r="G86">
            <v>2</v>
          </cell>
          <cell r="H86">
            <v>2</v>
          </cell>
        </row>
        <row r="87">
          <cell r="C87" t="str">
            <v>斯洛伐克</v>
          </cell>
          <cell r="D87" t="str">
            <v>Slovakia</v>
          </cell>
          <cell r="E87">
            <v>77364</v>
          </cell>
          <cell r="F87">
            <v>6219</v>
          </cell>
          <cell r="G87">
            <v>470</v>
          </cell>
          <cell r="H87">
            <v>50</v>
          </cell>
        </row>
        <row r="88">
          <cell r="C88" t="str">
            <v>尼加拉瓜</v>
          </cell>
          <cell r="D88" t="str">
            <v>Nicaragua</v>
          </cell>
          <cell r="E88">
            <v>0</v>
          </cell>
          <cell r="F88">
            <v>5430</v>
          </cell>
          <cell r="G88">
            <v>0</v>
          </cell>
          <cell r="H88">
            <v>2</v>
          </cell>
        </row>
        <row r="89">
          <cell r="C89" t="str">
            <v>阿魯巴</v>
          </cell>
          <cell r="D89" t="str">
            <v>Aruba</v>
          </cell>
          <cell r="E89">
            <v>0</v>
          </cell>
          <cell r="F89">
            <v>5374</v>
          </cell>
          <cell r="G89">
            <v>0</v>
          </cell>
          <cell r="H89">
            <v>5</v>
          </cell>
        </row>
        <row r="90">
          <cell r="C90" t="str">
            <v>馬爾他</v>
          </cell>
          <cell r="D90" t="str">
            <v>Malta</v>
          </cell>
          <cell r="E90">
            <v>9005</v>
          </cell>
          <cell r="F90">
            <v>4265</v>
          </cell>
          <cell r="G90">
            <v>52</v>
          </cell>
          <cell r="H90">
            <v>22</v>
          </cell>
        </row>
        <row r="91">
          <cell r="C91" t="str">
            <v>多哥</v>
          </cell>
          <cell r="D91" t="str">
            <v>Togo</v>
          </cell>
          <cell r="E91">
            <v>0</v>
          </cell>
          <cell r="F91">
            <v>1480</v>
          </cell>
          <cell r="G91">
            <v>0</v>
          </cell>
          <cell r="H91">
            <v>205</v>
          </cell>
        </row>
        <row r="92">
          <cell r="C92" t="str">
            <v>柬埔寨</v>
          </cell>
          <cell r="D92" t="str">
            <v>Cambodia</v>
          </cell>
          <cell r="E92">
            <v>0</v>
          </cell>
          <cell r="F92">
            <v>579</v>
          </cell>
          <cell r="G92">
            <v>0</v>
          </cell>
          <cell r="H92">
            <v>2</v>
          </cell>
        </row>
        <row r="93">
          <cell r="C93" t="str">
            <v>聖克里斯多福</v>
          </cell>
          <cell r="D93" t="str">
            <v>Saint Kitts and Nevis</v>
          </cell>
          <cell r="E93">
            <v>0</v>
          </cell>
          <cell r="F93">
            <v>289</v>
          </cell>
          <cell r="G93">
            <v>0</v>
          </cell>
          <cell r="H93">
            <v>50</v>
          </cell>
        </row>
        <row r="94">
          <cell r="C94" t="str">
            <v>斯里蘭卡</v>
          </cell>
          <cell r="D94" t="str">
            <v>Sri Lanka</v>
          </cell>
          <cell r="E94">
            <v>1206</v>
          </cell>
          <cell r="F94">
            <v>124</v>
          </cell>
          <cell r="G94">
            <v>1</v>
          </cell>
          <cell r="H94">
            <v>20</v>
          </cell>
        </row>
        <row r="95">
          <cell r="C95" t="str">
            <v>貝南</v>
          </cell>
          <cell r="D95" t="str">
            <v>Benin</v>
          </cell>
          <cell r="E95">
            <v>0</v>
          </cell>
          <cell r="F95">
            <v>98</v>
          </cell>
          <cell r="G95">
            <v>0</v>
          </cell>
          <cell r="H95">
            <v>30</v>
          </cell>
        </row>
        <row r="96">
          <cell r="C96" t="str">
            <v>利比亞</v>
          </cell>
          <cell r="D96" t="str">
            <v>Libya</v>
          </cell>
          <cell r="E96">
            <v>0</v>
          </cell>
          <cell r="F96">
            <v>94</v>
          </cell>
          <cell r="G96">
            <v>0</v>
          </cell>
          <cell r="H96">
            <v>18</v>
          </cell>
        </row>
        <row r="97">
          <cell r="C97" t="str">
            <v>迦納</v>
          </cell>
          <cell r="D97" t="str">
            <v>Ghana</v>
          </cell>
          <cell r="E97">
            <v>235</v>
          </cell>
          <cell r="F97">
            <v>65</v>
          </cell>
          <cell r="G97">
            <v>50</v>
          </cell>
          <cell r="H97">
            <v>10</v>
          </cell>
        </row>
        <row r="98">
          <cell r="C98" t="str">
            <v>奈及利亞</v>
          </cell>
          <cell r="D98" t="str">
            <v>Nigeria</v>
          </cell>
          <cell r="E98">
            <v>31</v>
          </cell>
          <cell r="F98">
            <v>64</v>
          </cell>
          <cell r="G98">
            <v>6</v>
          </cell>
          <cell r="H98">
            <v>12</v>
          </cell>
        </row>
        <row r="99">
          <cell r="C99" t="str">
            <v>埃及</v>
          </cell>
          <cell r="D99" t="str">
            <v>Egypt</v>
          </cell>
          <cell r="E99">
            <v>0</v>
          </cell>
          <cell r="F99">
            <v>63</v>
          </cell>
          <cell r="G99">
            <v>0</v>
          </cell>
          <cell r="H99">
            <v>2</v>
          </cell>
        </row>
        <row r="100">
          <cell r="C100" t="str">
            <v>波士尼亞及赫塞哥維納</v>
          </cell>
          <cell r="D100" t="str">
            <v>Bosnia and Herzegovina</v>
          </cell>
          <cell r="E100">
            <v>67151</v>
          </cell>
          <cell r="F100">
            <v>0</v>
          </cell>
          <cell r="G100">
            <v>51</v>
          </cell>
          <cell r="H100">
            <v>0</v>
          </cell>
        </row>
        <row r="101">
          <cell r="C101" t="str">
            <v>喀麥隆</v>
          </cell>
          <cell r="D101" t="str">
            <v>Cameroon</v>
          </cell>
          <cell r="E101">
            <v>67</v>
          </cell>
          <cell r="F101">
            <v>0</v>
          </cell>
          <cell r="G101">
            <v>10</v>
          </cell>
          <cell r="H101">
            <v>0</v>
          </cell>
        </row>
        <row r="102">
          <cell r="C102" t="str">
            <v>澳門</v>
          </cell>
          <cell r="D102" t="str">
            <v>Macau</v>
          </cell>
          <cell r="E102">
            <v>5854</v>
          </cell>
          <cell r="F102">
            <v>0</v>
          </cell>
          <cell r="G102">
            <v>2</v>
          </cell>
          <cell r="H102">
            <v>0</v>
          </cell>
        </row>
        <row r="103">
          <cell r="C103" t="str">
            <v>科威特</v>
          </cell>
          <cell r="D103" t="str">
            <v>Kuwait</v>
          </cell>
          <cell r="E103">
            <v>28553</v>
          </cell>
          <cell r="F103">
            <v>0</v>
          </cell>
          <cell r="G103">
            <v>175</v>
          </cell>
          <cell r="H103">
            <v>0</v>
          </cell>
        </row>
        <row r="104">
          <cell r="C104" t="str">
            <v>約旦</v>
          </cell>
          <cell r="D104" t="str">
            <v>Jordan</v>
          </cell>
          <cell r="E104">
            <v>94</v>
          </cell>
          <cell r="F104">
            <v>0</v>
          </cell>
          <cell r="G104">
            <v>4</v>
          </cell>
          <cell r="H104">
            <v>0</v>
          </cell>
        </row>
        <row r="105">
          <cell r="C105" t="str">
            <v>坦尚尼亞</v>
          </cell>
          <cell r="D105" t="str">
            <v>United Republic of Tanzania</v>
          </cell>
          <cell r="E105">
            <v>522</v>
          </cell>
          <cell r="F105">
            <v>0</v>
          </cell>
          <cell r="G105">
            <v>8</v>
          </cell>
          <cell r="H105">
            <v>0</v>
          </cell>
        </row>
        <row r="106">
          <cell r="C106" t="str">
            <v>烏茲別克</v>
          </cell>
          <cell r="D106" t="str">
            <v>Uzbekistan</v>
          </cell>
          <cell r="E106">
            <v>80115</v>
          </cell>
          <cell r="F106">
            <v>0</v>
          </cell>
          <cell r="G106">
            <v>200</v>
          </cell>
          <cell r="H106">
            <v>0</v>
          </cell>
        </row>
        <row r="107">
          <cell r="C107" t="str">
            <v>蘇利南</v>
          </cell>
          <cell r="D107" t="str">
            <v>Suriname</v>
          </cell>
          <cell r="E107">
            <v>4368</v>
          </cell>
          <cell r="F107">
            <v>0</v>
          </cell>
          <cell r="G107">
            <v>1</v>
          </cell>
          <cell r="H107">
            <v>0</v>
          </cell>
        </row>
      </sheetData>
      <sheetData sheetId="5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26717614</v>
          </cell>
          <cell r="F2">
            <v>26767453</v>
          </cell>
          <cell r="G2">
            <v>199708</v>
          </cell>
          <cell r="H2">
            <v>203003</v>
          </cell>
        </row>
        <row r="3">
          <cell r="C3" t="str">
            <v>中國大陸</v>
          </cell>
          <cell r="D3" t="str">
            <v>China</v>
          </cell>
          <cell r="E3">
            <v>20988320</v>
          </cell>
          <cell r="F3">
            <v>17941006</v>
          </cell>
          <cell r="G3">
            <v>192392</v>
          </cell>
          <cell r="H3">
            <v>193989</v>
          </cell>
        </row>
        <row r="4">
          <cell r="C4" t="str">
            <v>越南</v>
          </cell>
          <cell r="D4" t="str">
            <v>Viet Nam</v>
          </cell>
          <cell r="E4">
            <v>2453491</v>
          </cell>
          <cell r="F4">
            <v>2800167</v>
          </cell>
          <cell r="G4">
            <v>3532</v>
          </cell>
          <cell r="H4">
            <v>3677</v>
          </cell>
        </row>
        <row r="5">
          <cell r="C5" t="str">
            <v>中華民國</v>
          </cell>
          <cell r="D5" t="str">
            <v>Taiwan, Roc</v>
          </cell>
          <cell r="E5">
            <v>114143</v>
          </cell>
          <cell r="F5">
            <v>1529796</v>
          </cell>
          <cell r="G5">
            <v>51</v>
          </cell>
          <cell r="H5">
            <v>1085</v>
          </cell>
        </row>
        <row r="6">
          <cell r="C6" t="str">
            <v>柬埔寨</v>
          </cell>
          <cell r="D6" t="str">
            <v>Cambodia</v>
          </cell>
          <cell r="E6">
            <v>550084</v>
          </cell>
          <cell r="F6">
            <v>1449322</v>
          </cell>
          <cell r="G6">
            <v>1976</v>
          </cell>
          <cell r="H6">
            <v>2007</v>
          </cell>
        </row>
        <row r="7">
          <cell r="C7" t="str">
            <v>英國</v>
          </cell>
          <cell r="D7" t="str">
            <v>United Kingdom</v>
          </cell>
          <cell r="E7">
            <v>1212570</v>
          </cell>
          <cell r="F7">
            <v>1360071</v>
          </cell>
          <cell r="G7">
            <v>1111</v>
          </cell>
          <cell r="H7">
            <v>1100</v>
          </cell>
        </row>
        <row r="8">
          <cell r="C8" t="str">
            <v>德國</v>
          </cell>
          <cell r="D8" t="str">
            <v>Germany</v>
          </cell>
          <cell r="E8">
            <v>529886</v>
          </cell>
          <cell r="F8">
            <v>533871</v>
          </cell>
          <cell r="G8">
            <v>112</v>
          </cell>
          <cell r="H8">
            <v>101</v>
          </cell>
        </row>
        <row r="9">
          <cell r="C9" t="str">
            <v>義大利</v>
          </cell>
          <cell r="D9" t="str">
            <v>Italy</v>
          </cell>
          <cell r="E9">
            <v>245912</v>
          </cell>
          <cell r="F9">
            <v>343678</v>
          </cell>
          <cell r="G9">
            <v>58</v>
          </cell>
          <cell r="H9">
            <v>64</v>
          </cell>
        </row>
        <row r="10">
          <cell r="C10" t="str">
            <v>美國</v>
          </cell>
          <cell r="D10" t="str">
            <v>United States</v>
          </cell>
          <cell r="E10">
            <v>225001</v>
          </cell>
          <cell r="F10">
            <v>293050</v>
          </cell>
          <cell r="G10">
            <v>58</v>
          </cell>
          <cell r="H10">
            <v>85</v>
          </cell>
        </row>
        <row r="11">
          <cell r="C11" t="str">
            <v>比利時</v>
          </cell>
          <cell r="D11" t="str">
            <v>Belgium</v>
          </cell>
          <cell r="E11">
            <v>0</v>
          </cell>
          <cell r="F11">
            <v>215784</v>
          </cell>
          <cell r="G11">
            <v>0</v>
          </cell>
          <cell r="H11">
            <v>123</v>
          </cell>
        </row>
        <row r="12">
          <cell r="C12" t="str">
            <v>印尼</v>
          </cell>
          <cell r="D12" t="str">
            <v>Indonesia</v>
          </cell>
          <cell r="E12">
            <v>18540</v>
          </cell>
          <cell r="F12">
            <v>86137</v>
          </cell>
          <cell r="G12">
            <v>45</v>
          </cell>
          <cell r="H12">
            <v>313</v>
          </cell>
        </row>
        <row r="13">
          <cell r="C13" t="str">
            <v>法國</v>
          </cell>
          <cell r="D13" t="str">
            <v>France</v>
          </cell>
          <cell r="E13">
            <v>187289</v>
          </cell>
          <cell r="F13">
            <v>70870</v>
          </cell>
          <cell r="G13">
            <v>52</v>
          </cell>
          <cell r="H13">
            <v>102</v>
          </cell>
        </row>
        <row r="14">
          <cell r="C14" t="str">
            <v>韓國</v>
          </cell>
          <cell r="D14" t="str">
            <v>Republic of Korea</v>
          </cell>
          <cell r="E14">
            <v>69366</v>
          </cell>
          <cell r="F14">
            <v>54195</v>
          </cell>
          <cell r="G14">
            <v>132</v>
          </cell>
          <cell r="H14">
            <v>117</v>
          </cell>
        </row>
        <row r="15">
          <cell r="C15" t="str">
            <v>日本</v>
          </cell>
          <cell r="D15" t="str">
            <v>Japan</v>
          </cell>
          <cell r="E15">
            <v>78162</v>
          </cell>
          <cell r="F15">
            <v>51520</v>
          </cell>
          <cell r="G15">
            <v>164</v>
          </cell>
          <cell r="H15">
            <v>213</v>
          </cell>
        </row>
        <row r="16">
          <cell r="C16" t="str">
            <v>西班牙</v>
          </cell>
          <cell r="D16" t="str">
            <v>Spain</v>
          </cell>
          <cell r="E16">
            <v>4693</v>
          </cell>
          <cell r="F16">
            <v>10236</v>
          </cell>
          <cell r="G16">
            <v>3</v>
          </cell>
          <cell r="H16">
            <v>4</v>
          </cell>
        </row>
        <row r="17">
          <cell r="C17" t="str">
            <v>奧地利</v>
          </cell>
          <cell r="D17" t="str">
            <v>Austria</v>
          </cell>
          <cell r="E17">
            <v>0</v>
          </cell>
          <cell r="F17">
            <v>5928</v>
          </cell>
          <cell r="G17">
            <v>0</v>
          </cell>
          <cell r="H17">
            <v>2</v>
          </cell>
        </row>
        <row r="18">
          <cell r="C18" t="str">
            <v>保加利亞</v>
          </cell>
          <cell r="D18" t="str">
            <v>Bulgaria</v>
          </cell>
          <cell r="E18">
            <v>0</v>
          </cell>
          <cell r="F18">
            <v>4897</v>
          </cell>
          <cell r="G18">
            <v>0</v>
          </cell>
          <cell r="H18">
            <v>4</v>
          </cell>
        </row>
        <row r="19">
          <cell r="C19" t="str">
            <v>南非</v>
          </cell>
          <cell r="D19" t="str">
            <v>South Africa</v>
          </cell>
          <cell r="E19">
            <v>0</v>
          </cell>
          <cell r="F19">
            <v>4217</v>
          </cell>
          <cell r="G19">
            <v>0</v>
          </cell>
          <cell r="H19">
            <v>1</v>
          </cell>
        </row>
        <row r="20">
          <cell r="C20" t="str">
            <v>葡萄牙</v>
          </cell>
          <cell r="D20" t="str">
            <v>Portugal</v>
          </cell>
          <cell r="E20">
            <v>4896</v>
          </cell>
          <cell r="F20">
            <v>3163</v>
          </cell>
          <cell r="G20">
            <v>6</v>
          </cell>
          <cell r="H20">
            <v>1</v>
          </cell>
        </row>
        <row r="21">
          <cell r="C21" t="str">
            <v>澳大利亞</v>
          </cell>
          <cell r="D21" t="str">
            <v>Australia</v>
          </cell>
          <cell r="E21">
            <v>24559</v>
          </cell>
          <cell r="F21">
            <v>3105</v>
          </cell>
          <cell r="G21">
            <v>4</v>
          </cell>
          <cell r="H21">
            <v>1</v>
          </cell>
        </row>
        <row r="22">
          <cell r="C22" t="str">
            <v>斯洛伐克</v>
          </cell>
          <cell r="D22" t="str">
            <v>Slovakia</v>
          </cell>
          <cell r="E22">
            <v>0</v>
          </cell>
          <cell r="F22">
            <v>2647</v>
          </cell>
          <cell r="G22">
            <v>0</v>
          </cell>
          <cell r="H22">
            <v>2</v>
          </cell>
        </row>
        <row r="23">
          <cell r="C23" t="str">
            <v>捷克</v>
          </cell>
          <cell r="D23" t="str">
            <v>Czech Republic</v>
          </cell>
          <cell r="E23">
            <v>0</v>
          </cell>
          <cell r="F23">
            <v>2615</v>
          </cell>
          <cell r="G23">
            <v>0</v>
          </cell>
          <cell r="H23">
            <v>3</v>
          </cell>
        </row>
        <row r="24">
          <cell r="C24" t="str">
            <v>加拿大</v>
          </cell>
          <cell r="D24" t="str">
            <v>Canada</v>
          </cell>
          <cell r="E24">
            <v>1935</v>
          </cell>
          <cell r="F24">
            <v>379</v>
          </cell>
          <cell r="G24">
            <v>4</v>
          </cell>
          <cell r="H24">
            <v>1</v>
          </cell>
        </row>
        <row r="25">
          <cell r="C25" t="str">
            <v>瑞士</v>
          </cell>
          <cell r="D25" t="str">
            <v>Switzerland</v>
          </cell>
          <cell r="E25">
            <v>95</v>
          </cell>
          <cell r="F25">
            <v>260</v>
          </cell>
          <cell r="G25">
            <v>1</v>
          </cell>
          <cell r="H25">
            <v>1</v>
          </cell>
        </row>
        <row r="26">
          <cell r="C26" t="str">
            <v>丹麥</v>
          </cell>
          <cell r="D26" t="str">
            <v>Denmark</v>
          </cell>
          <cell r="E26">
            <v>1760</v>
          </cell>
          <cell r="F26">
            <v>220</v>
          </cell>
          <cell r="G26">
            <v>1</v>
          </cell>
          <cell r="H26">
            <v>1</v>
          </cell>
        </row>
        <row r="27">
          <cell r="C27" t="str">
            <v>馬來西亞</v>
          </cell>
          <cell r="D27" t="str">
            <v>Malaysia</v>
          </cell>
          <cell r="E27">
            <v>0</v>
          </cell>
          <cell r="F27">
            <v>188</v>
          </cell>
          <cell r="G27">
            <v>0</v>
          </cell>
          <cell r="H27">
            <v>1</v>
          </cell>
        </row>
        <row r="28">
          <cell r="C28" t="str">
            <v>孟加拉</v>
          </cell>
          <cell r="D28" t="str">
            <v>Bangladesh</v>
          </cell>
          <cell r="E28">
            <v>1036</v>
          </cell>
          <cell r="F28">
            <v>131</v>
          </cell>
          <cell r="G28">
            <v>1</v>
          </cell>
          <cell r="H28">
            <v>5</v>
          </cell>
        </row>
        <row r="29">
          <cell r="C29" t="str">
            <v>荷蘭</v>
          </cell>
          <cell r="D29" t="str">
            <v>Netherlands</v>
          </cell>
          <cell r="E29">
            <v>2070</v>
          </cell>
          <cell r="F29">
            <v>0</v>
          </cell>
          <cell r="G29">
            <v>4</v>
          </cell>
          <cell r="H29">
            <v>0</v>
          </cell>
        </row>
        <row r="30">
          <cell r="C30" t="str">
            <v>波蘭</v>
          </cell>
          <cell r="D30" t="str">
            <v>Poland</v>
          </cell>
          <cell r="E30">
            <v>3806</v>
          </cell>
          <cell r="F30">
            <v>0</v>
          </cell>
          <cell r="G30">
            <v>1</v>
          </cell>
          <cell r="H30">
            <v>0</v>
          </cell>
        </row>
      </sheetData>
      <sheetData sheetId="6">
        <row r="2">
          <cell r="B2" t="str">
            <v>總計</v>
          </cell>
          <cell r="C2" t="str">
            <v>全球</v>
          </cell>
          <cell r="D2" t="str">
            <v>Global</v>
          </cell>
          <cell r="E2">
            <v>1882391</v>
          </cell>
          <cell r="F2">
            <v>17038</v>
          </cell>
        </row>
        <row r="3">
          <cell r="C3" t="str">
            <v>中國大陸</v>
          </cell>
          <cell r="D3" t="str">
            <v>China</v>
          </cell>
          <cell r="E3">
            <v>1572551</v>
          </cell>
          <cell r="F3">
            <v>16433</v>
          </cell>
        </row>
        <row r="4">
          <cell r="C4" t="str">
            <v>英國</v>
          </cell>
          <cell r="D4" t="str">
            <v>United Kingdom</v>
          </cell>
          <cell r="E4">
            <v>111510</v>
          </cell>
          <cell r="F4">
            <v>73</v>
          </cell>
        </row>
        <row r="5">
          <cell r="C5" t="str">
            <v>德國</v>
          </cell>
          <cell r="D5" t="str">
            <v>Germany</v>
          </cell>
          <cell r="E5">
            <v>83307</v>
          </cell>
          <cell r="F5">
            <v>19</v>
          </cell>
        </row>
        <row r="6">
          <cell r="C6" t="str">
            <v>中華民國</v>
          </cell>
          <cell r="D6" t="str">
            <v>Taiwan, Roc</v>
          </cell>
          <cell r="E6">
            <v>39333</v>
          </cell>
          <cell r="F6">
            <v>214</v>
          </cell>
        </row>
        <row r="7">
          <cell r="C7" t="str">
            <v>越南</v>
          </cell>
          <cell r="D7" t="str">
            <v>Viet Nam</v>
          </cell>
          <cell r="E7">
            <v>22448</v>
          </cell>
          <cell r="F7">
            <v>250</v>
          </cell>
        </row>
        <row r="8">
          <cell r="C8" t="str">
            <v>法國</v>
          </cell>
          <cell r="D8" t="str">
            <v>France</v>
          </cell>
          <cell r="E8">
            <v>21430</v>
          </cell>
          <cell r="F8">
            <v>3</v>
          </cell>
        </row>
        <row r="9">
          <cell r="C9" t="str">
            <v>日本</v>
          </cell>
          <cell r="D9" t="str">
            <v>Japan</v>
          </cell>
          <cell r="E9">
            <v>10762</v>
          </cell>
          <cell r="F9">
            <v>25</v>
          </cell>
        </row>
        <row r="10">
          <cell r="C10" t="str">
            <v>義大利</v>
          </cell>
          <cell r="D10" t="str">
            <v>Italy</v>
          </cell>
          <cell r="E10">
            <v>8681</v>
          </cell>
          <cell r="F10">
            <v>5</v>
          </cell>
        </row>
        <row r="11">
          <cell r="C11" t="str">
            <v>美國</v>
          </cell>
          <cell r="D11" t="str">
            <v>United States</v>
          </cell>
          <cell r="E11">
            <v>6327</v>
          </cell>
          <cell r="F11">
            <v>10</v>
          </cell>
        </row>
        <row r="12">
          <cell r="C12" t="str">
            <v>保加利亞</v>
          </cell>
          <cell r="D12" t="str">
            <v>Bulgaria</v>
          </cell>
          <cell r="E12">
            <v>4897</v>
          </cell>
          <cell r="F12">
            <v>4</v>
          </cell>
        </row>
        <row r="13">
          <cell r="C13" t="str">
            <v>柬埔寨</v>
          </cell>
          <cell r="D13" t="str">
            <v>Cambodia</v>
          </cell>
          <cell r="E13">
            <v>859</v>
          </cell>
          <cell r="F13">
            <v>1</v>
          </cell>
        </row>
        <row r="14">
          <cell r="C14" t="str">
            <v>比利時</v>
          </cell>
          <cell r="D14" t="str">
            <v>Belgium</v>
          </cell>
          <cell r="E14">
            <v>286</v>
          </cell>
          <cell r="F14">
            <v>1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>
            <v>91492950</v>
          </cell>
          <cell r="E10">
            <v>74129</v>
          </cell>
        </row>
        <row r="11">
          <cell r="C11" t="str">
            <v>美國</v>
          </cell>
          <cell r="D11">
            <v>20300634</v>
          </cell>
          <cell r="E11">
            <v>15817</v>
          </cell>
        </row>
        <row r="12">
          <cell r="C12" t="str">
            <v>荷蘭</v>
          </cell>
          <cell r="D12">
            <v>15532277</v>
          </cell>
          <cell r="E12">
            <v>10337</v>
          </cell>
        </row>
        <row r="13">
          <cell r="C13" t="str">
            <v>中國大陸</v>
          </cell>
          <cell r="D13">
            <v>10707662</v>
          </cell>
          <cell r="E13">
            <v>7076</v>
          </cell>
        </row>
        <row r="14">
          <cell r="C14" t="str">
            <v>澳大利亞</v>
          </cell>
          <cell r="D14">
            <v>6523339</v>
          </cell>
          <cell r="E14">
            <v>6675</v>
          </cell>
        </row>
        <row r="15">
          <cell r="C15" t="str">
            <v>日本</v>
          </cell>
          <cell r="D15">
            <v>5786455</v>
          </cell>
          <cell r="E15">
            <v>5938</v>
          </cell>
        </row>
        <row r="16">
          <cell r="C16" t="str">
            <v>德國</v>
          </cell>
          <cell r="D16">
            <v>3122797</v>
          </cell>
          <cell r="E16">
            <v>3019</v>
          </cell>
        </row>
        <row r="17">
          <cell r="C17" t="str">
            <v>加拿大</v>
          </cell>
          <cell r="D17">
            <v>2834946</v>
          </cell>
          <cell r="E17">
            <v>1666</v>
          </cell>
        </row>
        <row r="18">
          <cell r="C18" t="str">
            <v>法國</v>
          </cell>
          <cell r="D18">
            <v>2739364</v>
          </cell>
          <cell r="E18">
            <v>1573</v>
          </cell>
        </row>
        <row r="19">
          <cell r="C19" t="str">
            <v>瑞士</v>
          </cell>
          <cell r="D19">
            <v>2677616</v>
          </cell>
          <cell r="E19">
            <v>1487</v>
          </cell>
        </row>
        <row r="20">
          <cell r="C20" t="str">
            <v>英國</v>
          </cell>
          <cell r="D20">
            <v>2420765</v>
          </cell>
          <cell r="E20">
            <v>2148</v>
          </cell>
        </row>
        <row r="21">
          <cell r="C21" t="str">
            <v>韓國</v>
          </cell>
          <cell r="D21">
            <v>1597140</v>
          </cell>
          <cell r="E21">
            <v>1192</v>
          </cell>
        </row>
        <row r="22">
          <cell r="C22" t="str">
            <v>挪威</v>
          </cell>
          <cell r="D22">
            <v>1480635</v>
          </cell>
          <cell r="E22">
            <v>1484</v>
          </cell>
        </row>
        <row r="23">
          <cell r="C23" t="str">
            <v>義大利</v>
          </cell>
          <cell r="D23">
            <v>1448330</v>
          </cell>
          <cell r="E23">
            <v>1239</v>
          </cell>
        </row>
        <row r="24">
          <cell r="C24" t="str">
            <v>西班牙</v>
          </cell>
          <cell r="D24">
            <v>1235454</v>
          </cell>
          <cell r="E24">
            <v>967</v>
          </cell>
        </row>
        <row r="25">
          <cell r="C25" t="str">
            <v>墨西哥</v>
          </cell>
          <cell r="D25">
            <v>1214914</v>
          </cell>
          <cell r="E25">
            <v>825</v>
          </cell>
        </row>
        <row r="26">
          <cell r="C26" t="str">
            <v>比利時</v>
          </cell>
          <cell r="D26">
            <v>1060604</v>
          </cell>
          <cell r="E26">
            <v>1262</v>
          </cell>
        </row>
        <row r="27">
          <cell r="C27" t="str">
            <v>南非</v>
          </cell>
          <cell r="D27">
            <v>961559</v>
          </cell>
          <cell r="E27">
            <v>403</v>
          </cell>
        </row>
        <row r="28">
          <cell r="C28" t="str">
            <v>阿拉伯聯合大公國</v>
          </cell>
          <cell r="D28">
            <v>898982</v>
          </cell>
          <cell r="E28">
            <v>625</v>
          </cell>
        </row>
        <row r="29">
          <cell r="C29" t="str">
            <v>香港</v>
          </cell>
          <cell r="D29">
            <v>842194</v>
          </cell>
          <cell r="E29">
            <v>870</v>
          </cell>
        </row>
        <row r="30">
          <cell r="C30" t="str">
            <v>紐西蘭</v>
          </cell>
          <cell r="D30">
            <v>768746</v>
          </cell>
          <cell r="E30">
            <v>539</v>
          </cell>
        </row>
        <row r="31">
          <cell r="C31" t="str">
            <v>哥倫比亞</v>
          </cell>
          <cell r="D31">
            <v>753705</v>
          </cell>
          <cell r="E31">
            <v>454</v>
          </cell>
        </row>
        <row r="32">
          <cell r="C32" t="str">
            <v>巴拿馬</v>
          </cell>
          <cell r="D32">
            <v>635835</v>
          </cell>
          <cell r="E32">
            <v>299</v>
          </cell>
        </row>
        <row r="33">
          <cell r="C33" t="str">
            <v>馬來西亞</v>
          </cell>
          <cell r="D33">
            <v>607503</v>
          </cell>
          <cell r="E33">
            <v>345</v>
          </cell>
        </row>
        <row r="34">
          <cell r="C34" t="str">
            <v>新加坡</v>
          </cell>
          <cell r="D34">
            <v>510493</v>
          </cell>
          <cell r="E34">
            <v>252</v>
          </cell>
        </row>
        <row r="35">
          <cell r="C35" t="str">
            <v>波蘭</v>
          </cell>
          <cell r="D35">
            <v>391161</v>
          </cell>
          <cell r="E35">
            <v>508</v>
          </cell>
        </row>
        <row r="36">
          <cell r="C36" t="str">
            <v>捷克</v>
          </cell>
          <cell r="D36">
            <v>388904</v>
          </cell>
          <cell r="E36">
            <v>562</v>
          </cell>
        </row>
        <row r="37">
          <cell r="C37" t="str">
            <v>菲律賓</v>
          </cell>
          <cell r="D37">
            <v>351415</v>
          </cell>
          <cell r="E37">
            <v>279</v>
          </cell>
        </row>
        <row r="38">
          <cell r="C38" t="str">
            <v>土耳其</v>
          </cell>
          <cell r="D38">
            <v>304611</v>
          </cell>
          <cell r="E38">
            <v>159</v>
          </cell>
        </row>
        <row r="39">
          <cell r="C39" t="str">
            <v>哈薩克</v>
          </cell>
          <cell r="D39">
            <v>264515</v>
          </cell>
          <cell r="E39">
            <v>180</v>
          </cell>
        </row>
        <row r="40">
          <cell r="C40" t="str">
            <v>泰國</v>
          </cell>
          <cell r="D40">
            <v>264388</v>
          </cell>
          <cell r="E40">
            <v>164</v>
          </cell>
        </row>
        <row r="41">
          <cell r="C41" t="str">
            <v>厄瓜多</v>
          </cell>
          <cell r="D41">
            <v>263116</v>
          </cell>
          <cell r="E41">
            <v>116</v>
          </cell>
        </row>
        <row r="42">
          <cell r="C42" t="str">
            <v>智利</v>
          </cell>
          <cell r="D42">
            <v>258537</v>
          </cell>
          <cell r="E42">
            <v>227</v>
          </cell>
        </row>
        <row r="43">
          <cell r="C43" t="str">
            <v>瑞典</v>
          </cell>
          <cell r="D43">
            <v>250238</v>
          </cell>
          <cell r="E43">
            <v>1097</v>
          </cell>
        </row>
        <row r="44">
          <cell r="C44" t="str">
            <v>巴西</v>
          </cell>
          <cell r="D44">
            <v>241431</v>
          </cell>
          <cell r="E44">
            <v>124</v>
          </cell>
        </row>
        <row r="45">
          <cell r="C45" t="str">
            <v>丹麥</v>
          </cell>
          <cell r="D45">
            <v>233482</v>
          </cell>
          <cell r="E45">
            <v>2848</v>
          </cell>
        </row>
        <row r="46">
          <cell r="C46" t="str">
            <v>俄羅斯</v>
          </cell>
          <cell r="D46">
            <v>191764</v>
          </cell>
          <cell r="E46">
            <v>133</v>
          </cell>
        </row>
        <row r="47">
          <cell r="C47" t="str">
            <v>印尼</v>
          </cell>
          <cell r="D47">
            <v>161590</v>
          </cell>
          <cell r="E47">
            <v>74</v>
          </cell>
        </row>
        <row r="48">
          <cell r="C48" t="str">
            <v>哥斯大黎加</v>
          </cell>
          <cell r="D48">
            <v>141844</v>
          </cell>
          <cell r="E48">
            <v>99</v>
          </cell>
        </row>
        <row r="49">
          <cell r="C49" t="str">
            <v>越南</v>
          </cell>
          <cell r="D49">
            <v>130397</v>
          </cell>
          <cell r="E49">
            <v>77</v>
          </cell>
        </row>
        <row r="50">
          <cell r="C50" t="str">
            <v>愛沙尼亞</v>
          </cell>
          <cell r="D50">
            <v>123688</v>
          </cell>
          <cell r="E50">
            <v>238</v>
          </cell>
        </row>
        <row r="51">
          <cell r="C51" t="str">
            <v>委內瑞拉</v>
          </cell>
          <cell r="D51">
            <v>110620</v>
          </cell>
          <cell r="E51">
            <v>45</v>
          </cell>
        </row>
        <row r="52">
          <cell r="C52" t="str">
            <v>印度</v>
          </cell>
          <cell r="D52">
            <v>105309</v>
          </cell>
          <cell r="E52">
            <v>81</v>
          </cell>
        </row>
        <row r="53">
          <cell r="C53" t="str">
            <v>薩爾瓦多</v>
          </cell>
          <cell r="D53">
            <v>97393</v>
          </cell>
          <cell r="E53">
            <v>82</v>
          </cell>
        </row>
        <row r="54">
          <cell r="C54" t="str">
            <v>匈牙利</v>
          </cell>
          <cell r="D54">
            <v>95740</v>
          </cell>
          <cell r="E54">
            <v>103</v>
          </cell>
        </row>
        <row r="55">
          <cell r="C55" t="str">
            <v>波多黎各</v>
          </cell>
          <cell r="D55">
            <v>89126</v>
          </cell>
          <cell r="E55">
            <v>71</v>
          </cell>
        </row>
        <row r="56">
          <cell r="C56" t="str">
            <v>巴拉圭</v>
          </cell>
          <cell r="D56">
            <v>83561</v>
          </cell>
          <cell r="E56">
            <v>53</v>
          </cell>
        </row>
        <row r="57">
          <cell r="C57" t="str">
            <v>留尼旺</v>
          </cell>
          <cell r="D57">
            <v>82003</v>
          </cell>
          <cell r="E57">
            <v>45</v>
          </cell>
        </row>
        <row r="58">
          <cell r="C58" t="str">
            <v>秘魯</v>
          </cell>
          <cell r="D58">
            <v>66518</v>
          </cell>
          <cell r="E58">
            <v>24</v>
          </cell>
        </row>
        <row r="59">
          <cell r="C59" t="str">
            <v>立陶宛</v>
          </cell>
          <cell r="D59">
            <v>40159</v>
          </cell>
          <cell r="E59">
            <v>110</v>
          </cell>
        </row>
        <row r="60">
          <cell r="C60" t="str">
            <v>瓜地馬拉</v>
          </cell>
          <cell r="D60">
            <v>32305</v>
          </cell>
          <cell r="E60">
            <v>36</v>
          </cell>
        </row>
        <row r="61">
          <cell r="C61" t="str">
            <v>盧森堡</v>
          </cell>
          <cell r="D61">
            <v>26582</v>
          </cell>
          <cell r="E61">
            <v>13</v>
          </cell>
        </row>
        <row r="62">
          <cell r="C62" t="str">
            <v>以色列</v>
          </cell>
          <cell r="D62">
            <v>19173</v>
          </cell>
          <cell r="E62">
            <v>5</v>
          </cell>
        </row>
        <row r="63">
          <cell r="C63" t="str">
            <v>烏拉圭</v>
          </cell>
          <cell r="D63">
            <v>15803</v>
          </cell>
          <cell r="E63">
            <v>27</v>
          </cell>
        </row>
        <row r="64">
          <cell r="C64" t="str">
            <v>阿魯巴</v>
          </cell>
          <cell r="D64">
            <v>5374</v>
          </cell>
          <cell r="E64">
            <v>5</v>
          </cell>
        </row>
        <row r="65">
          <cell r="C65" t="str">
            <v>多哥</v>
          </cell>
          <cell r="D65">
            <v>190</v>
          </cell>
          <cell r="E65">
            <v>40</v>
          </cell>
        </row>
        <row r="66">
          <cell r="C66" t="str">
            <v>奈及利亞</v>
          </cell>
          <cell r="D66">
            <v>64</v>
          </cell>
          <cell r="E66">
            <v>12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115000008出"/>
      <sheetName val="40115000008進"/>
      <sheetName val="87149320906進"/>
      <sheetName val="87149320906出"/>
      <sheetName val="87149990157出"/>
      <sheetName val="87149990157進"/>
      <sheetName val="87149990166進"/>
      <sheetName val="87149990166出"/>
      <sheetName val="87149990148出"/>
      <sheetName val="87149990148進"/>
      <sheetName val="87149990139進"/>
      <sheetName val="87149990139出"/>
      <sheetName val="40132000003出"/>
      <sheetName val="40132000003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5366428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1383595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1114722</v>
          </cell>
        </row>
        <row r="13">
          <cell r="A13">
            <v>3</v>
          </cell>
          <cell r="B13" t="str">
            <v>ES</v>
          </cell>
          <cell r="C13" t="str">
            <v>西班牙</v>
          </cell>
          <cell r="D13" t="str">
            <v>Spain</v>
          </cell>
          <cell r="E13">
            <v>517838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470749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310366</v>
          </cell>
        </row>
        <row r="16">
          <cell r="A16">
            <v>6</v>
          </cell>
          <cell r="B16" t="str">
            <v>FR</v>
          </cell>
          <cell r="C16" t="str">
            <v>法國</v>
          </cell>
          <cell r="D16" t="str">
            <v>France</v>
          </cell>
          <cell r="E16">
            <v>201049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184038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182671</v>
          </cell>
        </row>
        <row r="19">
          <cell r="A19">
            <v>9</v>
          </cell>
          <cell r="B19" t="str">
            <v>CH</v>
          </cell>
          <cell r="C19" t="str">
            <v>瑞士</v>
          </cell>
          <cell r="D19" t="str">
            <v>Switzerland</v>
          </cell>
          <cell r="E19">
            <v>122162</v>
          </cell>
        </row>
        <row r="20">
          <cell r="A20">
            <v>10</v>
          </cell>
          <cell r="B20" t="str">
            <v>RU</v>
          </cell>
          <cell r="C20" t="str">
            <v>俄羅斯</v>
          </cell>
          <cell r="D20" t="str">
            <v>Russian Federation</v>
          </cell>
          <cell r="E20">
            <v>119841</v>
          </cell>
        </row>
        <row r="21">
          <cell r="A21">
            <v>11</v>
          </cell>
          <cell r="B21" t="str">
            <v>NZ</v>
          </cell>
          <cell r="C21" t="str">
            <v>紐西蘭</v>
          </cell>
          <cell r="D21" t="str">
            <v>New Zealand</v>
          </cell>
          <cell r="E21">
            <v>107155</v>
          </cell>
        </row>
        <row r="22">
          <cell r="A22">
            <v>12</v>
          </cell>
          <cell r="B22" t="str">
            <v>VN</v>
          </cell>
          <cell r="C22" t="str">
            <v>越南</v>
          </cell>
          <cell r="D22" t="str">
            <v>Viet Nam</v>
          </cell>
          <cell r="E22">
            <v>104324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1305928</v>
          </cell>
        </row>
        <row r="11">
          <cell r="A11">
            <v>1</v>
          </cell>
          <cell r="B11" t="str">
            <v>TH</v>
          </cell>
          <cell r="C11" t="str">
            <v>泰國</v>
          </cell>
          <cell r="D11" t="str">
            <v>Thailand</v>
          </cell>
          <cell r="E11">
            <v>444468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413925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200826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187028</v>
          </cell>
        </row>
        <row r="15">
          <cell r="A15">
            <v>5</v>
          </cell>
          <cell r="B15" t="str">
            <v>IT</v>
          </cell>
          <cell r="C15" t="str">
            <v>義大利</v>
          </cell>
          <cell r="D15" t="str">
            <v>Italy</v>
          </cell>
          <cell r="E15">
            <v>55866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3434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286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95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827900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687010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57869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49667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16122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7567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2734</v>
          </cell>
        </row>
        <row r="17">
          <cell r="A17">
            <v>7</v>
          </cell>
          <cell r="B17" t="str">
            <v>MY</v>
          </cell>
          <cell r="C17" t="str">
            <v>馬來西亞</v>
          </cell>
          <cell r="D17" t="str">
            <v>Malaysia</v>
          </cell>
          <cell r="E17">
            <v>2162</v>
          </cell>
        </row>
        <row r="18">
          <cell r="A18">
            <v>8</v>
          </cell>
          <cell r="B18" t="str">
            <v>ES</v>
          </cell>
          <cell r="C18" t="str">
            <v>西班牙</v>
          </cell>
          <cell r="D18" t="str">
            <v>Spain</v>
          </cell>
          <cell r="E18">
            <v>2035</v>
          </cell>
        </row>
        <row r="19">
          <cell r="A19">
            <v>9</v>
          </cell>
          <cell r="B19" t="str">
            <v>PH</v>
          </cell>
          <cell r="C19" t="str">
            <v>菲律賓</v>
          </cell>
          <cell r="D19" t="str">
            <v>Philippines</v>
          </cell>
          <cell r="E19">
            <v>1971</v>
          </cell>
        </row>
        <row r="20">
          <cell r="A20">
            <v>10</v>
          </cell>
          <cell r="B20" t="str">
            <v>DK</v>
          </cell>
          <cell r="C20" t="str">
            <v>丹麥</v>
          </cell>
          <cell r="D20" t="str">
            <v>Denmark</v>
          </cell>
          <cell r="E20">
            <v>763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4525465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980095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561463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525754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495515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419745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230875</v>
          </cell>
        </row>
        <row r="17">
          <cell r="A17">
            <v>7</v>
          </cell>
          <cell r="B17" t="str">
            <v>BG</v>
          </cell>
          <cell r="C17" t="str">
            <v>保加利亞</v>
          </cell>
          <cell r="D17" t="str">
            <v>Bulgaria</v>
          </cell>
          <cell r="E17">
            <v>156471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156058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152336</v>
          </cell>
        </row>
        <row r="20">
          <cell r="A20">
            <v>10</v>
          </cell>
          <cell r="B20" t="str">
            <v>KH</v>
          </cell>
          <cell r="C20" t="str">
            <v>柬埔寨</v>
          </cell>
          <cell r="D20" t="str">
            <v>Cambodia</v>
          </cell>
          <cell r="E20">
            <v>147248</v>
          </cell>
        </row>
        <row r="21">
          <cell r="A21">
            <v>11</v>
          </cell>
          <cell r="B21" t="str">
            <v>PT</v>
          </cell>
          <cell r="C21" t="str">
            <v>葡萄牙</v>
          </cell>
          <cell r="D21" t="str">
            <v>Portugal</v>
          </cell>
          <cell r="E21">
            <v>113323</v>
          </cell>
        </row>
        <row r="22">
          <cell r="A22">
            <v>12</v>
          </cell>
          <cell r="B22" t="str">
            <v>FR</v>
          </cell>
          <cell r="C22" t="str">
            <v>法國</v>
          </cell>
          <cell r="D22" t="str">
            <v>France</v>
          </cell>
          <cell r="E22">
            <v>106551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3752913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1079142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647187</v>
          </cell>
        </row>
        <row r="13">
          <cell r="A13">
            <v>3</v>
          </cell>
          <cell r="B13" t="str">
            <v>ES</v>
          </cell>
          <cell r="C13" t="str">
            <v>西班牙</v>
          </cell>
          <cell r="D13" t="str">
            <v>Spain</v>
          </cell>
          <cell r="E13">
            <v>354277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316122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179426</v>
          </cell>
        </row>
        <row r="16">
          <cell r="A16">
            <v>6</v>
          </cell>
          <cell r="B16" t="str">
            <v>BG</v>
          </cell>
          <cell r="C16" t="str">
            <v>保加利亞</v>
          </cell>
          <cell r="D16" t="str">
            <v>Bulgaria</v>
          </cell>
          <cell r="E16">
            <v>143816</v>
          </cell>
        </row>
        <row r="17">
          <cell r="A17">
            <v>7</v>
          </cell>
          <cell r="B17" t="str">
            <v>BR</v>
          </cell>
          <cell r="C17" t="str">
            <v>巴西</v>
          </cell>
          <cell r="D17" t="str">
            <v>Brazil</v>
          </cell>
          <cell r="E17">
            <v>129633</v>
          </cell>
        </row>
        <row r="18">
          <cell r="A18">
            <v>8</v>
          </cell>
          <cell r="B18" t="str">
            <v>LT</v>
          </cell>
          <cell r="C18" t="str">
            <v>立陶宛</v>
          </cell>
          <cell r="D18" t="str">
            <v>Lithuania</v>
          </cell>
          <cell r="E18">
            <v>108139</v>
          </cell>
        </row>
        <row r="19">
          <cell r="A19">
            <v>9</v>
          </cell>
          <cell r="B19" t="str">
            <v>VN</v>
          </cell>
          <cell r="C19" t="str">
            <v>越南</v>
          </cell>
          <cell r="D19" t="str">
            <v>Viet Nam</v>
          </cell>
          <cell r="E19">
            <v>95900</v>
          </cell>
        </row>
        <row r="20">
          <cell r="A20">
            <v>10</v>
          </cell>
          <cell r="B20" t="str">
            <v>CH</v>
          </cell>
          <cell r="C20" t="str">
            <v>瑞士</v>
          </cell>
          <cell r="D20" t="str">
            <v>Switzerland</v>
          </cell>
          <cell r="E20">
            <v>88395</v>
          </cell>
        </row>
        <row r="21">
          <cell r="A21">
            <v>11</v>
          </cell>
          <cell r="B21" t="str">
            <v>KH</v>
          </cell>
          <cell r="C21" t="str">
            <v>柬埔寨</v>
          </cell>
          <cell r="D21" t="str">
            <v>Cambodia</v>
          </cell>
          <cell r="E21">
            <v>80159</v>
          </cell>
        </row>
        <row r="22">
          <cell r="A22">
            <v>12</v>
          </cell>
          <cell r="B22" t="str">
            <v>FR</v>
          </cell>
          <cell r="C22" t="str">
            <v>法國</v>
          </cell>
          <cell r="D22" t="str">
            <v>France</v>
          </cell>
          <cell r="E22">
            <v>78442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1051878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833659</v>
          </cell>
        </row>
        <row r="12">
          <cell r="A12">
            <v>2</v>
          </cell>
          <cell r="B12" t="str">
            <v>TW</v>
          </cell>
          <cell r="C12" t="str">
            <v>中華民國</v>
          </cell>
          <cell r="D12" t="str">
            <v>Taiwan, Roc</v>
          </cell>
          <cell r="E12">
            <v>123402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82162</v>
          </cell>
        </row>
        <row r="14">
          <cell r="A14">
            <v>4</v>
          </cell>
          <cell r="B14" t="str">
            <v>ID</v>
          </cell>
          <cell r="C14" t="str">
            <v>印尼</v>
          </cell>
          <cell r="D14" t="str">
            <v>Indonesia</v>
          </cell>
          <cell r="E14">
            <v>4579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3561</v>
          </cell>
        </row>
        <row r="16">
          <cell r="A16">
            <v>6</v>
          </cell>
          <cell r="B16" t="str">
            <v>SG</v>
          </cell>
          <cell r="C16" t="str">
            <v>新加坡</v>
          </cell>
          <cell r="D16" t="str">
            <v>Singapore</v>
          </cell>
          <cell r="E16">
            <v>3339</v>
          </cell>
        </row>
        <row r="17">
          <cell r="A17">
            <v>7</v>
          </cell>
          <cell r="B17" t="str">
            <v>MM</v>
          </cell>
          <cell r="C17" t="str">
            <v>緬甸</v>
          </cell>
          <cell r="D17" t="str">
            <v>Myanmar</v>
          </cell>
          <cell r="E17">
            <v>1176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2147345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1338537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668711</v>
          </cell>
        </row>
        <row r="13">
          <cell r="A13">
            <v>3</v>
          </cell>
          <cell r="B13" t="str">
            <v>MM</v>
          </cell>
          <cell r="C13" t="str">
            <v>緬甸</v>
          </cell>
          <cell r="D13" t="str">
            <v>Myanmar</v>
          </cell>
          <cell r="E13">
            <v>125724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6741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4388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2544</v>
          </cell>
        </row>
        <row r="17">
          <cell r="A17">
            <v>7</v>
          </cell>
          <cell r="B17" t="str">
            <v>ID</v>
          </cell>
          <cell r="C17" t="str">
            <v>印尼</v>
          </cell>
          <cell r="D17" t="str">
            <v>Indonesia</v>
          </cell>
          <cell r="E17">
            <v>700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4365029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850811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563978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476155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406391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371095</v>
          </cell>
        </row>
        <row r="16">
          <cell r="A16">
            <v>6</v>
          </cell>
          <cell r="B16" t="str">
            <v>CZ</v>
          </cell>
          <cell r="C16" t="str">
            <v>捷克</v>
          </cell>
          <cell r="D16" t="str">
            <v>Czech Republic</v>
          </cell>
          <cell r="E16">
            <v>231096</v>
          </cell>
        </row>
        <row r="17">
          <cell r="A17">
            <v>7</v>
          </cell>
          <cell r="B17" t="str">
            <v>ES</v>
          </cell>
          <cell r="C17" t="str">
            <v>西班牙</v>
          </cell>
          <cell r="D17" t="str">
            <v>Spain</v>
          </cell>
          <cell r="E17">
            <v>174245</v>
          </cell>
        </row>
        <row r="18">
          <cell r="A18">
            <v>8</v>
          </cell>
          <cell r="B18" t="str">
            <v>TH</v>
          </cell>
          <cell r="C18" t="str">
            <v>泰國</v>
          </cell>
          <cell r="D18" t="str">
            <v>Thailand</v>
          </cell>
          <cell r="E18">
            <v>164833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147695</v>
          </cell>
        </row>
        <row r="20">
          <cell r="A20">
            <v>10</v>
          </cell>
          <cell r="B20" t="str">
            <v>CA</v>
          </cell>
          <cell r="C20" t="str">
            <v>加拿大</v>
          </cell>
          <cell r="D20" t="str">
            <v>Canada</v>
          </cell>
          <cell r="E20">
            <v>110906</v>
          </cell>
        </row>
        <row r="21">
          <cell r="A21">
            <v>11</v>
          </cell>
          <cell r="B21" t="str">
            <v>VN</v>
          </cell>
          <cell r="C21" t="str">
            <v>越南</v>
          </cell>
          <cell r="D21" t="str">
            <v>Viet Nam</v>
          </cell>
          <cell r="E21">
            <v>110144</v>
          </cell>
        </row>
        <row r="22">
          <cell r="A22">
            <v>12</v>
          </cell>
          <cell r="B22" t="str">
            <v>FR</v>
          </cell>
          <cell r="C22" t="str">
            <v>法國</v>
          </cell>
          <cell r="D22" t="str">
            <v>France</v>
          </cell>
          <cell r="E22">
            <v>104705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2385289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947062</v>
          </cell>
        </row>
        <row r="12">
          <cell r="A12">
            <v>2</v>
          </cell>
          <cell r="B12" t="str">
            <v>ES</v>
          </cell>
          <cell r="C12" t="str">
            <v>西班牙</v>
          </cell>
          <cell r="D12" t="str">
            <v>Spain</v>
          </cell>
          <cell r="E12">
            <v>183562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180703</v>
          </cell>
        </row>
        <row r="14">
          <cell r="A14">
            <v>4</v>
          </cell>
          <cell r="B14" t="str">
            <v>BG</v>
          </cell>
          <cell r="C14" t="str">
            <v>保加利亞</v>
          </cell>
          <cell r="D14" t="str">
            <v>Bulgaria</v>
          </cell>
          <cell r="E14">
            <v>167313</v>
          </cell>
        </row>
        <row r="15">
          <cell r="A15">
            <v>5</v>
          </cell>
          <cell r="B15" t="str">
            <v>NL</v>
          </cell>
          <cell r="C15" t="str">
            <v>荷蘭</v>
          </cell>
          <cell r="D15" t="str">
            <v>Netherlands</v>
          </cell>
          <cell r="E15">
            <v>148014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142545</v>
          </cell>
        </row>
        <row r="17">
          <cell r="A17">
            <v>7</v>
          </cell>
          <cell r="B17" t="str">
            <v>US</v>
          </cell>
          <cell r="C17" t="str">
            <v>美國</v>
          </cell>
          <cell r="D17" t="str">
            <v>United States</v>
          </cell>
          <cell r="E17">
            <v>119460</v>
          </cell>
        </row>
        <row r="18">
          <cell r="A18">
            <v>8</v>
          </cell>
          <cell r="B18" t="str">
            <v>HU</v>
          </cell>
          <cell r="C18" t="str">
            <v>匈牙利</v>
          </cell>
          <cell r="D18" t="str">
            <v>Hungary</v>
          </cell>
          <cell r="E18">
            <v>86678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70048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37679</v>
          </cell>
        </row>
        <row r="21">
          <cell r="A21">
            <v>11</v>
          </cell>
          <cell r="B21" t="str">
            <v>TR</v>
          </cell>
          <cell r="C21" t="str">
            <v>土耳其</v>
          </cell>
          <cell r="D21" t="str">
            <v>Turkiye</v>
          </cell>
          <cell r="E21">
            <v>36375</v>
          </cell>
        </row>
        <row r="22">
          <cell r="A22">
            <v>12</v>
          </cell>
          <cell r="B22" t="str">
            <v>GB</v>
          </cell>
          <cell r="C22" t="str">
            <v>英國</v>
          </cell>
          <cell r="D22" t="str">
            <v>United Kingdom</v>
          </cell>
          <cell r="E22">
            <v>34944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415134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353003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62131</v>
          </cell>
        </row>
      </sheetData>
      <sheetData sheetId="1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85715</v>
          </cell>
        </row>
        <row r="11">
          <cell r="A11">
            <v>1</v>
          </cell>
          <cell r="B11" t="str">
            <v>VN</v>
          </cell>
          <cell r="C11" t="str">
            <v>越南</v>
          </cell>
          <cell r="D11" t="str">
            <v>Viet Nam</v>
          </cell>
          <cell r="E11">
            <v>79428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6287</v>
          </cell>
        </row>
      </sheetData>
      <sheetData sheetId="1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231321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109031</v>
          </cell>
        </row>
        <row r="12">
          <cell r="A12">
            <v>2</v>
          </cell>
          <cell r="B12" t="str">
            <v>AE</v>
          </cell>
          <cell r="C12" t="str">
            <v>阿拉伯聯合大公國</v>
          </cell>
          <cell r="D12" t="str">
            <v>United Arab Emirates</v>
          </cell>
          <cell r="E12">
            <v>38983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29222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20603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10302</v>
          </cell>
        </row>
        <row r="16">
          <cell r="A16">
            <v>6</v>
          </cell>
          <cell r="B16" t="str">
            <v>PL</v>
          </cell>
          <cell r="C16" t="str">
            <v>波蘭</v>
          </cell>
          <cell r="D16" t="str">
            <v>Poland</v>
          </cell>
          <cell r="E16">
            <v>9221</v>
          </cell>
        </row>
        <row r="17">
          <cell r="A17">
            <v>7</v>
          </cell>
          <cell r="B17" t="str">
            <v>KH</v>
          </cell>
          <cell r="C17" t="str">
            <v>柬埔寨</v>
          </cell>
          <cell r="D17" t="str">
            <v>Cambodia</v>
          </cell>
          <cell r="E17">
            <v>8999</v>
          </cell>
        </row>
        <row r="18">
          <cell r="A18">
            <v>8</v>
          </cell>
          <cell r="B18" t="str">
            <v>DK</v>
          </cell>
          <cell r="C18" t="str">
            <v>丹麥</v>
          </cell>
          <cell r="D18" t="str">
            <v>Denmark</v>
          </cell>
          <cell r="E18">
            <v>2671</v>
          </cell>
        </row>
        <row r="19">
          <cell r="A19">
            <v>9</v>
          </cell>
          <cell r="B19" t="str">
            <v>ZA</v>
          </cell>
          <cell r="C19" t="str">
            <v>南非</v>
          </cell>
          <cell r="D19" t="str">
            <v>South Africa</v>
          </cell>
          <cell r="E19">
            <v>2194</v>
          </cell>
        </row>
        <row r="20">
          <cell r="A20">
            <v>10</v>
          </cell>
          <cell r="B20" t="str">
            <v>VN</v>
          </cell>
          <cell r="C20" t="str">
            <v>越南</v>
          </cell>
          <cell r="D20" t="str">
            <v>Viet Nam</v>
          </cell>
          <cell r="E20">
            <v>95</v>
          </cell>
        </row>
      </sheetData>
      <sheetData sheetId="1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493865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241303</v>
          </cell>
        </row>
        <row r="12">
          <cell r="A12">
            <v>2</v>
          </cell>
          <cell r="B12" t="str">
            <v>JP</v>
          </cell>
          <cell r="C12" t="str">
            <v>日本</v>
          </cell>
          <cell r="D12" t="str">
            <v>Japan</v>
          </cell>
          <cell r="E12">
            <v>95263</v>
          </cell>
        </row>
        <row r="13">
          <cell r="A13">
            <v>3</v>
          </cell>
          <cell r="B13" t="str">
            <v>DE</v>
          </cell>
          <cell r="C13" t="str">
            <v>德國</v>
          </cell>
          <cell r="D13" t="str">
            <v>Germany</v>
          </cell>
          <cell r="E13">
            <v>34149</v>
          </cell>
        </row>
        <row r="14">
          <cell r="A14">
            <v>4</v>
          </cell>
          <cell r="B14" t="str">
            <v>CA</v>
          </cell>
          <cell r="C14" t="str">
            <v>加拿大</v>
          </cell>
          <cell r="D14" t="str">
            <v>Canada</v>
          </cell>
          <cell r="E14">
            <v>29189</v>
          </cell>
        </row>
        <row r="15">
          <cell r="A15">
            <v>5</v>
          </cell>
          <cell r="B15" t="str">
            <v>MY</v>
          </cell>
          <cell r="C15" t="str">
            <v>馬來西亞</v>
          </cell>
          <cell r="D15" t="str">
            <v>Malaysia</v>
          </cell>
          <cell r="E15">
            <v>12623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12242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11287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10048</v>
          </cell>
        </row>
        <row r="19">
          <cell r="A19">
            <v>9</v>
          </cell>
          <cell r="B19" t="str">
            <v>AU</v>
          </cell>
          <cell r="C19" t="str">
            <v>澳大利亞</v>
          </cell>
          <cell r="D19" t="str">
            <v>Australia</v>
          </cell>
          <cell r="E19">
            <v>7250</v>
          </cell>
        </row>
        <row r="20">
          <cell r="A20">
            <v>10</v>
          </cell>
          <cell r="B20" t="str">
            <v>VN</v>
          </cell>
          <cell r="C20" t="str">
            <v>越南</v>
          </cell>
          <cell r="D20" t="str">
            <v>Viet Nam</v>
          </cell>
          <cell r="E20">
            <v>6424</v>
          </cell>
        </row>
        <row r="21">
          <cell r="A21">
            <v>11</v>
          </cell>
          <cell r="B21" t="str">
            <v>PT</v>
          </cell>
          <cell r="C21" t="str">
            <v>葡萄牙</v>
          </cell>
          <cell r="D21" t="str">
            <v>Portugal</v>
          </cell>
          <cell r="E21">
            <v>6392</v>
          </cell>
        </row>
        <row r="22">
          <cell r="A22">
            <v>12</v>
          </cell>
          <cell r="B22" t="str">
            <v>ZA</v>
          </cell>
          <cell r="C22" t="str">
            <v>南非</v>
          </cell>
          <cell r="D22" t="str">
            <v>South Africa</v>
          </cell>
          <cell r="E22">
            <v>5787</v>
          </cell>
        </row>
      </sheetData>
      <sheetData sheetId="1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104230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62156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33832</v>
          </cell>
        </row>
        <row r="13">
          <cell r="A13">
            <v>3</v>
          </cell>
          <cell r="B13" t="str">
            <v>TH</v>
          </cell>
          <cell r="C13" t="str">
            <v>泰國</v>
          </cell>
          <cell r="D13" t="str">
            <v>Thailand</v>
          </cell>
          <cell r="E13">
            <v>7695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318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210</v>
          </cell>
        </row>
        <row r="16">
          <cell r="A16">
            <v>6</v>
          </cell>
          <cell r="B16" t="str">
            <v>JP</v>
          </cell>
          <cell r="C16" t="str">
            <v>日本</v>
          </cell>
          <cell r="D16" t="str">
            <v>Japan</v>
          </cell>
          <cell r="E16">
            <v>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同"/>
      <sheetName val="進同"/>
      <sheetName val="進"/>
      <sheetName val="出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1143061198</v>
          </cell>
          <cell r="F11">
            <v>698748225</v>
          </cell>
          <cell r="G11">
            <v>20221716</v>
          </cell>
          <cell r="H11">
            <v>10666192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426602618</v>
          </cell>
          <cell r="F12">
            <v>187182159</v>
          </cell>
          <cell r="G12">
            <v>9939030</v>
          </cell>
          <cell r="H12">
            <v>3729292</v>
          </cell>
          <cell r="I12">
            <v>0</v>
          </cell>
          <cell r="J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179628182</v>
          </cell>
          <cell r="F13">
            <v>101424525</v>
          </cell>
          <cell r="G13">
            <v>2190514</v>
          </cell>
          <cell r="H13">
            <v>890186</v>
          </cell>
          <cell r="I13">
            <v>0</v>
          </cell>
          <cell r="J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127068555</v>
          </cell>
          <cell r="F14">
            <v>94788808</v>
          </cell>
          <cell r="G14">
            <v>3044667</v>
          </cell>
          <cell r="H14">
            <v>1914267</v>
          </cell>
          <cell r="I14">
            <v>0</v>
          </cell>
          <cell r="J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155436261</v>
          </cell>
          <cell r="F15">
            <v>93821729</v>
          </cell>
          <cell r="G15">
            <v>3733703</v>
          </cell>
          <cell r="H15">
            <v>1772595</v>
          </cell>
          <cell r="I15">
            <v>0</v>
          </cell>
          <cell r="J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101817130</v>
          </cell>
          <cell r="F16">
            <v>82757047</v>
          </cell>
          <cell r="G16">
            <v>1076744</v>
          </cell>
          <cell r="H16">
            <v>688733</v>
          </cell>
          <cell r="I16">
            <v>796697</v>
          </cell>
          <cell r="J16">
            <v>589451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124750657</v>
          </cell>
          <cell r="F17">
            <v>57560185</v>
          </cell>
          <cell r="G17">
            <v>2778347</v>
          </cell>
          <cell r="H17">
            <v>1296407</v>
          </cell>
          <cell r="I17">
            <v>0</v>
          </cell>
          <cell r="J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79159645</v>
          </cell>
          <cell r="F18">
            <v>50937920</v>
          </cell>
          <cell r="G18">
            <v>2594642</v>
          </cell>
          <cell r="H18">
            <v>1455447</v>
          </cell>
          <cell r="I18">
            <v>0</v>
          </cell>
          <cell r="J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99083454</v>
          </cell>
          <cell r="F19">
            <v>47102656</v>
          </cell>
          <cell r="G19">
            <v>1779438</v>
          </cell>
          <cell r="H19">
            <v>862236</v>
          </cell>
          <cell r="I19">
            <v>0</v>
          </cell>
          <cell r="J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99931735</v>
          </cell>
          <cell r="F20">
            <v>44051678</v>
          </cell>
          <cell r="G20">
            <v>4407479</v>
          </cell>
          <cell r="H20">
            <v>1772489</v>
          </cell>
          <cell r="I20">
            <v>0</v>
          </cell>
          <cell r="J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53237420</v>
          </cell>
          <cell r="F21">
            <v>35857188</v>
          </cell>
          <cell r="G21">
            <v>2485837</v>
          </cell>
          <cell r="H21">
            <v>1623086</v>
          </cell>
          <cell r="I21">
            <v>4617614</v>
          </cell>
          <cell r="J21">
            <v>3019340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59021350</v>
          </cell>
          <cell r="F22">
            <v>32659028</v>
          </cell>
          <cell r="G22">
            <v>2509982</v>
          </cell>
          <cell r="H22">
            <v>1307457</v>
          </cell>
          <cell r="I22">
            <v>0</v>
          </cell>
          <cell r="J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51414424</v>
          </cell>
          <cell r="F23">
            <v>28757953</v>
          </cell>
          <cell r="G23">
            <v>1497058</v>
          </cell>
          <cell r="H23">
            <v>742684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20417670</v>
          </cell>
          <cell r="F24">
            <v>10433705</v>
          </cell>
          <cell r="G24">
            <v>1870265</v>
          </cell>
          <cell r="H24">
            <v>797798</v>
          </cell>
          <cell r="I24">
            <v>252452037</v>
          </cell>
          <cell r="J24">
            <v>113158191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9131210</v>
          </cell>
          <cell r="F25">
            <v>4985633</v>
          </cell>
          <cell r="G25">
            <v>369580</v>
          </cell>
          <cell r="H25">
            <v>180479</v>
          </cell>
          <cell r="I25">
            <v>0</v>
          </cell>
          <cell r="J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7864910</v>
          </cell>
          <cell r="F26">
            <v>3895641</v>
          </cell>
          <cell r="G26">
            <v>334403</v>
          </cell>
          <cell r="H26">
            <v>211161</v>
          </cell>
          <cell r="I26">
            <v>0</v>
          </cell>
          <cell r="J26">
            <v>0</v>
          </cell>
        </row>
        <row r="27">
          <cell r="B27">
            <v>87149910001</v>
          </cell>
          <cell r="C27" t="str">
            <v>邊車零件</v>
          </cell>
          <cell r="D27" t="str">
            <v>Parts for side cars</v>
          </cell>
          <cell r="E27">
            <v>3221875</v>
          </cell>
          <cell r="F27">
            <v>3193968</v>
          </cell>
          <cell r="G27">
            <v>128094</v>
          </cell>
          <cell r="H27">
            <v>63410</v>
          </cell>
          <cell r="I27">
            <v>0</v>
          </cell>
          <cell r="J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4468823</v>
          </cell>
          <cell r="F28">
            <v>2716338</v>
          </cell>
          <cell r="G28">
            <v>129539</v>
          </cell>
          <cell r="H28">
            <v>69034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2990640</v>
          </cell>
          <cell r="F29">
            <v>859909</v>
          </cell>
          <cell r="G29">
            <v>128037</v>
          </cell>
          <cell r="H29">
            <v>43254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1444712</v>
          </cell>
          <cell r="F30">
            <v>757241</v>
          </cell>
          <cell r="G30">
            <v>41439</v>
          </cell>
          <cell r="H30">
            <v>20959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44576629</v>
          </cell>
          <cell r="F31">
            <v>0</v>
          </cell>
          <cell r="G31">
            <v>1079441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8946776</v>
          </cell>
          <cell r="F32">
            <v>0</v>
          </cell>
          <cell r="G32">
            <v>324138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25741049</v>
          </cell>
          <cell r="F33">
            <v>10832540</v>
          </cell>
          <cell r="G33">
            <v>205101</v>
          </cell>
          <cell r="H33">
            <v>96827</v>
          </cell>
          <cell r="I33">
            <v>1799712</v>
          </cell>
          <cell r="J33">
            <v>824005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11844965</v>
          </cell>
          <cell r="F34">
            <v>6450262</v>
          </cell>
          <cell r="G34">
            <v>80824</v>
          </cell>
          <cell r="H34">
            <v>37234</v>
          </cell>
          <cell r="I34">
            <v>856955</v>
          </cell>
          <cell r="J34">
            <v>424314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63913441</v>
          </cell>
          <cell r="F35">
            <v>30456646</v>
          </cell>
          <cell r="G35">
            <v>2744468</v>
          </cell>
          <cell r="H35">
            <v>1165204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148655901</v>
          </cell>
          <cell r="F36">
            <v>75164468</v>
          </cell>
          <cell r="G36">
            <v>8579404</v>
          </cell>
          <cell r="H36">
            <v>4271928</v>
          </cell>
          <cell r="I36">
            <v>11789983</v>
          </cell>
          <cell r="J36">
            <v>5871505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22567174</v>
          </cell>
          <cell r="F37">
            <v>5967673</v>
          </cell>
          <cell r="G37">
            <v>2091617</v>
          </cell>
          <cell r="H37">
            <v>574778</v>
          </cell>
          <cell r="I37">
            <v>11412746</v>
          </cell>
          <cell r="J37">
            <v>3159511</v>
          </cell>
        </row>
      </sheetData>
      <sheetData sheetId="1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527627735</v>
          </cell>
          <cell r="F11">
            <v>381046351</v>
          </cell>
          <cell r="G11">
            <v>11519253</v>
          </cell>
          <cell r="H11">
            <v>5646361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170014454</v>
          </cell>
          <cell r="F12">
            <v>109426346</v>
          </cell>
          <cell r="G12">
            <v>4258721</v>
          </cell>
          <cell r="H12">
            <v>1484956</v>
          </cell>
          <cell r="I12">
            <v>0</v>
          </cell>
          <cell r="J12">
            <v>0</v>
          </cell>
        </row>
        <row r="13">
          <cell r="B13">
            <v>87149200108</v>
          </cell>
          <cell r="C13" t="str">
            <v>輪圈</v>
          </cell>
          <cell r="D13" t="str">
            <v>Wheel rims</v>
          </cell>
          <cell r="E13">
            <v>88015940</v>
          </cell>
          <cell r="F13">
            <v>59875241</v>
          </cell>
          <cell r="G13">
            <v>1580030</v>
          </cell>
          <cell r="H13">
            <v>810578</v>
          </cell>
          <cell r="I13">
            <v>3340196</v>
          </cell>
          <cell r="J13">
            <v>1598459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80305477</v>
          </cell>
          <cell r="F14">
            <v>56137619</v>
          </cell>
          <cell r="G14">
            <v>1527002</v>
          </cell>
          <cell r="H14">
            <v>568195</v>
          </cell>
          <cell r="I14">
            <v>0</v>
          </cell>
          <cell r="J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56718697</v>
          </cell>
          <cell r="F15">
            <v>39512760</v>
          </cell>
          <cell r="G15">
            <v>2573895</v>
          </cell>
          <cell r="H15">
            <v>1176994</v>
          </cell>
          <cell r="I15">
            <v>0</v>
          </cell>
          <cell r="J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 t="str">
            <v>Hubs, other than coaster braking hubs and hub brakes</v>
          </cell>
          <cell r="E16">
            <v>69290626</v>
          </cell>
          <cell r="F16">
            <v>39130083</v>
          </cell>
          <cell r="G16">
            <v>2284409</v>
          </cell>
          <cell r="H16">
            <v>1015459</v>
          </cell>
          <cell r="I16">
            <v>0</v>
          </cell>
          <cell r="J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31793406</v>
          </cell>
          <cell r="F17">
            <v>23250912</v>
          </cell>
          <cell r="G17">
            <v>918368</v>
          </cell>
          <cell r="H17">
            <v>396622</v>
          </cell>
          <cell r="I17">
            <v>0</v>
          </cell>
          <cell r="J17">
            <v>0</v>
          </cell>
        </row>
        <row r="18">
          <cell r="B18">
            <v>87149320906</v>
          </cell>
          <cell r="C18" t="str">
            <v>其他飛輪之鏈輪</v>
          </cell>
          <cell r="D18" t="str">
            <v>Other free-wheel sprocket-wheels</v>
          </cell>
          <cell r="E18">
            <v>16977943</v>
          </cell>
          <cell r="F18">
            <v>17698047</v>
          </cell>
          <cell r="G18">
            <v>635697</v>
          </cell>
          <cell r="H18">
            <v>445485</v>
          </cell>
          <cell r="I18">
            <v>0</v>
          </cell>
          <cell r="J18">
            <v>0</v>
          </cell>
        </row>
        <row r="19">
          <cell r="B19">
            <v>87149990157</v>
          </cell>
          <cell r="C19" t="str">
            <v>腳踏車用座管及上下管</v>
          </cell>
          <cell r="D19" t="str">
            <v>Seat tube, top tube and down tube of bicycles</v>
          </cell>
          <cell r="E19">
            <v>18127046</v>
          </cell>
          <cell r="F19">
            <v>13957960</v>
          </cell>
          <cell r="G19">
            <v>823683</v>
          </cell>
          <cell r="H19">
            <v>354051</v>
          </cell>
          <cell r="I19">
            <v>0</v>
          </cell>
          <cell r="J19">
            <v>0</v>
          </cell>
        </row>
        <row r="20">
          <cell r="B20">
            <v>87149500007</v>
          </cell>
          <cell r="C20" t="str">
            <v>腳踏車車座</v>
          </cell>
          <cell r="D20" t="str">
            <v>Saddles of cycles</v>
          </cell>
          <cell r="E20">
            <v>29156207</v>
          </cell>
          <cell r="F20">
            <v>10423335</v>
          </cell>
          <cell r="G20">
            <v>1846504</v>
          </cell>
          <cell r="H20">
            <v>615156</v>
          </cell>
          <cell r="I20">
            <v>0</v>
          </cell>
          <cell r="J20">
            <v>0</v>
          </cell>
        </row>
        <row r="21">
          <cell r="B21">
            <v>87149200304</v>
          </cell>
          <cell r="C21" t="str">
            <v>輪圈及輪幅</v>
          </cell>
          <cell r="D21" t="str">
            <v>Wheel rims and spokes</v>
          </cell>
          <cell r="E21">
            <v>11457126</v>
          </cell>
          <cell r="F21">
            <v>8835023</v>
          </cell>
          <cell r="G21">
            <v>315405</v>
          </cell>
          <cell r="H21">
            <v>216395</v>
          </cell>
          <cell r="I21">
            <v>2298577</v>
          </cell>
          <cell r="J21">
            <v>870170</v>
          </cell>
        </row>
        <row r="22">
          <cell r="B22">
            <v>87149200206</v>
          </cell>
          <cell r="C22" t="str">
            <v>輪幅</v>
          </cell>
          <cell r="D22" t="str">
            <v>Wheel spokes</v>
          </cell>
          <cell r="E22">
            <v>13614396</v>
          </cell>
          <cell r="F22">
            <v>8097060</v>
          </cell>
          <cell r="G22">
            <v>201777</v>
          </cell>
          <cell r="H22">
            <v>103940</v>
          </cell>
          <cell r="I22">
            <v>38732941</v>
          </cell>
          <cell r="J22">
            <v>17472544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9018310</v>
          </cell>
          <cell r="F23">
            <v>4603552</v>
          </cell>
          <cell r="G23">
            <v>484955</v>
          </cell>
          <cell r="H23">
            <v>155411</v>
          </cell>
          <cell r="I23">
            <v>0</v>
          </cell>
          <cell r="J23">
            <v>0</v>
          </cell>
        </row>
        <row r="24">
          <cell r="B24">
            <v>87149320103</v>
          </cell>
          <cell r="C24" t="str">
            <v>裝有棘輪機構之單一鏈輪　</v>
          </cell>
          <cell r="D24" t="str">
            <v>Single sprocket-wheel, fitted with ratchet mechanism</v>
          </cell>
          <cell r="E24">
            <v>6709975</v>
          </cell>
          <cell r="F24">
            <v>4336628</v>
          </cell>
          <cell r="G24">
            <v>143577</v>
          </cell>
          <cell r="H24">
            <v>82008</v>
          </cell>
          <cell r="I24">
            <v>0</v>
          </cell>
          <cell r="J24">
            <v>0</v>
          </cell>
        </row>
        <row r="25">
          <cell r="B25">
            <v>87149610004</v>
          </cell>
          <cell r="C25" t="str">
            <v>踏板及其零件</v>
          </cell>
          <cell r="D25" t="str">
            <v>Pedals and parts thereof</v>
          </cell>
          <cell r="E25">
            <v>8952506</v>
          </cell>
          <cell r="F25">
            <v>4117620</v>
          </cell>
          <cell r="G25">
            <v>797866</v>
          </cell>
          <cell r="H25">
            <v>250838</v>
          </cell>
          <cell r="I25">
            <v>0</v>
          </cell>
          <cell r="J25">
            <v>0</v>
          </cell>
        </row>
        <row r="26">
          <cell r="B26">
            <v>87149410006</v>
          </cell>
          <cell r="C26" t="str">
            <v>鋼?煞車器及其零件</v>
          </cell>
          <cell r="D26" t="str">
            <v>Caliper brake, and parts thereof</v>
          </cell>
          <cell r="E26">
            <v>11214266</v>
          </cell>
          <cell r="F26">
            <v>3375865</v>
          </cell>
          <cell r="G26">
            <v>171108</v>
          </cell>
          <cell r="H26">
            <v>57626</v>
          </cell>
          <cell r="I26">
            <v>0</v>
          </cell>
          <cell r="J26">
            <v>0</v>
          </cell>
        </row>
        <row r="27">
          <cell r="B27">
            <v>87149920009</v>
          </cell>
          <cell r="C27" t="str">
            <v>車輛用反光片、帶</v>
          </cell>
          <cell r="D27" t="str">
            <v>Reflective sheets and bands, suitable for vehicles use</v>
          </cell>
          <cell r="E27">
            <v>2935631</v>
          </cell>
          <cell r="F27">
            <v>1584998</v>
          </cell>
          <cell r="G27">
            <v>266469</v>
          </cell>
          <cell r="H27">
            <v>142016</v>
          </cell>
          <cell r="I27">
            <v>0</v>
          </cell>
          <cell r="J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2150076</v>
          </cell>
          <cell r="F28">
            <v>1357339</v>
          </cell>
          <cell r="G28">
            <v>204631</v>
          </cell>
          <cell r="H28">
            <v>101782</v>
          </cell>
          <cell r="I28">
            <v>0</v>
          </cell>
          <cell r="J28">
            <v>0</v>
          </cell>
        </row>
        <row r="29">
          <cell r="B29">
            <v>87149420004</v>
          </cell>
          <cell r="C29" t="str">
            <v>倒煞車輪轂及其零件</v>
          </cell>
          <cell r="D29" t="str">
            <v>Coaster braking hub and parts thereof</v>
          </cell>
          <cell r="E29">
            <v>453442</v>
          </cell>
          <cell r="F29">
            <v>232772</v>
          </cell>
          <cell r="G29">
            <v>45437</v>
          </cell>
          <cell r="H29">
            <v>37139</v>
          </cell>
          <cell r="I29">
            <v>0</v>
          </cell>
          <cell r="J29">
            <v>0</v>
          </cell>
        </row>
        <row r="30">
          <cell r="B30">
            <v>87149910001</v>
          </cell>
          <cell r="C30" t="str">
            <v>邊車零件</v>
          </cell>
          <cell r="D30" t="str">
            <v>Parts for side cars</v>
          </cell>
          <cell r="E30">
            <v>161381</v>
          </cell>
          <cell r="F30">
            <v>230793</v>
          </cell>
          <cell r="G30">
            <v>2868</v>
          </cell>
          <cell r="H30">
            <v>3949</v>
          </cell>
          <cell r="I30">
            <v>0</v>
          </cell>
          <cell r="J30">
            <v>0</v>
          </cell>
        </row>
        <row r="31">
          <cell r="B31">
            <v>87149990120</v>
          </cell>
          <cell r="C31" t="str">
            <v>腳踏車用飛輪</v>
          </cell>
          <cell r="D31" t="str">
            <v>Free wheel of bicycles</v>
          </cell>
          <cell r="E31">
            <v>2244982</v>
          </cell>
          <cell r="F31">
            <v>0</v>
          </cell>
          <cell r="G31">
            <v>102163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87149320005</v>
          </cell>
          <cell r="C32" t="str">
            <v>飛輪之鏈輪</v>
          </cell>
          <cell r="D32" t="str">
            <v>Free-wheel sprocket-wheels</v>
          </cell>
          <cell r="E32">
            <v>9045723</v>
          </cell>
          <cell r="F32">
            <v>0</v>
          </cell>
          <cell r="G32">
            <v>337809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40115000008</v>
          </cell>
          <cell r="C33" t="str">
            <v>新橡膠氣胎，腳踏車用</v>
          </cell>
          <cell r="D33" t="str">
            <v>New pneumatic tyres, of rubber, of a kind used on bicycles</v>
          </cell>
          <cell r="E33">
            <v>35826077</v>
          </cell>
          <cell r="F33">
            <v>22144775</v>
          </cell>
          <cell r="G33">
            <v>3477108</v>
          </cell>
          <cell r="H33">
            <v>1923052</v>
          </cell>
          <cell r="I33">
            <v>4769345</v>
          </cell>
          <cell r="J33">
            <v>2778654</v>
          </cell>
        </row>
        <row r="34">
          <cell r="B34">
            <v>40132000003</v>
          </cell>
          <cell r="C34" t="str">
            <v>橡膠內胎，腳踏車用</v>
          </cell>
          <cell r="D34" t="str">
            <v>Inner tubes, of rubber, of a kind used on bicycles</v>
          </cell>
          <cell r="E34">
            <v>3383252</v>
          </cell>
          <cell r="F34">
            <v>2304976</v>
          </cell>
          <cell r="G34">
            <v>570093</v>
          </cell>
          <cell r="H34">
            <v>351580</v>
          </cell>
          <cell r="I34">
            <v>2913313</v>
          </cell>
          <cell r="J34">
            <v>1766539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19093286</v>
          </cell>
          <cell r="F35">
            <v>9777047</v>
          </cell>
          <cell r="G35">
            <v>2026041</v>
          </cell>
          <cell r="H35">
            <v>765992</v>
          </cell>
          <cell r="I35">
            <v>0</v>
          </cell>
          <cell r="J35">
            <v>0</v>
          </cell>
        </row>
        <row r="36">
          <cell r="B36">
            <v>85121010001</v>
          </cell>
          <cell r="C36" t="str">
            <v>腳踏車用電氣照明設備</v>
          </cell>
          <cell r="D36" t="str">
            <v>Electrical lighting equipment of a kind used on bicycles</v>
          </cell>
          <cell r="E36">
            <v>4812690</v>
          </cell>
          <cell r="F36">
            <v>2922862</v>
          </cell>
          <cell r="G36">
            <v>80483</v>
          </cell>
          <cell r="H36">
            <v>44485</v>
          </cell>
          <cell r="I36">
            <v>1510238</v>
          </cell>
          <cell r="J36">
            <v>761556</v>
          </cell>
        </row>
        <row r="37">
          <cell r="B37">
            <v>85121020009</v>
          </cell>
          <cell r="C37" t="str">
            <v>腳踏車用視覺信號設備</v>
          </cell>
          <cell r="D37" t="str">
            <v>Electrical visual signalling equipment of a kind use on bicycles</v>
          </cell>
          <cell r="E37">
            <v>2937674</v>
          </cell>
          <cell r="F37">
            <v>1824531</v>
          </cell>
          <cell r="G37">
            <v>38999</v>
          </cell>
          <cell r="H37">
            <v>22426</v>
          </cell>
          <cell r="I37">
            <v>830469</v>
          </cell>
          <cell r="J37">
            <v>431246</v>
          </cell>
        </row>
      </sheetData>
      <sheetData sheetId="2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22869942</v>
          </cell>
          <cell r="F11">
            <v>310593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5274783</v>
          </cell>
          <cell r="F12">
            <v>99212</v>
          </cell>
          <cell r="G12">
            <v>0</v>
          </cell>
        </row>
        <row r="13">
          <cell r="B13">
            <v>87149200108</v>
          </cell>
          <cell r="C13" t="str">
            <v>輪圈</v>
          </cell>
          <cell r="D13" t="str">
            <v>Wheel rims</v>
          </cell>
          <cell r="E13">
            <v>4459574</v>
          </cell>
          <cell r="F13">
            <v>42431</v>
          </cell>
          <cell r="G13">
            <v>133953</v>
          </cell>
        </row>
        <row r="14">
          <cell r="B14">
            <v>87149620002</v>
          </cell>
          <cell r="C14" t="str">
            <v>曲柄齒輪及其零件</v>
          </cell>
          <cell r="D14" t="str">
            <v>Crank-gear and parts thereof</v>
          </cell>
          <cell r="E14">
            <v>2706443</v>
          </cell>
          <cell r="F14">
            <v>60925</v>
          </cell>
          <cell r="G14">
            <v>0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2534027</v>
          </cell>
          <cell r="F15">
            <v>37988</v>
          </cell>
          <cell r="G15">
            <v>0</v>
          </cell>
        </row>
        <row r="16">
          <cell r="B16">
            <v>87149990166</v>
          </cell>
          <cell r="C16" t="str">
            <v>腳踏車用把手</v>
          </cell>
          <cell r="D16" t="str">
            <v>Handle-bar of bicycles</v>
          </cell>
          <cell r="E16">
            <v>2147345</v>
          </cell>
          <cell r="F16">
            <v>26156</v>
          </cell>
          <cell r="G16">
            <v>0</v>
          </cell>
        </row>
        <row r="17">
          <cell r="B17">
            <v>87149310007</v>
          </cell>
          <cell r="C17" t="str">
            <v>輪轂，但倒煞車輪轂及輪轂煞車除外</v>
          </cell>
          <cell r="D17" t="str">
            <v>Hubs, other than coaster braking hubs and hub brakes</v>
          </cell>
          <cell r="E17">
            <v>1900469</v>
          </cell>
          <cell r="F17">
            <v>48840</v>
          </cell>
          <cell r="G17">
            <v>0</v>
          </cell>
        </row>
        <row r="18">
          <cell r="B18">
            <v>87149990157</v>
          </cell>
          <cell r="C18" t="str">
            <v>腳踏車用座管及上下管</v>
          </cell>
          <cell r="D18" t="str">
            <v>Seat tube, top tube and down tube of bicycles</v>
          </cell>
          <cell r="E18">
            <v>1051878</v>
          </cell>
          <cell r="F18">
            <v>22321</v>
          </cell>
          <cell r="G18">
            <v>0</v>
          </cell>
        </row>
        <row r="19">
          <cell r="B19">
            <v>87149320906</v>
          </cell>
          <cell r="C19" t="str">
            <v>其他飛輪之鏈輪</v>
          </cell>
          <cell r="D19" t="str">
            <v>Other free-wheel sprocket-wheels</v>
          </cell>
          <cell r="E19">
            <v>827900</v>
          </cell>
          <cell r="F19">
            <v>18923</v>
          </cell>
          <cell r="G19">
            <v>0</v>
          </cell>
        </row>
        <row r="20">
          <cell r="B20">
            <v>87149200304</v>
          </cell>
          <cell r="C20" t="str">
            <v>輪圈及輪幅</v>
          </cell>
          <cell r="D20" t="str">
            <v>Wheel rims and spokes</v>
          </cell>
          <cell r="E20">
            <v>800507</v>
          </cell>
          <cell r="F20">
            <v>11215</v>
          </cell>
          <cell r="G20">
            <v>16366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739810</v>
          </cell>
          <cell r="F21">
            <v>44812</v>
          </cell>
          <cell r="G21">
            <v>0</v>
          </cell>
        </row>
        <row r="22">
          <cell r="B22">
            <v>87149200206</v>
          </cell>
          <cell r="C22" t="str">
            <v>輪幅</v>
          </cell>
          <cell r="D22" t="str">
            <v>Wheel spokes</v>
          </cell>
          <cell r="E22">
            <v>487758</v>
          </cell>
          <cell r="F22">
            <v>8799</v>
          </cell>
          <cell r="G22">
            <v>1307336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415134</v>
          </cell>
          <cell r="F23">
            <v>13904</v>
          </cell>
          <cell r="G23">
            <v>0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198153</v>
          </cell>
          <cell r="F24">
            <v>1728</v>
          </cell>
          <cell r="G24">
            <v>0</v>
          </cell>
        </row>
        <row r="25">
          <cell r="B25">
            <v>87149610004</v>
          </cell>
          <cell r="C25" t="str">
            <v>踏板及其零件</v>
          </cell>
          <cell r="D25" t="str">
            <v>Pedals and parts thereof</v>
          </cell>
          <cell r="E25">
            <v>174478</v>
          </cell>
          <cell r="F25">
            <v>23470</v>
          </cell>
          <cell r="G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85715</v>
          </cell>
          <cell r="F26">
            <v>9016</v>
          </cell>
          <cell r="G26">
            <v>0</v>
          </cell>
        </row>
        <row r="27">
          <cell r="B27">
            <v>87149920009</v>
          </cell>
          <cell r="C27" t="str">
            <v>車輛用反光片、帶</v>
          </cell>
          <cell r="D27" t="str">
            <v>Reflective sheets and bands, suitable for vehicles use</v>
          </cell>
          <cell r="E27">
            <v>60317</v>
          </cell>
          <cell r="F27">
            <v>7165</v>
          </cell>
          <cell r="G27">
            <v>0</v>
          </cell>
        </row>
        <row r="28">
          <cell r="B28">
            <v>87149320103</v>
          </cell>
          <cell r="C28" t="str">
            <v>裝有棘輪機構之單一鏈輪　</v>
          </cell>
          <cell r="D28" t="str">
            <v>Single sprocket-wheel, fitted with ratchet mechanism</v>
          </cell>
          <cell r="E28">
            <v>16344</v>
          </cell>
          <cell r="F28">
            <v>483</v>
          </cell>
          <cell r="G28">
            <v>0</v>
          </cell>
        </row>
        <row r="29">
          <cell r="B29">
            <v>87149420004</v>
          </cell>
          <cell r="C29" t="str">
            <v>倒煞車輪轂及其零件</v>
          </cell>
          <cell r="D29" t="str">
            <v>Coaster braking hub and parts thereof</v>
          </cell>
          <cell r="E29">
            <v>8553</v>
          </cell>
          <cell r="F29">
            <v>717</v>
          </cell>
          <cell r="G29">
            <v>0</v>
          </cell>
        </row>
        <row r="30">
          <cell r="B30">
            <v>87149910001</v>
          </cell>
          <cell r="C30" t="str">
            <v>邊車零件</v>
          </cell>
          <cell r="D30" t="str">
            <v>Parts for side cars</v>
          </cell>
          <cell r="E30">
            <v>4516</v>
          </cell>
          <cell r="F30">
            <v>50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223508</v>
          </cell>
          <cell r="F31">
            <v>3539</v>
          </cell>
          <cell r="G31">
            <v>45128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54116</v>
          </cell>
          <cell r="F32">
            <v>988</v>
          </cell>
          <cell r="G32">
            <v>27093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426078</v>
          </cell>
          <cell r="F33">
            <v>49185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1305928</v>
          </cell>
          <cell r="F34">
            <v>112196</v>
          </cell>
          <cell r="G34">
            <v>165764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104230</v>
          </cell>
          <cell r="F35">
            <v>16336</v>
          </cell>
          <cell r="G35">
            <v>86972</v>
          </cell>
        </row>
      </sheetData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48803763</v>
          </cell>
          <cell r="F11">
            <v>705336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15178375</v>
          </cell>
          <cell r="F12">
            <v>350096</v>
          </cell>
          <cell r="G12">
            <v>0</v>
          </cell>
        </row>
        <row r="13">
          <cell r="B13">
            <v>87149620002</v>
          </cell>
          <cell r="C13" t="str">
            <v>曲柄齒輪及其零件</v>
          </cell>
          <cell r="D13" t="str">
            <v>Crank-gear and parts thereof</v>
          </cell>
          <cell r="E13">
            <v>7278187</v>
          </cell>
          <cell r="F13">
            <v>144820</v>
          </cell>
          <cell r="G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7168776</v>
          </cell>
          <cell r="F14">
            <v>64852</v>
          </cell>
          <cell r="G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6585252</v>
          </cell>
          <cell r="F15">
            <v>51831</v>
          </cell>
          <cell r="G15">
            <v>53348</v>
          </cell>
        </row>
        <row r="16">
          <cell r="B16">
            <v>87149320906</v>
          </cell>
          <cell r="C16" t="str">
            <v>其他飛輪之鏈輪</v>
          </cell>
          <cell r="D16" t="str">
            <v>Other free-wheel sprocket-wheels</v>
          </cell>
          <cell r="E16">
            <v>4525465</v>
          </cell>
          <cell r="F16">
            <v>96195</v>
          </cell>
          <cell r="G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4365029</v>
          </cell>
          <cell r="F17">
            <v>117375</v>
          </cell>
          <cell r="G17">
            <v>0</v>
          </cell>
        </row>
        <row r="18">
          <cell r="B18">
            <v>87149990157</v>
          </cell>
          <cell r="C18" t="str">
            <v>腳踏車用座管及上下管</v>
          </cell>
          <cell r="D18" t="str">
            <v>Seat tube, top tube and down tube of bicycles</v>
          </cell>
          <cell r="E18">
            <v>3752913</v>
          </cell>
          <cell r="F18">
            <v>79626</v>
          </cell>
          <cell r="G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3258705</v>
          </cell>
          <cell r="F19">
            <v>52763</v>
          </cell>
          <cell r="G19">
            <v>0</v>
          </cell>
        </row>
        <row r="20">
          <cell r="B20">
            <v>87149200108</v>
          </cell>
          <cell r="C20" t="str">
            <v>輪圈</v>
          </cell>
          <cell r="D20" t="str">
            <v>Wheel rims</v>
          </cell>
          <cell r="E20">
            <v>2948939</v>
          </cell>
          <cell r="F20">
            <v>121098</v>
          </cell>
          <cell r="G20">
            <v>220428</v>
          </cell>
        </row>
        <row r="21">
          <cell r="B21">
            <v>87149610004</v>
          </cell>
          <cell r="C21" t="str">
            <v>踏板及其零件</v>
          </cell>
          <cell r="D21" t="str">
            <v>Pedals and parts thereof</v>
          </cell>
          <cell r="E21">
            <v>2620803</v>
          </cell>
          <cell r="F21">
            <v>109739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2385289</v>
          </cell>
          <cell r="F22">
            <v>62958</v>
          </cell>
          <cell r="G22">
            <v>0</v>
          </cell>
        </row>
        <row r="23">
          <cell r="B23">
            <v>87149500007</v>
          </cell>
          <cell r="C23" t="str">
            <v>腳踏車車座</v>
          </cell>
          <cell r="D23" t="str">
            <v>Saddles of cycles</v>
          </cell>
          <cell r="E23">
            <v>2268398</v>
          </cell>
          <cell r="F23">
            <v>81861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1017301</v>
          </cell>
          <cell r="F24">
            <v>67818</v>
          </cell>
          <cell r="G24">
            <v>9175440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428967</v>
          </cell>
          <cell r="F25">
            <v>9808</v>
          </cell>
          <cell r="G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231321</v>
          </cell>
          <cell r="F26">
            <v>12300</v>
          </cell>
          <cell r="G26">
            <v>0</v>
          </cell>
        </row>
        <row r="27">
          <cell r="B27">
            <v>87149420004</v>
          </cell>
          <cell r="C27" t="str">
            <v>倒煞車輪轂及其零件</v>
          </cell>
          <cell r="D27" t="str">
            <v>Coaster braking hub and parts thereof</v>
          </cell>
          <cell r="E27">
            <v>186200</v>
          </cell>
          <cell r="F27">
            <v>4997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74721</v>
          </cell>
          <cell r="F28">
            <v>901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61750</v>
          </cell>
          <cell r="F29">
            <v>2470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51192</v>
          </cell>
          <cell r="F30">
            <v>1076</v>
          </cell>
          <cell r="G30">
            <v>0</v>
          </cell>
        </row>
        <row r="31">
          <cell r="B31">
            <v>40132000003</v>
          </cell>
          <cell r="C31" t="str">
            <v>橡膠內胎，腳踏車用</v>
          </cell>
          <cell r="D31" t="str">
            <v>Inner tubes, of rubber, of a kind used on bicycles</v>
          </cell>
          <cell r="E31">
            <v>493865</v>
          </cell>
          <cell r="F31">
            <v>41357</v>
          </cell>
          <cell r="G31">
            <v>237461</v>
          </cell>
        </row>
        <row r="32">
          <cell r="B32">
            <v>40115000008</v>
          </cell>
          <cell r="C32" t="str">
            <v>新橡膠氣胎，腳踏車用</v>
          </cell>
          <cell r="D32" t="str">
            <v>New pneumatic tyres, of rubber, of a kind used on bicycles</v>
          </cell>
          <cell r="E32">
            <v>5366428</v>
          </cell>
          <cell r="F32">
            <v>310604</v>
          </cell>
          <cell r="G32">
            <v>476614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1518156</v>
          </cell>
          <cell r="F33">
            <v>68860</v>
          </cell>
          <cell r="G33">
            <v>0</v>
          </cell>
        </row>
        <row r="34">
          <cell r="B34">
            <v>85121010001</v>
          </cell>
          <cell r="C34" t="str">
            <v>腳踏車用電氣照明設備</v>
          </cell>
          <cell r="D34" t="str">
            <v>Electrical lighting equipment of a kind used on bicycles</v>
          </cell>
          <cell r="E34">
            <v>1129762</v>
          </cell>
          <cell r="F34">
            <v>13756</v>
          </cell>
          <cell r="G34">
            <v>119628</v>
          </cell>
        </row>
        <row r="35">
          <cell r="B35">
            <v>85121020009</v>
          </cell>
          <cell r="C35" t="str">
            <v>腳踏車用視覺信號設備</v>
          </cell>
          <cell r="D35" t="str">
            <v>Electrical visual signalling equipment of a kind use on bicycles</v>
          </cell>
          <cell r="E35">
            <v>350555</v>
          </cell>
          <cell r="F35">
            <v>2348</v>
          </cell>
          <cell r="G35">
            <v>25032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5121010001出"/>
      <sheetName val="85121010001進"/>
      <sheetName val="87149120007進"/>
      <sheetName val="87149120007出"/>
      <sheetName val="85121020009出"/>
      <sheetName val="85121020009進"/>
      <sheetName val="87149200206進"/>
      <sheetName val="87149200206出"/>
      <sheetName val="87149200108出"/>
      <sheetName val="87149200108進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1129762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279620</v>
          </cell>
        </row>
        <row r="12">
          <cell r="A12">
            <v>2</v>
          </cell>
          <cell r="B12" t="str">
            <v>CH</v>
          </cell>
          <cell r="C12" t="str">
            <v>瑞士</v>
          </cell>
          <cell r="D12" t="str">
            <v>Switzerland</v>
          </cell>
          <cell r="E12">
            <v>176344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168775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138092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81017</v>
          </cell>
        </row>
        <row r="16">
          <cell r="A16">
            <v>6</v>
          </cell>
          <cell r="B16" t="str">
            <v>PL</v>
          </cell>
          <cell r="C16" t="str">
            <v>波蘭</v>
          </cell>
          <cell r="D16" t="str">
            <v>Poland</v>
          </cell>
          <cell r="E16">
            <v>74785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37043</v>
          </cell>
        </row>
        <row r="18">
          <cell r="A18">
            <v>8</v>
          </cell>
          <cell r="B18" t="str">
            <v>DK</v>
          </cell>
          <cell r="C18" t="str">
            <v>丹麥</v>
          </cell>
          <cell r="D18" t="str">
            <v>Denmark</v>
          </cell>
          <cell r="E18">
            <v>35008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30302</v>
          </cell>
        </row>
        <row r="20">
          <cell r="A20">
            <v>10</v>
          </cell>
          <cell r="B20" t="str">
            <v>AE</v>
          </cell>
          <cell r="C20" t="str">
            <v>阿拉伯聯合大公國</v>
          </cell>
          <cell r="D20" t="str">
            <v>United Arab Emirates</v>
          </cell>
          <cell r="E20">
            <v>28680</v>
          </cell>
        </row>
        <row r="21">
          <cell r="A21">
            <v>11</v>
          </cell>
          <cell r="B21" t="str">
            <v>AU</v>
          </cell>
          <cell r="C21" t="str">
            <v>澳大利亞</v>
          </cell>
          <cell r="D21" t="str">
            <v>Australia</v>
          </cell>
          <cell r="E21">
            <v>18505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14563</v>
          </cell>
        </row>
        <row r="23">
          <cell r="A23">
            <v>13</v>
          </cell>
          <cell r="B23" t="str">
            <v>CN</v>
          </cell>
          <cell r="C23" t="str">
            <v>中國大陸</v>
          </cell>
          <cell r="D23" t="str">
            <v>China</v>
          </cell>
          <cell r="E23">
            <v>13673</v>
          </cell>
        </row>
        <row r="24">
          <cell r="A24">
            <v>14</v>
          </cell>
          <cell r="B24" t="str">
            <v>CA</v>
          </cell>
          <cell r="C24" t="str">
            <v>加拿大</v>
          </cell>
          <cell r="D24" t="str">
            <v>Canada</v>
          </cell>
          <cell r="E24">
            <v>10493</v>
          </cell>
        </row>
        <row r="25">
          <cell r="A25">
            <v>15</v>
          </cell>
          <cell r="B25" t="str">
            <v>SK</v>
          </cell>
          <cell r="C25" t="str">
            <v>斯洛伐克</v>
          </cell>
          <cell r="D25" t="str">
            <v>Slovakia</v>
          </cell>
          <cell r="E25">
            <v>5787</v>
          </cell>
        </row>
        <row r="26">
          <cell r="A26">
            <v>16</v>
          </cell>
          <cell r="B26" t="str">
            <v>CZ</v>
          </cell>
          <cell r="C26" t="str">
            <v>捷克</v>
          </cell>
          <cell r="D26" t="str">
            <v>Czech Republic</v>
          </cell>
          <cell r="E26">
            <v>4610</v>
          </cell>
        </row>
        <row r="27">
          <cell r="A27">
            <v>17</v>
          </cell>
          <cell r="B27" t="str">
            <v>UY</v>
          </cell>
          <cell r="C27" t="str">
            <v>烏拉圭</v>
          </cell>
          <cell r="D27" t="str">
            <v>Uruguay</v>
          </cell>
          <cell r="E27">
            <v>4134</v>
          </cell>
        </row>
        <row r="28">
          <cell r="A28">
            <v>18</v>
          </cell>
          <cell r="B28" t="str">
            <v>FI</v>
          </cell>
          <cell r="C28" t="str">
            <v>芬蘭</v>
          </cell>
          <cell r="D28" t="str">
            <v>Finland</v>
          </cell>
          <cell r="E28">
            <v>2576</v>
          </cell>
        </row>
        <row r="29">
          <cell r="A29">
            <v>19</v>
          </cell>
          <cell r="B29" t="str">
            <v>JP</v>
          </cell>
          <cell r="C29" t="str">
            <v>日本</v>
          </cell>
          <cell r="D29" t="str">
            <v>Japan</v>
          </cell>
          <cell r="E29">
            <v>2194</v>
          </cell>
        </row>
        <row r="30">
          <cell r="A30">
            <v>20</v>
          </cell>
          <cell r="B30" t="str">
            <v>BG</v>
          </cell>
          <cell r="C30" t="str">
            <v>保加利亞</v>
          </cell>
          <cell r="D30" t="str">
            <v>Bulgaria</v>
          </cell>
          <cell r="E30">
            <v>1908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223508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144494</v>
          </cell>
        </row>
        <row r="12">
          <cell r="A12">
            <v>2</v>
          </cell>
          <cell r="B12" t="str">
            <v>FR</v>
          </cell>
          <cell r="C12" t="str">
            <v>法國</v>
          </cell>
          <cell r="D12" t="str">
            <v>France</v>
          </cell>
          <cell r="E12">
            <v>65914</v>
          </cell>
        </row>
        <row r="13">
          <cell r="A13">
            <v>3</v>
          </cell>
          <cell r="B13" t="str">
            <v>DE</v>
          </cell>
          <cell r="C13" t="str">
            <v>德國</v>
          </cell>
          <cell r="D13" t="str">
            <v>Germany</v>
          </cell>
          <cell r="E13">
            <v>12019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1081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22869942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17921487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3689984</v>
          </cell>
        </row>
        <row r="13">
          <cell r="A13">
            <v>3</v>
          </cell>
          <cell r="B13" t="str">
            <v>KH</v>
          </cell>
          <cell r="C13" t="str">
            <v>柬埔寨</v>
          </cell>
          <cell r="D13" t="str">
            <v>Cambodia</v>
          </cell>
          <cell r="E13">
            <v>635771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344579</v>
          </cell>
        </row>
        <row r="15">
          <cell r="A15">
            <v>5</v>
          </cell>
          <cell r="B15" t="str">
            <v>MM</v>
          </cell>
          <cell r="C15" t="str">
            <v>緬甸</v>
          </cell>
          <cell r="D15" t="str">
            <v>Myanmar</v>
          </cell>
          <cell r="E15">
            <v>148522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78092</v>
          </cell>
        </row>
        <row r="17">
          <cell r="A17">
            <v>7</v>
          </cell>
          <cell r="B17" t="str">
            <v>PT</v>
          </cell>
          <cell r="C17" t="str">
            <v>葡萄牙</v>
          </cell>
          <cell r="D17" t="str">
            <v>Portugal</v>
          </cell>
          <cell r="E17">
            <v>33990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7887</v>
          </cell>
        </row>
        <row r="19">
          <cell r="A19">
            <v>9</v>
          </cell>
          <cell r="B19" t="str">
            <v>US</v>
          </cell>
          <cell r="C19" t="str">
            <v>美國</v>
          </cell>
          <cell r="D19" t="str">
            <v>United States</v>
          </cell>
          <cell r="E19">
            <v>7280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1555</v>
          </cell>
        </row>
        <row r="21">
          <cell r="A21">
            <v>11</v>
          </cell>
          <cell r="B21" t="str">
            <v>ID</v>
          </cell>
          <cell r="C21" t="str">
            <v>印尼</v>
          </cell>
          <cell r="D21" t="str">
            <v>Indonesia</v>
          </cell>
          <cell r="E21">
            <v>509</v>
          </cell>
        </row>
        <row r="22">
          <cell r="A22">
            <v>12</v>
          </cell>
          <cell r="B22" t="str">
            <v>CZ</v>
          </cell>
          <cell r="C22" t="str">
            <v>捷克</v>
          </cell>
          <cell r="D22" t="str">
            <v>Czech Republic</v>
          </cell>
          <cell r="E22">
            <v>254</v>
          </cell>
        </row>
        <row r="23">
          <cell r="A23">
            <v>13</v>
          </cell>
          <cell r="B23" t="str">
            <v>ES</v>
          </cell>
          <cell r="C23" t="str">
            <v>西班牙</v>
          </cell>
          <cell r="D23" t="str">
            <v>Spain</v>
          </cell>
          <cell r="E23">
            <v>32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48803763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10253872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7920506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5424548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3810176</v>
          </cell>
        </row>
        <row r="15">
          <cell r="A15">
            <v>5</v>
          </cell>
          <cell r="B15" t="str">
            <v>HU</v>
          </cell>
          <cell r="C15" t="str">
            <v>匈牙利</v>
          </cell>
          <cell r="D15" t="str">
            <v>Hungary</v>
          </cell>
          <cell r="E15">
            <v>3610841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2769411</v>
          </cell>
        </row>
        <row r="17">
          <cell r="A17">
            <v>7</v>
          </cell>
          <cell r="B17" t="str">
            <v>BR</v>
          </cell>
          <cell r="C17" t="str">
            <v>巴西</v>
          </cell>
          <cell r="D17" t="str">
            <v>Brazil</v>
          </cell>
          <cell r="E17">
            <v>1831988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1343975</v>
          </cell>
        </row>
        <row r="19">
          <cell r="A19">
            <v>9</v>
          </cell>
          <cell r="B19" t="str">
            <v>VN</v>
          </cell>
          <cell r="C19" t="str">
            <v>越南</v>
          </cell>
          <cell r="D19" t="str">
            <v>Viet Nam</v>
          </cell>
          <cell r="E19">
            <v>1264451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1238028</v>
          </cell>
        </row>
        <row r="21">
          <cell r="A21">
            <v>11</v>
          </cell>
          <cell r="B21" t="str">
            <v>KH</v>
          </cell>
          <cell r="C21" t="str">
            <v>柬埔寨</v>
          </cell>
          <cell r="D21" t="str">
            <v>Cambodia</v>
          </cell>
          <cell r="E21">
            <v>916788</v>
          </cell>
        </row>
        <row r="22">
          <cell r="A22">
            <v>12</v>
          </cell>
          <cell r="B22" t="str">
            <v>CZ</v>
          </cell>
          <cell r="C22" t="str">
            <v>捷克</v>
          </cell>
          <cell r="D22" t="str">
            <v>Czech Republic</v>
          </cell>
          <cell r="E22">
            <v>825500</v>
          </cell>
        </row>
        <row r="23">
          <cell r="A23">
            <v>13</v>
          </cell>
          <cell r="B23" t="str">
            <v>GB</v>
          </cell>
          <cell r="C23" t="str">
            <v>英國</v>
          </cell>
          <cell r="D23" t="str">
            <v>United Kingdom</v>
          </cell>
          <cell r="E23">
            <v>806201</v>
          </cell>
        </row>
        <row r="24">
          <cell r="A24">
            <v>14</v>
          </cell>
          <cell r="B24" t="str">
            <v>GR</v>
          </cell>
          <cell r="C24" t="str">
            <v>希臘</v>
          </cell>
          <cell r="D24" t="str">
            <v>Greece</v>
          </cell>
          <cell r="E24">
            <v>729857</v>
          </cell>
        </row>
        <row r="25">
          <cell r="A25">
            <v>15</v>
          </cell>
          <cell r="B25" t="str">
            <v>PL</v>
          </cell>
          <cell r="C25" t="str">
            <v>波蘭</v>
          </cell>
          <cell r="D25" t="str">
            <v>Poland</v>
          </cell>
          <cell r="E25">
            <v>664485</v>
          </cell>
        </row>
        <row r="26">
          <cell r="A26">
            <v>16</v>
          </cell>
          <cell r="B26" t="str">
            <v>CH</v>
          </cell>
          <cell r="C26" t="str">
            <v>瑞士</v>
          </cell>
          <cell r="D26" t="str">
            <v>Switzerland</v>
          </cell>
          <cell r="E26">
            <v>622289</v>
          </cell>
        </row>
        <row r="27">
          <cell r="A27">
            <v>17</v>
          </cell>
          <cell r="B27" t="str">
            <v>ID</v>
          </cell>
          <cell r="C27" t="str">
            <v>印尼</v>
          </cell>
          <cell r="D27" t="str">
            <v>Indonesia</v>
          </cell>
          <cell r="E27">
            <v>543244</v>
          </cell>
        </row>
        <row r="28">
          <cell r="A28">
            <v>18</v>
          </cell>
          <cell r="B28" t="str">
            <v>JP</v>
          </cell>
          <cell r="C28" t="str">
            <v>日本</v>
          </cell>
          <cell r="D28" t="str">
            <v>Japan</v>
          </cell>
          <cell r="E28">
            <v>470298</v>
          </cell>
        </row>
        <row r="29">
          <cell r="A29">
            <v>19</v>
          </cell>
          <cell r="B29" t="str">
            <v>PT</v>
          </cell>
          <cell r="C29" t="str">
            <v>葡萄牙</v>
          </cell>
          <cell r="D29" t="str">
            <v>Portugal</v>
          </cell>
          <cell r="E29">
            <v>426741</v>
          </cell>
        </row>
        <row r="30">
          <cell r="A30">
            <v>20</v>
          </cell>
          <cell r="B30" t="str">
            <v>AU</v>
          </cell>
          <cell r="C30" t="str">
            <v>澳大利亞</v>
          </cell>
          <cell r="D30" t="str">
            <v>Australia</v>
          </cell>
          <cell r="E30">
            <v>398953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350555</v>
          </cell>
        </row>
        <row r="11">
          <cell r="A11">
            <v>1</v>
          </cell>
          <cell r="B11" t="str">
            <v>CH</v>
          </cell>
          <cell r="C11" t="str">
            <v>瑞士</v>
          </cell>
          <cell r="D11" t="str">
            <v>Switzerland</v>
          </cell>
          <cell r="E11">
            <v>85151</v>
          </cell>
        </row>
        <row r="12">
          <cell r="A12">
            <v>2</v>
          </cell>
          <cell r="B12" t="str">
            <v>FR</v>
          </cell>
          <cell r="C12" t="str">
            <v>法國</v>
          </cell>
          <cell r="D12" t="str">
            <v>France</v>
          </cell>
          <cell r="E12">
            <v>64611</v>
          </cell>
        </row>
        <row r="13">
          <cell r="A13">
            <v>3</v>
          </cell>
          <cell r="B13" t="str">
            <v>US</v>
          </cell>
          <cell r="C13" t="str">
            <v>美國</v>
          </cell>
          <cell r="D13" t="str">
            <v>United States</v>
          </cell>
          <cell r="E13">
            <v>55421</v>
          </cell>
        </row>
        <row r="14">
          <cell r="A14">
            <v>4</v>
          </cell>
          <cell r="B14" t="str">
            <v>DE</v>
          </cell>
          <cell r="C14" t="str">
            <v>德國</v>
          </cell>
          <cell r="D14" t="str">
            <v>Germany</v>
          </cell>
          <cell r="E14">
            <v>39205</v>
          </cell>
        </row>
        <row r="15">
          <cell r="A15">
            <v>5</v>
          </cell>
          <cell r="B15" t="str">
            <v>NL</v>
          </cell>
          <cell r="C15" t="str">
            <v>荷蘭</v>
          </cell>
          <cell r="D15" t="str">
            <v>Netherlands</v>
          </cell>
          <cell r="E15">
            <v>36057</v>
          </cell>
        </row>
        <row r="16">
          <cell r="A16">
            <v>6</v>
          </cell>
          <cell r="B16" t="str">
            <v>JP</v>
          </cell>
          <cell r="C16" t="str">
            <v>日本</v>
          </cell>
          <cell r="D16" t="str">
            <v>Japan</v>
          </cell>
          <cell r="E16">
            <v>26773</v>
          </cell>
        </row>
        <row r="17">
          <cell r="A17">
            <v>7</v>
          </cell>
          <cell r="B17" t="str">
            <v>PL</v>
          </cell>
          <cell r="C17" t="str">
            <v>波蘭</v>
          </cell>
          <cell r="D17" t="str">
            <v>Poland</v>
          </cell>
          <cell r="E17">
            <v>17170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6518</v>
          </cell>
        </row>
        <row r="19">
          <cell r="A19">
            <v>9</v>
          </cell>
          <cell r="B19" t="str">
            <v>BE</v>
          </cell>
          <cell r="C19" t="str">
            <v>比利時</v>
          </cell>
          <cell r="D19" t="str">
            <v>Belgium</v>
          </cell>
          <cell r="E19">
            <v>5755</v>
          </cell>
        </row>
        <row r="20">
          <cell r="A20">
            <v>10</v>
          </cell>
          <cell r="B20" t="str">
            <v>PT</v>
          </cell>
          <cell r="C20" t="str">
            <v>葡萄牙</v>
          </cell>
          <cell r="D20" t="str">
            <v>Portugal</v>
          </cell>
          <cell r="E20">
            <v>3593</v>
          </cell>
        </row>
        <row r="21">
          <cell r="A21">
            <v>11</v>
          </cell>
          <cell r="B21" t="str">
            <v>VN</v>
          </cell>
          <cell r="C21" t="str">
            <v>越南</v>
          </cell>
          <cell r="D21" t="str">
            <v>Viet Nam</v>
          </cell>
          <cell r="E21">
            <v>3052</v>
          </cell>
        </row>
        <row r="22">
          <cell r="A22">
            <v>12</v>
          </cell>
          <cell r="B22" t="str">
            <v>PA</v>
          </cell>
          <cell r="C22" t="str">
            <v>巴拿馬</v>
          </cell>
          <cell r="D22" t="str">
            <v>Panama</v>
          </cell>
          <cell r="E22">
            <v>2734</v>
          </cell>
        </row>
        <row r="23">
          <cell r="A23">
            <v>13</v>
          </cell>
          <cell r="B23" t="str">
            <v>AU</v>
          </cell>
          <cell r="C23" t="str">
            <v>澳大利亞</v>
          </cell>
          <cell r="D23" t="str">
            <v>Australia</v>
          </cell>
          <cell r="E23">
            <v>2035</v>
          </cell>
        </row>
        <row r="24">
          <cell r="A24">
            <v>14</v>
          </cell>
          <cell r="B24" t="str">
            <v>BG</v>
          </cell>
          <cell r="C24" t="str">
            <v>保加利亞</v>
          </cell>
          <cell r="D24" t="str">
            <v>Bulgaria</v>
          </cell>
          <cell r="E24">
            <v>1399</v>
          </cell>
        </row>
        <row r="25">
          <cell r="A25">
            <v>15</v>
          </cell>
          <cell r="B25" t="str">
            <v>BR</v>
          </cell>
          <cell r="C25" t="str">
            <v>巴西</v>
          </cell>
          <cell r="D25" t="str">
            <v>Brazil</v>
          </cell>
          <cell r="E25">
            <v>1081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54116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44548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6802</v>
          </cell>
        </row>
        <row r="13">
          <cell r="A13">
            <v>3</v>
          </cell>
          <cell r="B13" t="str">
            <v>TW</v>
          </cell>
          <cell r="C13" t="str">
            <v>中華民國</v>
          </cell>
          <cell r="D13" t="str">
            <v>Taiwan, Roc</v>
          </cell>
          <cell r="E13">
            <v>2766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487758</v>
          </cell>
        </row>
        <row r="11">
          <cell r="A11">
            <v>1</v>
          </cell>
          <cell r="B11" t="str">
            <v>CH</v>
          </cell>
          <cell r="C11" t="str">
            <v>瑞士</v>
          </cell>
          <cell r="D11" t="str">
            <v>Switzerland</v>
          </cell>
          <cell r="E11">
            <v>226710</v>
          </cell>
        </row>
        <row r="12">
          <cell r="A12">
            <v>2</v>
          </cell>
          <cell r="B12" t="str">
            <v>BE</v>
          </cell>
          <cell r="C12" t="str">
            <v>比利時</v>
          </cell>
          <cell r="D12" t="str">
            <v>Belgium</v>
          </cell>
          <cell r="E12">
            <v>139618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120794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509</v>
          </cell>
        </row>
        <row r="15">
          <cell r="A15">
            <v>5</v>
          </cell>
          <cell r="B15" t="str">
            <v>FR</v>
          </cell>
          <cell r="C15" t="str">
            <v>法國</v>
          </cell>
          <cell r="D15" t="str">
            <v>France</v>
          </cell>
          <cell r="E15">
            <v>127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1017301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490747</v>
          </cell>
        </row>
        <row r="12">
          <cell r="A12">
            <v>2</v>
          </cell>
          <cell r="B12" t="str">
            <v>BR</v>
          </cell>
          <cell r="C12" t="str">
            <v>巴西</v>
          </cell>
          <cell r="D12" t="str">
            <v>Brazil</v>
          </cell>
          <cell r="E12">
            <v>134468</v>
          </cell>
        </row>
        <row r="13">
          <cell r="A13">
            <v>3</v>
          </cell>
          <cell r="B13" t="str">
            <v>DE</v>
          </cell>
          <cell r="C13" t="str">
            <v>德國</v>
          </cell>
          <cell r="D13" t="str">
            <v>Germany</v>
          </cell>
          <cell r="E13">
            <v>89921</v>
          </cell>
        </row>
        <row r="14">
          <cell r="A14">
            <v>4</v>
          </cell>
          <cell r="B14" t="str">
            <v>KH</v>
          </cell>
          <cell r="C14" t="str">
            <v>柬埔寨</v>
          </cell>
          <cell r="D14" t="str">
            <v>Cambodia</v>
          </cell>
          <cell r="E14">
            <v>88458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43498</v>
          </cell>
        </row>
        <row r="16">
          <cell r="A16">
            <v>6</v>
          </cell>
          <cell r="B16" t="str">
            <v>PL</v>
          </cell>
          <cell r="C16" t="str">
            <v>波蘭</v>
          </cell>
          <cell r="D16" t="str">
            <v>Poland</v>
          </cell>
          <cell r="E16">
            <v>29920</v>
          </cell>
        </row>
        <row r="17">
          <cell r="A17">
            <v>7</v>
          </cell>
          <cell r="B17" t="str">
            <v>NL</v>
          </cell>
          <cell r="C17" t="str">
            <v>荷蘭</v>
          </cell>
          <cell r="D17" t="str">
            <v>Netherlands</v>
          </cell>
          <cell r="E17">
            <v>26391</v>
          </cell>
        </row>
        <row r="18">
          <cell r="A18">
            <v>8</v>
          </cell>
          <cell r="B18" t="str">
            <v>US</v>
          </cell>
          <cell r="C18" t="str">
            <v>美國</v>
          </cell>
          <cell r="D18" t="str">
            <v>United States</v>
          </cell>
          <cell r="E18">
            <v>18793</v>
          </cell>
        </row>
        <row r="19">
          <cell r="A19">
            <v>9</v>
          </cell>
          <cell r="B19" t="str">
            <v>RO</v>
          </cell>
          <cell r="C19" t="str">
            <v>羅馬尼亞</v>
          </cell>
          <cell r="D19" t="str">
            <v>Romania</v>
          </cell>
          <cell r="E19">
            <v>18792</v>
          </cell>
        </row>
        <row r="20">
          <cell r="A20">
            <v>10</v>
          </cell>
          <cell r="B20" t="str">
            <v>BY</v>
          </cell>
          <cell r="C20" t="str">
            <v>白俄羅斯</v>
          </cell>
          <cell r="D20" t="str">
            <v>Belarus</v>
          </cell>
          <cell r="E20">
            <v>17234</v>
          </cell>
        </row>
        <row r="21">
          <cell r="A21">
            <v>11</v>
          </cell>
          <cell r="B21" t="str">
            <v>AU</v>
          </cell>
          <cell r="C21" t="str">
            <v>澳大利亞</v>
          </cell>
          <cell r="D21" t="str">
            <v>Australia</v>
          </cell>
          <cell r="E21">
            <v>12846</v>
          </cell>
        </row>
        <row r="22">
          <cell r="A22">
            <v>12</v>
          </cell>
          <cell r="B22" t="str">
            <v>SK</v>
          </cell>
          <cell r="C22" t="str">
            <v>斯洛伐克</v>
          </cell>
          <cell r="D22" t="str">
            <v>Slovakia</v>
          </cell>
          <cell r="E22">
            <v>12528</v>
          </cell>
        </row>
        <row r="23">
          <cell r="A23">
            <v>13</v>
          </cell>
          <cell r="B23" t="str">
            <v>NZ</v>
          </cell>
          <cell r="C23" t="str">
            <v>紐西蘭</v>
          </cell>
          <cell r="D23" t="str">
            <v>New Zealand</v>
          </cell>
          <cell r="E23">
            <v>8903</v>
          </cell>
        </row>
        <row r="24">
          <cell r="A24">
            <v>14</v>
          </cell>
          <cell r="B24" t="str">
            <v>HK</v>
          </cell>
          <cell r="C24" t="str">
            <v>香港</v>
          </cell>
          <cell r="D24" t="str">
            <v>Hong Kong</v>
          </cell>
          <cell r="E24">
            <v>6614</v>
          </cell>
        </row>
        <row r="25">
          <cell r="A25">
            <v>15</v>
          </cell>
          <cell r="B25" t="str">
            <v>AE</v>
          </cell>
          <cell r="C25" t="str">
            <v>阿拉伯聯合大公國</v>
          </cell>
          <cell r="D25" t="str">
            <v>United Arab Emirates</v>
          </cell>
          <cell r="E25">
            <v>5723</v>
          </cell>
        </row>
        <row r="26">
          <cell r="A26">
            <v>16</v>
          </cell>
          <cell r="B26" t="str">
            <v>LK</v>
          </cell>
          <cell r="C26" t="str">
            <v>斯里蘭卡</v>
          </cell>
          <cell r="D26" t="str">
            <v>Sri Lanka</v>
          </cell>
          <cell r="E26">
            <v>3975</v>
          </cell>
        </row>
        <row r="27">
          <cell r="A27">
            <v>17</v>
          </cell>
          <cell r="B27" t="str">
            <v>UY</v>
          </cell>
          <cell r="C27" t="str">
            <v>烏拉圭</v>
          </cell>
          <cell r="D27" t="str">
            <v>Uruguay</v>
          </cell>
          <cell r="E27">
            <v>3021</v>
          </cell>
        </row>
        <row r="28">
          <cell r="A28">
            <v>18</v>
          </cell>
          <cell r="B28" t="str">
            <v>GB</v>
          </cell>
          <cell r="C28" t="str">
            <v>英國</v>
          </cell>
          <cell r="D28" t="str">
            <v>United Kingdom</v>
          </cell>
          <cell r="E28">
            <v>2893</v>
          </cell>
        </row>
        <row r="29">
          <cell r="A29">
            <v>19</v>
          </cell>
          <cell r="B29" t="str">
            <v>IT</v>
          </cell>
          <cell r="C29" t="str">
            <v>義大利</v>
          </cell>
          <cell r="D29" t="str">
            <v>Italy</v>
          </cell>
          <cell r="E29">
            <v>2544</v>
          </cell>
        </row>
        <row r="30">
          <cell r="A30">
            <v>20</v>
          </cell>
          <cell r="B30" t="str">
            <v>ZA</v>
          </cell>
          <cell r="C30" t="str">
            <v>南非</v>
          </cell>
          <cell r="D30" t="str">
            <v>South Africa</v>
          </cell>
          <cell r="E30">
            <v>32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2948939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518824</v>
          </cell>
        </row>
        <row r="12">
          <cell r="A12">
            <v>2</v>
          </cell>
          <cell r="B12" t="str">
            <v>NL</v>
          </cell>
          <cell r="C12" t="str">
            <v>荷蘭</v>
          </cell>
          <cell r="D12" t="str">
            <v>Netherlands</v>
          </cell>
          <cell r="E12">
            <v>439173</v>
          </cell>
        </row>
        <row r="13">
          <cell r="A13">
            <v>3</v>
          </cell>
          <cell r="B13" t="str">
            <v>ES</v>
          </cell>
          <cell r="C13" t="str">
            <v>西班牙</v>
          </cell>
          <cell r="D13" t="str">
            <v>Spain</v>
          </cell>
          <cell r="E13">
            <v>435072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423914</v>
          </cell>
        </row>
        <row r="15">
          <cell r="A15">
            <v>5</v>
          </cell>
          <cell r="B15" t="str">
            <v>IT</v>
          </cell>
          <cell r="C15" t="str">
            <v>義大利</v>
          </cell>
          <cell r="D15" t="str">
            <v>Italy</v>
          </cell>
          <cell r="E15">
            <v>262227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261972</v>
          </cell>
        </row>
        <row r="17">
          <cell r="A17">
            <v>7</v>
          </cell>
          <cell r="B17" t="str">
            <v>VN</v>
          </cell>
          <cell r="C17" t="str">
            <v>越南</v>
          </cell>
          <cell r="D17" t="str">
            <v>Viet Nam</v>
          </cell>
          <cell r="E17">
            <v>171859</v>
          </cell>
        </row>
        <row r="18">
          <cell r="A18">
            <v>8</v>
          </cell>
          <cell r="B18" t="str">
            <v>PL</v>
          </cell>
          <cell r="C18" t="str">
            <v>波蘭</v>
          </cell>
          <cell r="D18" t="str">
            <v>Poland</v>
          </cell>
          <cell r="E18">
            <v>103402</v>
          </cell>
        </row>
        <row r="19">
          <cell r="A19">
            <v>9</v>
          </cell>
          <cell r="B19" t="str">
            <v>AU</v>
          </cell>
          <cell r="C19" t="str">
            <v>澳大利亞</v>
          </cell>
          <cell r="D19" t="str">
            <v>Australia</v>
          </cell>
          <cell r="E19">
            <v>71606</v>
          </cell>
        </row>
        <row r="20">
          <cell r="A20">
            <v>10</v>
          </cell>
          <cell r="B20" t="str">
            <v>GB</v>
          </cell>
          <cell r="C20" t="str">
            <v>英國</v>
          </cell>
          <cell r="D20" t="str">
            <v>United Kingdom</v>
          </cell>
          <cell r="E20">
            <v>68776</v>
          </cell>
        </row>
        <row r="21">
          <cell r="A21">
            <v>11</v>
          </cell>
          <cell r="B21" t="str">
            <v>KH</v>
          </cell>
          <cell r="C21" t="str">
            <v>柬埔寨</v>
          </cell>
          <cell r="D21" t="str">
            <v>Cambodia</v>
          </cell>
          <cell r="E21">
            <v>39491</v>
          </cell>
        </row>
        <row r="22">
          <cell r="A22">
            <v>12</v>
          </cell>
          <cell r="B22" t="str">
            <v>BR</v>
          </cell>
          <cell r="C22" t="str">
            <v>巴西</v>
          </cell>
          <cell r="D22" t="str">
            <v>Brazil</v>
          </cell>
          <cell r="E22">
            <v>38029</v>
          </cell>
        </row>
        <row r="23">
          <cell r="A23">
            <v>13</v>
          </cell>
          <cell r="B23" t="str">
            <v>CA</v>
          </cell>
          <cell r="C23" t="str">
            <v>加拿大</v>
          </cell>
          <cell r="D23" t="str">
            <v>Canada</v>
          </cell>
          <cell r="E23">
            <v>19460</v>
          </cell>
        </row>
        <row r="24">
          <cell r="A24">
            <v>14</v>
          </cell>
          <cell r="B24" t="str">
            <v>JP</v>
          </cell>
          <cell r="C24" t="str">
            <v>日本</v>
          </cell>
          <cell r="D24" t="str">
            <v>Japan</v>
          </cell>
          <cell r="E24">
            <v>18823</v>
          </cell>
        </row>
        <row r="25">
          <cell r="A25">
            <v>15</v>
          </cell>
          <cell r="B25" t="str">
            <v>LT</v>
          </cell>
          <cell r="C25" t="str">
            <v>立陶宛</v>
          </cell>
          <cell r="D25" t="str">
            <v>Lithuania</v>
          </cell>
          <cell r="E25">
            <v>12623</v>
          </cell>
        </row>
        <row r="26">
          <cell r="A26">
            <v>16</v>
          </cell>
          <cell r="B26" t="str">
            <v>MY</v>
          </cell>
          <cell r="C26" t="str">
            <v>馬來西亞</v>
          </cell>
          <cell r="D26" t="str">
            <v>Malaysia</v>
          </cell>
          <cell r="E26">
            <v>10970</v>
          </cell>
        </row>
        <row r="27">
          <cell r="A27">
            <v>17</v>
          </cell>
          <cell r="B27" t="str">
            <v>FR</v>
          </cell>
          <cell r="C27" t="str">
            <v>法國</v>
          </cell>
          <cell r="D27" t="str">
            <v>France</v>
          </cell>
          <cell r="E27">
            <v>10652</v>
          </cell>
        </row>
        <row r="28">
          <cell r="A28">
            <v>18</v>
          </cell>
          <cell r="B28" t="str">
            <v>HK</v>
          </cell>
          <cell r="C28" t="str">
            <v>香港</v>
          </cell>
          <cell r="D28" t="str">
            <v>Hong Kong</v>
          </cell>
          <cell r="E28">
            <v>4865</v>
          </cell>
        </row>
        <row r="29">
          <cell r="A29">
            <v>19</v>
          </cell>
          <cell r="B29" t="str">
            <v>VE</v>
          </cell>
          <cell r="C29" t="str">
            <v>委內瑞拉</v>
          </cell>
          <cell r="D29" t="str">
            <v>Venezuela</v>
          </cell>
          <cell r="E29">
            <v>4610</v>
          </cell>
        </row>
        <row r="30">
          <cell r="A30">
            <v>20</v>
          </cell>
          <cell r="B30" t="str">
            <v>BY</v>
          </cell>
          <cell r="C30" t="str">
            <v>白俄羅斯</v>
          </cell>
          <cell r="D30" t="str">
            <v>Belarus</v>
          </cell>
          <cell r="E30">
            <v>4070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4459574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4250875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124547</v>
          </cell>
        </row>
        <row r="13">
          <cell r="A13">
            <v>3</v>
          </cell>
          <cell r="B13" t="str">
            <v>CH</v>
          </cell>
          <cell r="C13" t="str">
            <v>瑞士</v>
          </cell>
          <cell r="D13" t="str">
            <v>Switzerland</v>
          </cell>
          <cell r="E13">
            <v>24706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19015</v>
          </cell>
        </row>
        <row r="15">
          <cell r="A15">
            <v>5</v>
          </cell>
          <cell r="B15" t="str">
            <v>DE</v>
          </cell>
          <cell r="C15" t="str">
            <v>德國</v>
          </cell>
          <cell r="D15" t="str">
            <v>Germany</v>
          </cell>
          <cell r="E15">
            <v>11637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9443</v>
          </cell>
        </row>
        <row r="17">
          <cell r="A17">
            <v>7</v>
          </cell>
          <cell r="B17" t="str">
            <v>MY</v>
          </cell>
          <cell r="C17" t="str">
            <v>馬來西亞</v>
          </cell>
          <cell r="D17" t="str">
            <v>Malaysia</v>
          </cell>
          <cell r="E17">
            <v>5374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4442</v>
          </cell>
        </row>
        <row r="19">
          <cell r="A19">
            <v>9</v>
          </cell>
          <cell r="B19" t="str">
            <v>PT</v>
          </cell>
          <cell r="C19" t="str">
            <v>葡萄牙</v>
          </cell>
          <cell r="D19" t="str">
            <v>Portugal</v>
          </cell>
          <cell r="E19">
            <v>3879</v>
          </cell>
        </row>
        <row r="20">
          <cell r="A20">
            <v>10</v>
          </cell>
          <cell r="B20" t="str">
            <v>TH</v>
          </cell>
          <cell r="C20" t="str">
            <v>泰國</v>
          </cell>
          <cell r="D20" t="str">
            <v>Thailand</v>
          </cell>
          <cell r="E20">
            <v>3529</v>
          </cell>
        </row>
        <row r="21">
          <cell r="A21">
            <v>11</v>
          </cell>
          <cell r="B21" t="str">
            <v>GB</v>
          </cell>
          <cell r="C21" t="str">
            <v>英國</v>
          </cell>
          <cell r="D21" t="str">
            <v>United Kingdom</v>
          </cell>
          <cell r="E21">
            <v>2003</v>
          </cell>
        </row>
        <row r="22">
          <cell r="A22">
            <v>12</v>
          </cell>
          <cell r="B22" t="str">
            <v>US</v>
          </cell>
          <cell r="C22" t="str">
            <v>美國</v>
          </cell>
          <cell r="D22" t="str">
            <v>United States</v>
          </cell>
          <cell r="E22">
            <v>95</v>
          </cell>
        </row>
        <row r="23">
          <cell r="A23">
            <v>13</v>
          </cell>
          <cell r="B23" t="str">
            <v>HU</v>
          </cell>
          <cell r="C23" t="str">
            <v>匈牙利</v>
          </cell>
          <cell r="D23" t="str">
            <v>Hungary</v>
          </cell>
          <cell r="E23">
            <v>29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7149310007進"/>
      <sheetName val="87149310007出"/>
      <sheetName val="87149200304出"/>
      <sheetName val="87149200304進"/>
      <sheetName val="87149490009進"/>
      <sheetName val="87149490009出"/>
      <sheetName val="87149320103出"/>
      <sheetName val="87149320103進"/>
      <sheetName val="87149410006進"/>
      <sheetName val="87149410006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1900469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1228682</v>
          </cell>
        </row>
        <row r="12">
          <cell r="A12">
            <v>2</v>
          </cell>
          <cell r="B12" t="str">
            <v>TH</v>
          </cell>
          <cell r="C12" t="str">
            <v>泰國</v>
          </cell>
          <cell r="D12" t="str">
            <v>Thailand</v>
          </cell>
          <cell r="E12">
            <v>270556</v>
          </cell>
        </row>
        <row r="13">
          <cell r="A13">
            <v>3</v>
          </cell>
          <cell r="B13" t="str">
            <v>CH</v>
          </cell>
          <cell r="C13" t="str">
            <v>瑞士</v>
          </cell>
          <cell r="D13" t="str">
            <v>Switzerland</v>
          </cell>
          <cell r="E13">
            <v>146137</v>
          </cell>
        </row>
        <row r="14">
          <cell r="A14">
            <v>4</v>
          </cell>
          <cell r="B14" t="str">
            <v>MY</v>
          </cell>
          <cell r="C14" t="str">
            <v>馬來西亞</v>
          </cell>
          <cell r="D14" t="str">
            <v>Malaysia</v>
          </cell>
          <cell r="E14">
            <v>122248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62290</v>
          </cell>
        </row>
        <row r="16">
          <cell r="A16">
            <v>6</v>
          </cell>
          <cell r="B16" t="str">
            <v>ID</v>
          </cell>
          <cell r="C16" t="str">
            <v>印尼</v>
          </cell>
          <cell r="D16" t="str">
            <v>Indonesia</v>
          </cell>
          <cell r="E16">
            <v>50652</v>
          </cell>
        </row>
        <row r="17">
          <cell r="A17">
            <v>7</v>
          </cell>
          <cell r="B17" t="str">
            <v>TW</v>
          </cell>
          <cell r="C17" t="str">
            <v>中華民國</v>
          </cell>
          <cell r="D17" t="str">
            <v>Taiwan, Roc</v>
          </cell>
          <cell r="E17">
            <v>9061</v>
          </cell>
        </row>
        <row r="18">
          <cell r="A18">
            <v>8</v>
          </cell>
          <cell r="B18" t="str">
            <v>JP</v>
          </cell>
          <cell r="C18" t="str">
            <v>日本</v>
          </cell>
          <cell r="D18" t="str">
            <v>Japan</v>
          </cell>
          <cell r="E18">
            <v>8712</v>
          </cell>
        </row>
        <row r="19">
          <cell r="A19">
            <v>9</v>
          </cell>
          <cell r="B19" t="str">
            <v>VN</v>
          </cell>
          <cell r="C19" t="str">
            <v>越南</v>
          </cell>
          <cell r="D19" t="str">
            <v>Viet Nam</v>
          </cell>
          <cell r="E19">
            <v>1749</v>
          </cell>
        </row>
        <row r="20">
          <cell r="A20">
            <v>10</v>
          </cell>
          <cell r="B20" t="str">
            <v>NL</v>
          </cell>
          <cell r="C20" t="str">
            <v>荷蘭</v>
          </cell>
          <cell r="D20" t="str">
            <v>Netherlands</v>
          </cell>
          <cell r="E20">
            <v>318</v>
          </cell>
        </row>
        <row r="21">
          <cell r="A21">
            <v>11</v>
          </cell>
          <cell r="B21" t="str">
            <v>BE</v>
          </cell>
          <cell r="C21" t="str">
            <v>比利時</v>
          </cell>
          <cell r="D21" t="str">
            <v>Belgium</v>
          </cell>
          <cell r="E21">
            <v>64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3258705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451703</v>
          </cell>
        </row>
        <row r="12">
          <cell r="A12">
            <v>2</v>
          </cell>
          <cell r="B12" t="str">
            <v>PL</v>
          </cell>
          <cell r="C12" t="str">
            <v>波蘭</v>
          </cell>
          <cell r="D12" t="str">
            <v>Poland</v>
          </cell>
          <cell r="E12">
            <v>438570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362702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361655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349096</v>
          </cell>
        </row>
        <row r="16">
          <cell r="A16">
            <v>6</v>
          </cell>
          <cell r="B16" t="str">
            <v>US</v>
          </cell>
          <cell r="C16" t="str">
            <v>美國</v>
          </cell>
          <cell r="D16" t="str">
            <v>United States</v>
          </cell>
          <cell r="E16">
            <v>280000</v>
          </cell>
        </row>
        <row r="17">
          <cell r="A17">
            <v>7</v>
          </cell>
          <cell r="B17" t="str">
            <v>DE</v>
          </cell>
          <cell r="C17" t="str">
            <v>德國</v>
          </cell>
          <cell r="D17" t="str">
            <v>Germany</v>
          </cell>
          <cell r="E17">
            <v>158826</v>
          </cell>
        </row>
        <row r="18">
          <cell r="A18">
            <v>8</v>
          </cell>
          <cell r="B18" t="str">
            <v>BR</v>
          </cell>
          <cell r="C18" t="str">
            <v>巴西</v>
          </cell>
          <cell r="D18" t="str">
            <v>Brazil</v>
          </cell>
          <cell r="E18">
            <v>136057</v>
          </cell>
        </row>
        <row r="19">
          <cell r="A19">
            <v>9</v>
          </cell>
          <cell r="B19" t="str">
            <v>FR</v>
          </cell>
          <cell r="C19" t="str">
            <v>法國</v>
          </cell>
          <cell r="D19" t="str">
            <v>France</v>
          </cell>
          <cell r="E19">
            <v>126646</v>
          </cell>
        </row>
        <row r="20">
          <cell r="A20">
            <v>10</v>
          </cell>
          <cell r="B20" t="str">
            <v>AU</v>
          </cell>
          <cell r="C20" t="str">
            <v>澳大利亞</v>
          </cell>
          <cell r="D20" t="str">
            <v>Australia</v>
          </cell>
          <cell r="E20">
            <v>83752</v>
          </cell>
        </row>
        <row r="21">
          <cell r="A21">
            <v>11</v>
          </cell>
          <cell r="B21" t="str">
            <v>KH</v>
          </cell>
          <cell r="C21" t="str">
            <v>柬埔寨</v>
          </cell>
          <cell r="D21" t="str">
            <v>Cambodia</v>
          </cell>
          <cell r="E21">
            <v>55040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52528</v>
          </cell>
        </row>
        <row r="23">
          <cell r="A23">
            <v>13</v>
          </cell>
          <cell r="B23" t="str">
            <v>AT</v>
          </cell>
          <cell r="C23" t="str">
            <v>奧地利</v>
          </cell>
          <cell r="D23" t="str">
            <v>Austria</v>
          </cell>
          <cell r="E23">
            <v>44388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6585252</v>
          </cell>
        </row>
        <row r="11">
          <cell r="A11">
            <v>1</v>
          </cell>
          <cell r="B11" t="str">
            <v>NL</v>
          </cell>
          <cell r="C11" t="str">
            <v>荷蘭</v>
          </cell>
          <cell r="D11" t="str">
            <v>Netherlands</v>
          </cell>
          <cell r="E11">
            <v>1414375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1240065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899461</v>
          </cell>
        </row>
        <row r="14">
          <cell r="A14">
            <v>4</v>
          </cell>
          <cell r="B14" t="str">
            <v>CN</v>
          </cell>
          <cell r="C14" t="str">
            <v>中國大陸</v>
          </cell>
          <cell r="D14" t="str">
            <v>China</v>
          </cell>
          <cell r="E14">
            <v>885976</v>
          </cell>
        </row>
        <row r="15">
          <cell r="A15">
            <v>5</v>
          </cell>
          <cell r="B15" t="str">
            <v>US</v>
          </cell>
          <cell r="C15" t="str">
            <v>美國</v>
          </cell>
          <cell r="D15" t="str">
            <v>United States</v>
          </cell>
          <cell r="E15">
            <v>702672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246868</v>
          </cell>
        </row>
        <row r="17">
          <cell r="A17">
            <v>7</v>
          </cell>
          <cell r="B17" t="str">
            <v>KR</v>
          </cell>
          <cell r="C17" t="str">
            <v>韓國</v>
          </cell>
          <cell r="D17" t="str">
            <v>Republic of Korea</v>
          </cell>
          <cell r="E17">
            <v>230811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148140</v>
          </cell>
        </row>
        <row r="19">
          <cell r="A19">
            <v>9</v>
          </cell>
          <cell r="B19" t="str">
            <v>ES</v>
          </cell>
          <cell r="C19" t="str">
            <v>西班牙</v>
          </cell>
          <cell r="D19" t="str">
            <v>Spain</v>
          </cell>
          <cell r="E19">
            <v>115994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91987</v>
          </cell>
        </row>
        <row r="21">
          <cell r="A21">
            <v>11</v>
          </cell>
          <cell r="B21" t="str">
            <v>DK</v>
          </cell>
          <cell r="C21" t="str">
            <v>丹麥</v>
          </cell>
          <cell r="D21" t="str">
            <v>Denmark</v>
          </cell>
          <cell r="E21">
            <v>82766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70590</v>
          </cell>
        </row>
        <row r="23">
          <cell r="A23">
            <v>13</v>
          </cell>
          <cell r="B23" t="str">
            <v>BR</v>
          </cell>
          <cell r="C23" t="str">
            <v>巴西</v>
          </cell>
          <cell r="D23" t="str">
            <v>Brazil</v>
          </cell>
          <cell r="E23">
            <v>68681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800507</v>
          </cell>
        </row>
        <row r="11">
          <cell r="A11">
            <v>1</v>
          </cell>
          <cell r="B11" t="str">
            <v>TW</v>
          </cell>
          <cell r="C11" t="str">
            <v>中華民國</v>
          </cell>
          <cell r="D11" t="str">
            <v>Taiwan, Roc</v>
          </cell>
          <cell r="E11">
            <v>338664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303402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63497</v>
          </cell>
        </row>
        <row r="14">
          <cell r="A14">
            <v>4</v>
          </cell>
          <cell r="B14" t="str">
            <v>PT</v>
          </cell>
          <cell r="C14" t="str">
            <v>葡萄牙</v>
          </cell>
          <cell r="D14" t="str">
            <v>Portugal</v>
          </cell>
          <cell r="E14">
            <v>39650</v>
          </cell>
        </row>
        <row r="15">
          <cell r="A15">
            <v>5</v>
          </cell>
          <cell r="B15" t="str">
            <v>JP</v>
          </cell>
          <cell r="C15" t="str">
            <v>日本</v>
          </cell>
          <cell r="D15" t="str">
            <v>Japan</v>
          </cell>
          <cell r="E15">
            <v>26677</v>
          </cell>
        </row>
        <row r="16">
          <cell r="A16">
            <v>6</v>
          </cell>
          <cell r="B16" t="str">
            <v>BE</v>
          </cell>
          <cell r="C16" t="str">
            <v>比利時</v>
          </cell>
          <cell r="D16" t="str">
            <v>Belgium</v>
          </cell>
          <cell r="E16">
            <v>10716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6804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4484</v>
          </cell>
        </row>
        <row r="19">
          <cell r="A19">
            <v>9</v>
          </cell>
          <cell r="B19" t="str">
            <v>US</v>
          </cell>
          <cell r="C19" t="str">
            <v>美國</v>
          </cell>
          <cell r="D19" t="str">
            <v>United States</v>
          </cell>
          <cell r="E19">
            <v>4006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1844</v>
          </cell>
        </row>
        <row r="21">
          <cell r="A21">
            <v>11</v>
          </cell>
          <cell r="B21" t="str">
            <v>CH</v>
          </cell>
          <cell r="C21" t="str">
            <v>瑞士</v>
          </cell>
          <cell r="D21" t="str">
            <v>Switzerland</v>
          </cell>
          <cell r="E21">
            <v>763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5274783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4002797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762968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324660</v>
          </cell>
        </row>
        <row r="14">
          <cell r="A14">
            <v>4</v>
          </cell>
          <cell r="B14" t="str">
            <v>TW</v>
          </cell>
          <cell r="C14" t="str">
            <v>中華民國</v>
          </cell>
          <cell r="D14" t="str">
            <v>Taiwan, Roc</v>
          </cell>
          <cell r="E14">
            <v>85979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64197</v>
          </cell>
        </row>
        <row r="16">
          <cell r="A16">
            <v>6</v>
          </cell>
          <cell r="B16" t="str">
            <v>IT</v>
          </cell>
          <cell r="C16" t="str">
            <v>義大利</v>
          </cell>
          <cell r="D16" t="str">
            <v>Italy</v>
          </cell>
          <cell r="E16">
            <v>12401</v>
          </cell>
        </row>
        <row r="17">
          <cell r="A17">
            <v>7</v>
          </cell>
          <cell r="B17" t="str">
            <v>ID</v>
          </cell>
          <cell r="C17" t="str">
            <v>印尼</v>
          </cell>
          <cell r="D17" t="str">
            <v>Indonesia</v>
          </cell>
          <cell r="E17">
            <v>6964</v>
          </cell>
        </row>
        <row r="18">
          <cell r="A18">
            <v>8</v>
          </cell>
          <cell r="B18" t="str">
            <v>NL</v>
          </cell>
          <cell r="C18" t="str">
            <v>荷蘭</v>
          </cell>
          <cell r="D18" t="str">
            <v>Netherlands</v>
          </cell>
          <cell r="E18">
            <v>5692</v>
          </cell>
        </row>
        <row r="19">
          <cell r="A19">
            <v>9</v>
          </cell>
          <cell r="B19" t="str">
            <v>DE</v>
          </cell>
          <cell r="C19" t="str">
            <v>德國</v>
          </cell>
          <cell r="D19" t="str">
            <v>Germany</v>
          </cell>
          <cell r="E19">
            <v>4864</v>
          </cell>
        </row>
        <row r="20">
          <cell r="A20">
            <v>10</v>
          </cell>
          <cell r="B20" t="str">
            <v>CZ</v>
          </cell>
          <cell r="C20" t="str">
            <v>捷克</v>
          </cell>
          <cell r="D20" t="str">
            <v>Czech Republic</v>
          </cell>
          <cell r="E20">
            <v>2289</v>
          </cell>
        </row>
        <row r="21">
          <cell r="A21">
            <v>11</v>
          </cell>
          <cell r="B21" t="str">
            <v>TH</v>
          </cell>
          <cell r="C21" t="str">
            <v>泰國</v>
          </cell>
          <cell r="D21" t="str">
            <v>Thailand</v>
          </cell>
          <cell r="E21">
            <v>1431</v>
          </cell>
        </row>
        <row r="22">
          <cell r="A22">
            <v>12</v>
          </cell>
          <cell r="B22" t="str">
            <v>SI</v>
          </cell>
          <cell r="C22" t="str">
            <v>斯洛維尼亞</v>
          </cell>
          <cell r="D22" t="str">
            <v>Slovenia</v>
          </cell>
          <cell r="E22">
            <v>445</v>
          </cell>
        </row>
        <row r="23">
          <cell r="A23">
            <v>13</v>
          </cell>
          <cell r="B23" t="str">
            <v>FR</v>
          </cell>
          <cell r="C23" t="str">
            <v>法國</v>
          </cell>
          <cell r="D23" t="str">
            <v>France</v>
          </cell>
          <cell r="E23">
            <v>64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15178375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3911382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2413163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1412812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948903</v>
          </cell>
        </row>
        <row r="15">
          <cell r="A15">
            <v>5</v>
          </cell>
          <cell r="B15" t="str">
            <v>ES</v>
          </cell>
          <cell r="C15" t="str">
            <v>西班牙</v>
          </cell>
          <cell r="D15" t="str">
            <v>Spain</v>
          </cell>
          <cell r="E15">
            <v>811542</v>
          </cell>
        </row>
        <row r="16">
          <cell r="A16">
            <v>6</v>
          </cell>
          <cell r="B16" t="str">
            <v>JP</v>
          </cell>
          <cell r="C16" t="str">
            <v>日本</v>
          </cell>
          <cell r="D16" t="str">
            <v>Japan</v>
          </cell>
          <cell r="E16">
            <v>652339</v>
          </cell>
        </row>
        <row r="17">
          <cell r="A17">
            <v>7</v>
          </cell>
          <cell r="B17" t="str">
            <v>VN</v>
          </cell>
          <cell r="C17" t="str">
            <v>越南</v>
          </cell>
          <cell r="D17" t="str">
            <v>Viet Nam</v>
          </cell>
          <cell r="E17">
            <v>625151</v>
          </cell>
        </row>
        <row r="18">
          <cell r="A18">
            <v>8</v>
          </cell>
          <cell r="B18" t="str">
            <v>FR</v>
          </cell>
          <cell r="C18" t="str">
            <v>法國</v>
          </cell>
          <cell r="D18" t="str">
            <v>France</v>
          </cell>
          <cell r="E18">
            <v>614818</v>
          </cell>
        </row>
        <row r="19">
          <cell r="A19">
            <v>9</v>
          </cell>
          <cell r="B19" t="str">
            <v>IT</v>
          </cell>
          <cell r="C19" t="str">
            <v>義大利</v>
          </cell>
          <cell r="D19" t="str">
            <v>Italy</v>
          </cell>
          <cell r="E19">
            <v>531381</v>
          </cell>
        </row>
        <row r="20">
          <cell r="A20">
            <v>10</v>
          </cell>
          <cell r="B20" t="str">
            <v>KH</v>
          </cell>
          <cell r="C20" t="str">
            <v>柬埔寨</v>
          </cell>
          <cell r="D20" t="str">
            <v>Cambodia</v>
          </cell>
          <cell r="E20">
            <v>459205</v>
          </cell>
        </row>
        <row r="21">
          <cell r="A21">
            <v>11</v>
          </cell>
          <cell r="B21" t="str">
            <v>GB</v>
          </cell>
          <cell r="C21" t="str">
            <v>英國</v>
          </cell>
          <cell r="D21" t="str">
            <v>United Kingdom</v>
          </cell>
          <cell r="E21">
            <v>391892</v>
          </cell>
        </row>
        <row r="22">
          <cell r="A22">
            <v>12</v>
          </cell>
          <cell r="B22" t="str">
            <v>BE</v>
          </cell>
          <cell r="C22" t="str">
            <v>比利時</v>
          </cell>
          <cell r="D22" t="str">
            <v>Belgium</v>
          </cell>
          <cell r="E22">
            <v>373546</v>
          </cell>
        </row>
        <row r="23">
          <cell r="A23">
            <v>13</v>
          </cell>
          <cell r="B23" t="str">
            <v>PL</v>
          </cell>
          <cell r="C23" t="str">
            <v>波蘭</v>
          </cell>
          <cell r="D23" t="str">
            <v>Poland</v>
          </cell>
          <cell r="E23">
            <v>314372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51192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36884</v>
          </cell>
        </row>
        <row r="12">
          <cell r="A12">
            <v>2</v>
          </cell>
          <cell r="B12" t="str">
            <v>FR</v>
          </cell>
          <cell r="C12" t="str">
            <v>法國</v>
          </cell>
          <cell r="D12" t="str">
            <v>France</v>
          </cell>
          <cell r="E12">
            <v>5183</v>
          </cell>
        </row>
        <row r="13">
          <cell r="A13">
            <v>3</v>
          </cell>
          <cell r="B13" t="str">
            <v>MX</v>
          </cell>
          <cell r="C13" t="str">
            <v>墨西哥</v>
          </cell>
          <cell r="D13" t="str">
            <v>Mexico</v>
          </cell>
          <cell r="E13">
            <v>5087</v>
          </cell>
        </row>
        <row r="14">
          <cell r="A14">
            <v>4</v>
          </cell>
          <cell r="B14" t="str">
            <v>LK</v>
          </cell>
          <cell r="C14" t="str">
            <v>斯里蘭卡</v>
          </cell>
          <cell r="D14" t="str">
            <v>Sri Lanka</v>
          </cell>
          <cell r="E14">
            <v>2130</v>
          </cell>
        </row>
        <row r="15">
          <cell r="A15">
            <v>5</v>
          </cell>
          <cell r="B15" t="str">
            <v>BR</v>
          </cell>
          <cell r="C15" t="str">
            <v>巴西</v>
          </cell>
          <cell r="D15" t="str">
            <v>Brazil</v>
          </cell>
          <cell r="E15">
            <v>1844</v>
          </cell>
        </row>
        <row r="16">
          <cell r="A16">
            <v>6</v>
          </cell>
          <cell r="B16" t="str">
            <v>LV</v>
          </cell>
          <cell r="C16" t="str">
            <v>拉脫維亞</v>
          </cell>
          <cell r="D16" t="str">
            <v>Latvia</v>
          </cell>
          <cell r="E16">
            <v>64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16344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6677</v>
          </cell>
        </row>
        <row r="12">
          <cell r="A12">
            <v>2</v>
          </cell>
          <cell r="B12" t="str">
            <v>ID</v>
          </cell>
          <cell r="C12" t="str">
            <v>印尼</v>
          </cell>
          <cell r="D12" t="str">
            <v>Indonesia</v>
          </cell>
          <cell r="E12">
            <v>4579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3085</v>
          </cell>
        </row>
        <row r="14">
          <cell r="A14">
            <v>4</v>
          </cell>
          <cell r="B14" t="str">
            <v>MY</v>
          </cell>
          <cell r="C14" t="str">
            <v>馬來西亞</v>
          </cell>
          <cell r="D14" t="str">
            <v>Malaysia</v>
          </cell>
          <cell r="E14">
            <v>2003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198153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179141</v>
          </cell>
        </row>
        <row r="12">
          <cell r="A12">
            <v>2</v>
          </cell>
          <cell r="B12" t="str">
            <v>MY</v>
          </cell>
          <cell r="C12" t="str">
            <v>馬來西亞</v>
          </cell>
          <cell r="D12" t="str">
            <v>Malaysia</v>
          </cell>
          <cell r="E12">
            <v>13959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2703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1590</v>
          </cell>
        </row>
        <row r="15">
          <cell r="A15">
            <v>5</v>
          </cell>
          <cell r="B15" t="str">
            <v>ID</v>
          </cell>
          <cell r="C15" t="str">
            <v>印尼</v>
          </cell>
          <cell r="D15" t="str">
            <v>Indonesia</v>
          </cell>
          <cell r="E15">
            <v>731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29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428967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308617</v>
          </cell>
        </row>
        <row r="12">
          <cell r="A12">
            <v>2</v>
          </cell>
          <cell r="B12" t="str">
            <v>BD</v>
          </cell>
          <cell r="C12" t="str">
            <v>孟加拉</v>
          </cell>
          <cell r="D12" t="str">
            <v>Bangladesh</v>
          </cell>
          <cell r="E12">
            <v>36026</v>
          </cell>
        </row>
        <row r="13">
          <cell r="A13">
            <v>3</v>
          </cell>
          <cell r="B13" t="str">
            <v>CA</v>
          </cell>
          <cell r="C13" t="str">
            <v>加拿大</v>
          </cell>
          <cell r="D13" t="str">
            <v>Canada</v>
          </cell>
          <cell r="E13">
            <v>27345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22925</v>
          </cell>
        </row>
        <row r="15">
          <cell r="A15">
            <v>5</v>
          </cell>
          <cell r="B15" t="str">
            <v>GB</v>
          </cell>
          <cell r="C15" t="str">
            <v>英國</v>
          </cell>
          <cell r="D15" t="str">
            <v>United Kingdom</v>
          </cell>
          <cell r="E15">
            <v>18347</v>
          </cell>
        </row>
        <row r="16">
          <cell r="A16">
            <v>6</v>
          </cell>
          <cell r="B16" t="str">
            <v>AU</v>
          </cell>
          <cell r="C16" t="str">
            <v>澳大利亞</v>
          </cell>
          <cell r="D16" t="str">
            <v>Australia</v>
          </cell>
          <cell r="E16">
            <v>12369</v>
          </cell>
        </row>
        <row r="17">
          <cell r="A17">
            <v>7</v>
          </cell>
          <cell r="B17" t="str">
            <v>SG</v>
          </cell>
          <cell r="C17" t="str">
            <v>新加坡</v>
          </cell>
          <cell r="D17" t="str">
            <v>Singapore</v>
          </cell>
          <cell r="E17">
            <v>1844</v>
          </cell>
        </row>
        <row r="18">
          <cell r="A18">
            <v>8</v>
          </cell>
          <cell r="B18" t="str">
            <v>CR</v>
          </cell>
          <cell r="C18" t="str">
            <v>哥斯大黎加</v>
          </cell>
          <cell r="D18" t="str">
            <v>Costa Rica</v>
          </cell>
          <cell r="E18">
            <v>1049</v>
          </cell>
        </row>
        <row r="19">
          <cell r="A19">
            <v>9</v>
          </cell>
          <cell r="B19" t="str">
            <v>EG</v>
          </cell>
          <cell r="C19" t="str">
            <v>埃及</v>
          </cell>
          <cell r="D19" t="str">
            <v>Egypt</v>
          </cell>
          <cell r="E19">
            <v>318</v>
          </cell>
        </row>
        <row r="20">
          <cell r="A20">
            <v>10</v>
          </cell>
          <cell r="B20" t="str">
            <v>HK</v>
          </cell>
          <cell r="C20" t="str">
            <v>香港</v>
          </cell>
          <cell r="D20" t="str">
            <v>Hong Kong</v>
          </cell>
          <cell r="E20">
            <v>127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7149610004進"/>
      <sheetName val="87149610004出"/>
      <sheetName val="87149500007出"/>
      <sheetName val="87149500007進"/>
      <sheetName val="87149990111進"/>
      <sheetName val="87149990111出"/>
      <sheetName val="73151100209出"/>
      <sheetName val="73151100209進"/>
      <sheetName val="87149620002進"/>
      <sheetName val="87149620002出"/>
    </sheetNames>
    <sheetDataSet>
      <sheetData sheetId="0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174478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93717</v>
          </cell>
        </row>
        <row r="12">
          <cell r="A12">
            <v>2</v>
          </cell>
          <cell r="B12" t="str">
            <v>IT</v>
          </cell>
          <cell r="C12" t="str">
            <v>義大利</v>
          </cell>
          <cell r="D12" t="str">
            <v>Italy</v>
          </cell>
          <cell r="E12">
            <v>23689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18951</v>
          </cell>
        </row>
        <row r="14">
          <cell r="A14">
            <v>4</v>
          </cell>
          <cell r="B14" t="str">
            <v>JP</v>
          </cell>
          <cell r="C14" t="str">
            <v>日本</v>
          </cell>
          <cell r="D14" t="str">
            <v>Japan</v>
          </cell>
          <cell r="E14">
            <v>17326</v>
          </cell>
        </row>
        <row r="15">
          <cell r="A15">
            <v>5</v>
          </cell>
          <cell r="B15" t="str">
            <v>MY</v>
          </cell>
          <cell r="C15" t="str">
            <v>馬來西亞</v>
          </cell>
          <cell r="D15" t="str">
            <v>Malaysia</v>
          </cell>
          <cell r="E15">
            <v>16407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1813</v>
          </cell>
        </row>
        <row r="17">
          <cell r="A17">
            <v>7</v>
          </cell>
          <cell r="B17" t="str">
            <v>RO</v>
          </cell>
          <cell r="C17" t="str">
            <v>羅馬尼亞</v>
          </cell>
          <cell r="D17" t="str">
            <v>Romania</v>
          </cell>
          <cell r="E17">
            <v>1463</v>
          </cell>
        </row>
        <row r="18">
          <cell r="A18">
            <v>8</v>
          </cell>
          <cell r="B18" t="str">
            <v>DE</v>
          </cell>
          <cell r="C18" t="str">
            <v>德國</v>
          </cell>
          <cell r="D18" t="str">
            <v>Germany</v>
          </cell>
          <cell r="E18">
            <v>890</v>
          </cell>
        </row>
        <row r="19">
          <cell r="A19">
            <v>9</v>
          </cell>
          <cell r="B19" t="str">
            <v>GB</v>
          </cell>
          <cell r="C19" t="str">
            <v>英國</v>
          </cell>
          <cell r="D19" t="str">
            <v>United Kingdom</v>
          </cell>
          <cell r="E19">
            <v>127</v>
          </cell>
        </row>
        <row r="20">
          <cell r="A20">
            <v>10</v>
          </cell>
          <cell r="B20" t="str">
            <v>ES</v>
          </cell>
          <cell r="C20" t="str">
            <v>西班牙</v>
          </cell>
          <cell r="D20" t="str">
            <v>Spain</v>
          </cell>
          <cell r="E20">
            <v>95</v>
          </cell>
        </row>
      </sheetData>
      <sheetData sheetId="1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2620803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699559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356598</v>
          </cell>
        </row>
        <row r="13">
          <cell r="A13">
            <v>3</v>
          </cell>
          <cell r="B13" t="str">
            <v>GB</v>
          </cell>
          <cell r="C13" t="str">
            <v>英國</v>
          </cell>
          <cell r="D13" t="str">
            <v>United Kingdom</v>
          </cell>
          <cell r="E13">
            <v>210780</v>
          </cell>
        </row>
        <row r="14">
          <cell r="A14">
            <v>4</v>
          </cell>
          <cell r="B14" t="str">
            <v>NL</v>
          </cell>
          <cell r="C14" t="str">
            <v>荷蘭</v>
          </cell>
          <cell r="D14" t="str">
            <v>Netherlands</v>
          </cell>
          <cell r="E14">
            <v>186009</v>
          </cell>
        </row>
        <row r="15">
          <cell r="A15">
            <v>5</v>
          </cell>
          <cell r="B15" t="str">
            <v>IT</v>
          </cell>
          <cell r="C15" t="str">
            <v>義大利</v>
          </cell>
          <cell r="D15" t="str">
            <v>Italy</v>
          </cell>
          <cell r="E15">
            <v>181050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167251</v>
          </cell>
        </row>
        <row r="17">
          <cell r="A17">
            <v>7</v>
          </cell>
          <cell r="B17" t="str">
            <v>PL</v>
          </cell>
          <cell r="C17" t="str">
            <v>波蘭</v>
          </cell>
          <cell r="D17" t="str">
            <v>Poland</v>
          </cell>
          <cell r="E17">
            <v>115454</v>
          </cell>
        </row>
        <row r="18">
          <cell r="A18">
            <v>8</v>
          </cell>
          <cell r="B18" t="str">
            <v>CA</v>
          </cell>
          <cell r="C18" t="str">
            <v>加拿大</v>
          </cell>
          <cell r="D18" t="str">
            <v>Canada</v>
          </cell>
          <cell r="E18">
            <v>110875</v>
          </cell>
        </row>
        <row r="19">
          <cell r="A19">
            <v>9</v>
          </cell>
          <cell r="B19" t="str">
            <v>HU</v>
          </cell>
          <cell r="C19" t="str">
            <v>匈牙利</v>
          </cell>
          <cell r="D19" t="str">
            <v>Hungary</v>
          </cell>
          <cell r="E19">
            <v>68139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67377</v>
          </cell>
        </row>
        <row r="21">
          <cell r="A21">
            <v>11</v>
          </cell>
          <cell r="B21" t="str">
            <v>JP</v>
          </cell>
          <cell r="C21" t="str">
            <v>日本</v>
          </cell>
          <cell r="D21" t="str">
            <v>Japan</v>
          </cell>
          <cell r="E21">
            <v>66931</v>
          </cell>
        </row>
        <row r="22">
          <cell r="A22">
            <v>12</v>
          </cell>
          <cell r="B22" t="str">
            <v>BR</v>
          </cell>
          <cell r="C22" t="str">
            <v>巴西</v>
          </cell>
          <cell r="D22" t="str">
            <v>Brazil</v>
          </cell>
          <cell r="E22">
            <v>45691</v>
          </cell>
        </row>
      </sheetData>
      <sheetData sheetId="2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2268398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418252</v>
          </cell>
        </row>
        <row r="12">
          <cell r="A12">
            <v>2</v>
          </cell>
          <cell r="B12" t="str">
            <v>US</v>
          </cell>
          <cell r="C12" t="str">
            <v>美國</v>
          </cell>
          <cell r="D12" t="str">
            <v>United States</v>
          </cell>
          <cell r="E12">
            <v>311035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223909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210081</v>
          </cell>
        </row>
        <row r="15">
          <cell r="A15">
            <v>5</v>
          </cell>
          <cell r="B15" t="str">
            <v>VN</v>
          </cell>
          <cell r="C15" t="str">
            <v>越南</v>
          </cell>
          <cell r="D15" t="str">
            <v>Viet Nam</v>
          </cell>
          <cell r="E15">
            <v>200065</v>
          </cell>
        </row>
        <row r="16">
          <cell r="A16">
            <v>6</v>
          </cell>
          <cell r="B16" t="str">
            <v>CN</v>
          </cell>
          <cell r="C16" t="str">
            <v>中國大陸</v>
          </cell>
          <cell r="D16" t="str">
            <v>China</v>
          </cell>
          <cell r="E16">
            <v>158380</v>
          </cell>
        </row>
        <row r="17">
          <cell r="A17">
            <v>7</v>
          </cell>
          <cell r="B17" t="str">
            <v>BR</v>
          </cell>
          <cell r="C17" t="str">
            <v>巴西</v>
          </cell>
          <cell r="D17" t="str">
            <v>Brazil</v>
          </cell>
          <cell r="E17">
            <v>133259</v>
          </cell>
        </row>
        <row r="18">
          <cell r="A18">
            <v>8</v>
          </cell>
          <cell r="B18" t="str">
            <v>IT</v>
          </cell>
          <cell r="C18" t="str">
            <v>義大利</v>
          </cell>
          <cell r="D18" t="str">
            <v>Italy</v>
          </cell>
          <cell r="E18">
            <v>100891</v>
          </cell>
        </row>
        <row r="19">
          <cell r="A19">
            <v>9</v>
          </cell>
          <cell r="B19" t="str">
            <v>PA</v>
          </cell>
          <cell r="C19" t="str">
            <v>巴拿馬</v>
          </cell>
          <cell r="D19" t="str">
            <v>Panama</v>
          </cell>
          <cell r="E19">
            <v>87568</v>
          </cell>
        </row>
        <row r="20">
          <cell r="A20">
            <v>10</v>
          </cell>
          <cell r="B20" t="str">
            <v>ES</v>
          </cell>
          <cell r="C20" t="str">
            <v>西班牙</v>
          </cell>
          <cell r="D20" t="str">
            <v>Spain</v>
          </cell>
          <cell r="E20">
            <v>46487</v>
          </cell>
        </row>
        <row r="21">
          <cell r="A21">
            <v>11</v>
          </cell>
          <cell r="B21" t="str">
            <v>CO</v>
          </cell>
          <cell r="C21" t="str">
            <v>哥倫比亞</v>
          </cell>
          <cell r="D21" t="str">
            <v>Colombia</v>
          </cell>
          <cell r="E21">
            <v>42829</v>
          </cell>
        </row>
        <row r="22">
          <cell r="A22">
            <v>12</v>
          </cell>
          <cell r="B22" t="str">
            <v>KH</v>
          </cell>
          <cell r="C22" t="str">
            <v>柬埔寨</v>
          </cell>
          <cell r="D22" t="str">
            <v>Cambodia</v>
          </cell>
          <cell r="E22">
            <v>33035</v>
          </cell>
        </row>
      </sheetData>
      <sheetData sheetId="3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739810</v>
          </cell>
        </row>
        <row r="11">
          <cell r="A11">
            <v>1</v>
          </cell>
          <cell r="B11" t="str">
            <v>CN</v>
          </cell>
          <cell r="C11" t="str">
            <v>中國大陸</v>
          </cell>
          <cell r="D11" t="str">
            <v>China</v>
          </cell>
          <cell r="E11">
            <v>355329</v>
          </cell>
        </row>
        <row r="12">
          <cell r="A12">
            <v>2</v>
          </cell>
          <cell r="B12" t="str">
            <v>IT</v>
          </cell>
          <cell r="C12" t="str">
            <v>義大利</v>
          </cell>
          <cell r="D12" t="str">
            <v>Italy</v>
          </cell>
          <cell r="E12">
            <v>282447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52304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28871</v>
          </cell>
        </row>
        <row r="15">
          <cell r="A15">
            <v>5</v>
          </cell>
          <cell r="B15" t="str">
            <v>SI</v>
          </cell>
          <cell r="C15" t="str">
            <v>斯洛維尼亞</v>
          </cell>
          <cell r="D15" t="str">
            <v>Slovenia</v>
          </cell>
          <cell r="E15">
            <v>13672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7123</v>
          </cell>
        </row>
        <row r="17">
          <cell r="A17">
            <v>7</v>
          </cell>
          <cell r="B17" t="str">
            <v>JP</v>
          </cell>
          <cell r="C17" t="str">
            <v>日本</v>
          </cell>
          <cell r="D17" t="str">
            <v>Japan</v>
          </cell>
          <cell r="E17">
            <v>64</v>
          </cell>
        </row>
      </sheetData>
      <sheetData sheetId="4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2534027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1981495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391545</v>
          </cell>
        </row>
        <row r="13">
          <cell r="A13">
            <v>3</v>
          </cell>
          <cell r="B13" t="str">
            <v>ID</v>
          </cell>
          <cell r="C13" t="str">
            <v>印尼</v>
          </cell>
          <cell r="D13" t="str">
            <v>Indonesia</v>
          </cell>
          <cell r="E13">
            <v>130716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30271</v>
          </cell>
        </row>
      </sheetData>
      <sheetData sheetId="5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7168776</v>
          </cell>
        </row>
        <row r="11">
          <cell r="A11">
            <v>1</v>
          </cell>
          <cell r="B11" t="str">
            <v>US</v>
          </cell>
          <cell r="C11" t="str">
            <v>美國</v>
          </cell>
          <cell r="D11" t="str">
            <v>United States</v>
          </cell>
          <cell r="E11">
            <v>1019938</v>
          </cell>
        </row>
        <row r="12">
          <cell r="A12">
            <v>2</v>
          </cell>
          <cell r="B12" t="str">
            <v>DE</v>
          </cell>
          <cell r="C12" t="str">
            <v>德國</v>
          </cell>
          <cell r="D12" t="str">
            <v>Germany</v>
          </cell>
          <cell r="E12">
            <v>1005216</v>
          </cell>
        </row>
        <row r="13">
          <cell r="A13">
            <v>3</v>
          </cell>
          <cell r="B13" t="str">
            <v>NL</v>
          </cell>
          <cell r="C13" t="str">
            <v>荷蘭</v>
          </cell>
          <cell r="D13" t="str">
            <v>Netherlands</v>
          </cell>
          <cell r="E13">
            <v>923020</v>
          </cell>
        </row>
        <row r="14">
          <cell r="A14">
            <v>4</v>
          </cell>
          <cell r="B14" t="str">
            <v>ES</v>
          </cell>
          <cell r="C14" t="str">
            <v>西班牙</v>
          </cell>
          <cell r="D14" t="str">
            <v>Spain</v>
          </cell>
          <cell r="E14">
            <v>747728</v>
          </cell>
        </row>
        <row r="15">
          <cell r="A15">
            <v>5</v>
          </cell>
          <cell r="B15" t="str">
            <v>CN</v>
          </cell>
          <cell r="C15" t="str">
            <v>中國大陸</v>
          </cell>
          <cell r="D15" t="str">
            <v>China</v>
          </cell>
          <cell r="E15">
            <v>740094</v>
          </cell>
        </row>
        <row r="16">
          <cell r="A16">
            <v>6</v>
          </cell>
          <cell r="B16" t="str">
            <v>VN</v>
          </cell>
          <cell r="C16" t="str">
            <v>越南</v>
          </cell>
          <cell r="D16" t="str">
            <v>Viet Nam</v>
          </cell>
          <cell r="E16">
            <v>653925</v>
          </cell>
        </row>
        <row r="17">
          <cell r="A17">
            <v>7</v>
          </cell>
          <cell r="B17" t="str">
            <v>FR</v>
          </cell>
          <cell r="C17" t="str">
            <v>法國</v>
          </cell>
          <cell r="D17" t="str">
            <v>France</v>
          </cell>
          <cell r="E17">
            <v>370778</v>
          </cell>
        </row>
        <row r="18">
          <cell r="A18">
            <v>8</v>
          </cell>
          <cell r="B18" t="str">
            <v>KH</v>
          </cell>
          <cell r="C18" t="str">
            <v>柬埔寨</v>
          </cell>
          <cell r="D18" t="str">
            <v>Cambodia</v>
          </cell>
          <cell r="E18">
            <v>352847</v>
          </cell>
        </row>
        <row r="19">
          <cell r="A19">
            <v>9</v>
          </cell>
          <cell r="B19" t="str">
            <v>BG</v>
          </cell>
          <cell r="C19" t="str">
            <v>保加利亞</v>
          </cell>
          <cell r="D19" t="str">
            <v>Bulgaria</v>
          </cell>
          <cell r="E19">
            <v>294404</v>
          </cell>
        </row>
        <row r="20">
          <cell r="A20">
            <v>10</v>
          </cell>
          <cell r="B20" t="str">
            <v>GR</v>
          </cell>
          <cell r="C20" t="str">
            <v>希臘</v>
          </cell>
          <cell r="D20" t="str">
            <v>Greece</v>
          </cell>
          <cell r="E20">
            <v>213863</v>
          </cell>
        </row>
        <row r="21">
          <cell r="A21">
            <v>11</v>
          </cell>
          <cell r="B21" t="str">
            <v>HU</v>
          </cell>
          <cell r="C21" t="str">
            <v>匈牙利</v>
          </cell>
          <cell r="D21" t="str">
            <v>Hungary</v>
          </cell>
          <cell r="E21">
            <v>110620</v>
          </cell>
        </row>
        <row r="22">
          <cell r="A22">
            <v>12</v>
          </cell>
          <cell r="B22" t="str">
            <v>SI</v>
          </cell>
          <cell r="C22" t="str">
            <v>斯洛維尼亞</v>
          </cell>
          <cell r="D22" t="str">
            <v>Slovenia</v>
          </cell>
          <cell r="E22">
            <v>90430</v>
          </cell>
        </row>
      </sheetData>
      <sheetData sheetId="6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1518156</v>
          </cell>
        </row>
        <row r="11">
          <cell r="A11">
            <v>1</v>
          </cell>
          <cell r="B11" t="str">
            <v>NL</v>
          </cell>
          <cell r="C11" t="str">
            <v>荷蘭</v>
          </cell>
          <cell r="D11" t="str">
            <v>Netherlands</v>
          </cell>
          <cell r="E11">
            <v>514307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119587</v>
          </cell>
        </row>
        <row r="13">
          <cell r="A13">
            <v>3</v>
          </cell>
          <cell r="B13" t="str">
            <v>VN</v>
          </cell>
          <cell r="C13" t="str">
            <v>越南</v>
          </cell>
          <cell r="D13" t="str">
            <v>Viet Nam</v>
          </cell>
          <cell r="E13">
            <v>116916</v>
          </cell>
        </row>
        <row r="14">
          <cell r="A14">
            <v>4</v>
          </cell>
          <cell r="B14" t="str">
            <v>GB</v>
          </cell>
          <cell r="C14" t="str">
            <v>英國</v>
          </cell>
          <cell r="D14" t="str">
            <v>United Kingdom</v>
          </cell>
          <cell r="E14">
            <v>104737</v>
          </cell>
        </row>
        <row r="15">
          <cell r="A15">
            <v>5</v>
          </cell>
          <cell r="B15" t="str">
            <v>RU</v>
          </cell>
          <cell r="C15" t="str">
            <v>俄羅斯</v>
          </cell>
          <cell r="D15" t="str">
            <v>Russian Federation</v>
          </cell>
          <cell r="E15">
            <v>86264</v>
          </cell>
        </row>
        <row r="16">
          <cell r="A16">
            <v>6</v>
          </cell>
          <cell r="B16" t="str">
            <v>PL</v>
          </cell>
          <cell r="C16" t="str">
            <v>波蘭</v>
          </cell>
          <cell r="D16" t="str">
            <v>Poland</v>
          </cell>
          <cell r="E16">
            <v>66295</v>
          </cell>
        </row>
        <row r="17">
          <cell r="A17">
            <v>7</v>
          </cell>
          <cell r="B17" t="str">
            <v>KH</v>
          </cell>
          <cell r="C17" t="str">
            <v>柬埔寨</v>
          </cell>
          <cell r="D17" t="str">
            <v>Cambodia</v>
          </cell>
          <cell r="E17">
            <v>60192</v>
          </cell>
        </row>
        <row r="18">
          <cell r="A18">
            <v>8</v>
          </cell>
          <cell r="B18" t="str">
            <v>US</v>
          </cell>
          <cell r="C18" t="str">
            <v>美國</v>
          </cell>
          <cell r="D18" t="str">
            <v>United States</v>
          </cell>
          <cell r="E18">
            <v>42829</v>
          </cell>
        </row>
        <row r="19">
          <cell r="A19">
            <v>9</v>
          </cell>
          <cell r="B19" t="str">
            <v>ES</v>
          </cell>
          <cell r="C19" t="str">
            <v>西班牙</v>
          </cell>
          <cell r="D19" t="str">
            <v>Spain</v>
          </cell>
          <cell r="E19">
            <v>34595</v>
          </cell>
        </row>
        <row r="20">
          <cell r="A20">
            <v>10</v>
          </cell>
          <cell r="B20" t="str">
            <v>HU</v>
          </cell>
          <cell r="C20" t="str">
            <v>匈牙利</v>
          </cell>
          <cell r="D20" t="str">
            <v>Hungary</v>
          </cell>
          <cell r="E20">
            <v>34531</v>
          </cell>
        </row>
        <row r="21">
          <cell r="A21">
            <v>11</v>
          </cell>
          <cell r="B21" t="str">
            <v>CA</v>
          </cell>
          <cell r="C21" t="str">
            <v>加拿大</v>
          </cell>
          <cell r="D21" t="str">
            <v>Canada</v>
          </cell>
          <cell r="E21">
            <v>32782</v>
          </cell>
        </row>
        <row r="22">
          <cell r="A22">
            <v>12</v>
          </cell>
          <cell r="B22" t="str">
            <v>AU</v>
          </cell>
          <cell r="C22" t="str">
            <v>澳大利亞</v>
          </cell>
          <cell r="D22" t="str">
            <v>Australia</v>
          </cell>
          <cell r="E22">
            <v>31128</v>
          </cell>
        </row>
      </sheetData>
      <sheetData sheetId="7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426078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244934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124301</v>
          </cell>
        </row>
        <row r="13">
          <cell r="A13">
            <v>3</v>
          </cell>
          <cell r="B13" t="str">
            <v>PT</v>
          </cell>
          <cell r="C13" t="str">
            <v>葡萄牙</v>
          </cell>
          <cell r="D13" t="str">
            <v>Portugal</v>
          </cell>
          <cell r="E13">
            <v>48426</v>
          </cell>
        </row>
        <row r="14">
          <cell r="A14">
            <v>4</v>
          </cell>
          <cell r="B14" t="str">
            <v>VN</v>
          </cell>
          <cell r="C14" t="str">
            <v>越南</v>
          </cell>
          <cell r="D14" t="str">
            <v>Viet Nam</v>
          </cell>
          <cell r="E14">
            <v>4261</v>
          </cell>
        </row>
        <row r="15">
          <cell r="A15">
            <v>5</v>
          </cell>
          <cell r="B15" t="str">
            <v>IT</v>
          </cell>
          <cell r="C15" t="str">
            <v>義大利</v>
          </cell>
          <cell r="D15" t="str">
            <v>Italy</v>
          </cell>
          <cell r="E15">
            <v>2152</v>
          </cell>
        </row>
        <row r="16">
          <cell r="A16">
            <v>6</v>
          </cell>
          <cell r="B16" t="str">
            <v>TW</v>
          </cell>
          <cell r="C16" t="str">
            <v>中華民國</v>
          </cell>
          <cell r="D16" t="str">
            <v>Taiwan, Roc</v>
          </cell>
          <cell r="E16">
            <v>1940</v>
          </cell>
        </row>
        <row r="17">
          <cell r="A17">
            <v>7</v>
          </cell>
          <cell r="B17" t="str">
            <v>TH</v>
          </cell>
          <cell r="C17" t="str">
            <v>泰國</v>
          </cell>
          <cell r="D17" t="str">
            <v>Thailand</v>
          </cell>
          <cell r="E17">
            <v>64</v>
          </cell>
        </row>
      </sheetData>
      <sheetData sheetId="8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2706443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1904863</v>
          </cell>
        </row>
        <row r="12">
          <cell r="A12">
            <v>2</v>
          </cell>
          <cell r="B12" t="str">
            <v>CN</v>
          </cell>
          <cell r="C12" t="str">
            <v>中國大陸</v>
          </cell>
          <cell r="D12" t="str">
            <v>China</v>
          </cell>
          <cell r="E12">
            <v>451320</v>
          </cell>
        </row>
        <row r="13">
          <cell r="A13">
            <v>3</v>
          </cell>
          <cell r="B13" t="str">
            <v>MY</v>
          </cell>
          <cell r="C13" t="str">
            <v>馬來西亞</v>
          </cell>
          <cell r="D13" t="str">
            <v>Malaysia</v>
          </cell>
          <cell r="E13">
            <v>245457</v>
          </cell>
        </row>
        <row r="14">
          <cell r="A14">
            <v>4</v>
          </cell>
          <cell r="B14" t="str">
            <v>IT</v>
          </cell>
          <cell r="C14" t="str">
            <v>義大利</v>
          </cell>
          <cell r="D14" t="str">
            <v>Italy</v>
          </cell>
          <cell r="E14">
            <v>56027</v>
          </cell>
        </row>
        <row r="15">
          <cell r="A15">
            <v>5</v>
          </cell>
          <cell r="B15" t="str">
            <v>TW</v>
          </cell>
          <cell r="C15" t="str">
            <v>中華民國</v>
          </cell>
          <cell r="D15" t="str">
            <v>Taiwan, Roc</v>
          </cell>
          <cell r="E15">
            <v>24483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18060</v>
          </cell>
        </row>
        <row r="17">
          <cell r="A17">
            <v>7</v>
          </cell>
          <cell r="B17" t="str">
            <v>DK</v>
          </cell>
          <cell r="C17" t="str">
            <v>丹麥</v>
          </cell>
          <cell r="D17" t="str">
            <v>Denmark</v>
          </cell>
          <cell r="E17">
            <v>3943</v>
          </cell>
        </row>
        <row r="18">
          <cell r="A18">
            <v>8</v>
          </cell>
          <cell r="B18" t="str">
            <v>PH</v>
          </cell>
          <cell r="C18" t="str">
            <v>菲律賓</v>
          </cell>
          <cell r="D18" t="str">
            <v>Philippines</v>
          </cell>
          <cell r="E18">
            <v>1049</v>
          </cell>
        </row>
        <row r="19">
          <cell r="A19">
            <v>9</v>
          </cell>
          <cell r="B19" t="str">
            <v>GM</v>
          </cell>
          <cell r="C19" t="str">
            <v>甘比亞</v>
          </cell>
          <cell r="D19" t="str">
            <v>Gambia</v>
          </cell>
          <cell r="E19">
            <v>859</v>
          </cell>
        </row>
        <row r="20">
          <cell r="A20">
            <v>10</v>
          </cell>
          <cell r="B20" t="str">
            <v>DE</v>
          </cell>
          <cell r="C20" t="str">
            <v>德國</v>
          </cell>
          <cell r="D20" t="str">
            <v>Germany</v>
          </cell>
          <cell r="E20">
            <v>382</v>
          </cell>
        </row>
      </sheetData>
      <sheetData sheetId="9">
        <row r="10">
          <cell r="B10" t="str">
            <v>總計</v>
          </cell>
          <cell r="C10" t="str">
            <v>全球</v>
          </cell>
          <cell r="D10" t="str">
            <v>Global</v>
          </cell>
          <cell r="E10">
            <v>7278187</v>
          </cell>
        </row>
        <row r="11">
          <cell r="A11">
            <v>1</v>
          </cell>
          <cell r="B11" t="str">
            <v>DE</v>
          </cell>
          <cell r="C11" t="str">
            <v>德國</v>
          </cell>
          <cell r="D11" t="str">
            <v>Germany</v>
          </cell>
          <cell r="E11">
            <v>2048079</v>
          </cell>
        </row>
        <row r="12">
          <cell r="A12">
            <v>2</v>
          </cell>
          <cell r="B12" t="str">
            <v>VN</v>
          </cell>
          <cell r="C12" t="str">
            <v>越南</v>
          </cell>
          <cell r="D12" t="str">
            <v>Viet Nam</v>
          </cell>
          <cell r="E12">
            <v>792527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734118</v>
          </cell>
        </row>
        <row r="14">
          <cell r="A14">
            <v>4</v>
          </cell>
          <cell r="B14" t="str">
            <v>US</v>
          </cell>
          <cell r="C14" t="str">
            <v>美國</v>
          </cell>
          <cell r="D14" t="str">
            <v>United States</v>
          </cell>
          <cell r="E14">
            <v>698504</v>
          </cell>
        </row>
        <row r="15">
          <cell r="A15">
            <v>5</v>
          </cell>
          <cell r="B15" t="str">
            <v>NL</v>
          </cell>
          <cell r="C15" t="str">
            <v>荷蘭</v>
          </cell>
          <cell r="D15" t="str">
            <v>Netherlands</v>
          </cell>
          <cell r="E15">
            <v>662511</v>
          </cell>
        </row>
        <row r="16">
          <cell r="A16">
            <v>6</v>
          </cell>
          <cell r="B16" t="str">
            <v>ES</v>
          </cell>
          <cell r="C16" t="str">
            <v>西班牙</v>
          </cell>
          <cell r="D16" t="str">
            <v>Spain</v>
          </cell>
          <cell r="E16">
            <v>452114</v>
          </cell>
        </row>
        <row r="17">
          <cell r="A17">
            <v>7</v>
          </cell>
          <cell r="B17" t="str">
            <v>GB</v>
          </cell>
          <cell r="C17" t="str">
            <v>英國</v>
          </cell>
          <cell r="D17" t="str">
            <v>United Kingdom</v>
          </cell>
          <cell r="E17">
            <v>368076</v>
          </cell>
        </row>
        <row r="18">
          <cell r="A18">
            <v>8</v>
          </cell>
          <cell r="B18" t="str">
            <v>BE</v>
          </cell>
          <cell r="C18" t="str">
            <v>比利時</v>
          </cell>
          <cell r="D18" t="str">
            <v>Belgium</v>
          </cell>
          <cell r="E18">
            <v>277455</v>
          </cell>
        </row>
        <row r="19">
          <cell r="A19">
            <v>9</v>
          </cell>
          <cell r="B19" t="str">
            <v>KH</v>
          </cell>
          <cell r="C19" t="str">
            <v>柬埔寨</v>
          </cell>
          <cell r="D19" t="str">
            <v>Cambodia</v>
          </cell>
          <cell r="E19">
            <v>202067</v>
          </cell>
        </row>
        <row r="20">
          <cell r="A20">
            <v>10</v>
          </cell>
          <cell r="B20" t="str">
            <v>FR</v>
          </cell>
          <cell r="C20" t="str">
            <v>法國</v>
          </cell>
          <cell r="D20" t="str">
            <v>France</v>
          </cell>
          <cell r="E20">
            <v>172623</v>
          </cell>
        </row>
        <row r="21">
          <cell r="A21">
            <v>11</v>
          </cell>
          <cell r="B21" t="str">
            <v>GR</v>
          </cell>
          <cell r="C21" t="str">
            <v>希臘</v>
          </cell>
          <cell r="D21" t="str">
            <v>Greece</v>
          </cell>
          <cell r="E21">
            <v>129857</v>
          </cell>
        </row>
        <row r="22">
          <cell r="A22">
            <v>12</v>
          </cell>
          <cell r="B22" t="str">
            <v>IT</v>
          </cell>
          <cell r="C22" t="str">
            <v>義大利</v>
          </cell>
          <cell r="D22" t="str">
            <v>Italy</v>
          </cell>
          <cell r="E22">
            <v>103434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workbookViewId="0">
      <selection activeCell="C2" sqref="C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463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4" t="s">
        <v>108</v>
      </c>
      <c r="B3" s="555"/>
      <c r="C3" s="555"/>
      <c r="D3" s="555"/>
      <c r="E3" s="555"/>
      <c r="F3" s="555"/>
      <c r="G3" s="555"/>
      <c r="H3" s="555"/>
      <c r="I3" s="556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18308</v>
      </c>
      <c r="C7" s="22">
        <f>SUM(C8:C10)</f>
        <v>24350494</v>
      </c>
      <c r="D7" s="23">
        <f>IF(B7,C7/B7,0)</f>
        <v>1330.0466462748525</v>
      </c>
      <c r="E7" s="22">
        <f>SUM(E8:E10)</f>
        <v>487703</v>
      </c>
      <c r="F7" s="24">
        <f>E7/$E$67</f>
        <v>0.368388572395425</v>
      </c>
      <c r="G7" s="22">
        <f>SUM(G8:G10)</f>
        <v>518848027</v>
      </c>
      <c r="H7" s="24">
        <f>G7/$G$67</f>
        <v>0.3749618220059775</v>
      </c>
      <c r="I7" s="25">
        <f>IF(E7,G7/E7,0)</f>
        <v>1063.8606426452166</v>
      </c>
    </row>
    <row r="8" spans="1:9">
      <c r="A8" s="454" t="s">
        <v>201</v>
      </c>
      <c r="B8" s="27">
        <f>_xlfn.IFNA(VLOOKUP(A8,[1]出!$C$11:$E$73,3,0),-[2]整車!$B$22)</f>
        <v>15817</v>
      </c>
      <c r="C8" s="28">
        <f>_xlfn.IFNA(VLOOKUP(A8,[1]出!$C$11:$E$73,2,0),-[2]整車!$B$22)</f>
        <v>20300634</v>
      </c>
      <c r="D8" s="23">
        <f t="shared" ref="D8:D66" si="0">IF(B8,C8/B8,0)</f>
        <v>1283.469305177973</v>
      </c>
      <c r="E8" s="28">
        <f>_xlfn.IFNA(VLOOKUP(A8,[1]出同!$C$3:$H$107,6,0),-[2]整車!$B$22)</f>
        <v>440058</v>
      </c>
      <c r="F8" s="29">
        <f>E8/$E$67</f>
        <v>0.33239971538248875</v>
      </c>
      <c r="G8" s="27">
        <f>_xlfn.IFNA(VLOOKUP(A8,[1]出同!$C$3:$H$107,4,0),-[2]整車!$B$22)</f>
        <v>455285868</v>
      </c>
      <c r="H8" s="24">
        <f>G8/$G$67</f>
        <v>0.32902663152818151</v>
      </c>
      <c r="I8" s="25">
        <f t="shared" ref="I8:I66" si="1">IF(E8,G8/E8,0)</f>
        <v>1034.6042294424826</v>
      </c>
    </row>
    <row r="9" spans="1:9">
      <c r="A9" s="455" t="s">
        <v>7</v>
      </c>
      <c r="B9" s="27">
        <f>_xlfn.IFNA(VLOOKUP(A9,[1]出!$C$11:$E$73,3,0),-[2]整車!$B$22)</f>
        <v>1666</v>
      </c>
      <c r="C9" s="28">
        <f>_xlfn.IFNA(VLOOKUP(A9,[1]出!$C$11:$E$73,2,0),-[2]整車!$B$22)</f>
        <v>2834946</v>
      </c>
      <c r="D9" s="23">
        <f t="shared" si="0"/>
        <v>1701.6482593037215</v>
      </c>
      <c r="E9" s="28">
        <f>_xlfn.IFNA(VLOOKUP(A9,[1]出同!$C$3:$H$107,6,0),-[2]整車!$B$22)</f>
        <v>38569</v>
      </c>
      <c r="F9" s="29">
        <f>E9/$E$67</f>
        <v>2.9133261121459465E-2</v>
      </c>
      <c r="G9" s="27">
        <f>_xlfn.IFNA(VLOOKUP(A9,[1]出同!$C$3:$H$107,4,0),-[2]整車!$B$22)</f>
        <v>51109110</v>
      </c>
      <c r="H9" s="24">
        <f>G9/$G$67</f>
        <v>3.693560350900963E-2</v>
      </c>
      <c r="I9" s="25">
        <f t="shared" si="1"/>
        <v>1325.1344343903136</v>
      </c>
    </row>
    <row r="10" spans="1:9">
      <c r="A10" s="455" t="s">
        <v>8</v>
      </c>
      <c r="B10" s="27">
        <f>_xlfn.IFNA(VLOOKUP(A10,[1]出!$C$11:$E$73,3,0),-[2]整車!$B$22)</f>
        <v>825</v>
      </c>
      <c r="C10" s="28">
        <f>_xlfn.IFNA(VLOOKUP(A10,[1]出!$C$11:$E$73,2,0),-[2]整車!$B$22)</f>
        <v>1214914</v>
      </c>
      <c r="D10" s="23">
        <f t="shared" si="0"/>
        <v>1472.6230303030302</v>
      </c>
      <c r="E10" s="28">
        <f>_xlfn.IFNA(VLOOKUP(A10,[1]出同!$C$3:$H$107,6,0),-[2]整車!$B$22)</f>
        <v>9076</v>
      </c>
      <c r="F10" s="29">
        <f>E10/$E$67</f>
        <v>6.8555958914767326E-3</v>
      </c>
      <c r="G10" s="27">
        <f>_xlfn.IFNA(VLOOKUP(A10,[1]出同!$C$3:$H$107,4,0),-[2]整車!$B$22)</f>
        <v>12453049</v>
      </c>
      <c r="H10" s="24">
        <f>G10/$G$67</f>
        <v>8.9995869687863658E-3</v>
      </c>
      <c r="I10" s="25">
        <f t="shared" si="1"/>
        <v>1372.0856104010577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23876</v>
      </c>
      <c r="C12" s="33">
        <f>SUM(C13:C39)</f>
        <v>26688780</v>
      </c>
      <c r="D12" s="23">
        <f t="shared" si="0"/>
        <v>1117.8078405092981</v>
      </c>
      <c r="E12" s="33">
        <f>SUM(E13:E39)</f>
        <v>384611</v>
      </c>
      <c r="F12" s="24">
        <f t="shared" ref="F12:F27" si="2">E12/$E$67</f>
        <v>0.29051758389342858</v>
      </c>
      <c r="G12" s="33">
        <f>SUM(G13:G39)</f>
        <v>373452369</v>
      </c>
      <c r="H12" s="24">
        <f t="shared" ref="H12:H39" si="3">G12/$G$67</f>
        <v>0.26988708335724021</v>
      </c>
      <c r="I12" s="25">
        <f t="shared" si="1"/>
        <v>970.98722865440664</v>
      </c>
    </row>
    <row r="13" spans="1:9">
      <c r="A13" s="454" t="s">
        <v>202</v>
      </c>
      <c r="B13" s="27">
        <f>_xlfn.IFNA(VLOOKUP(A13,[1]出!$C$11:$E$73,3,0),-[2]整車!$B$22)</f>
        <v>10337</v>
      </c>
      <c r="C13" s="27">
        <f>_xlfn.IFNA(VLOOKUP(A13,[1]出!$C$11:$E$73,2,0),-[2]整車!$B$22)</f>
        <v>15532277</v>
      </c>
      <c r="D13" s="23">
        <f t="shared" si="0"/>
        <v>1502.5904034052433</v>
      </c>
      <c r="E13" s="27">
        <f>_xlfn.IFNA(VLOOKUP(A13,[1]出同!$C$3:$H$107,6,0),-[2]整車!$B$22)</f>
        <v>124269</v>
      </c>
      <c r="F13" s="29">
        <f t="shared" si="2"/>
        <v>9.3867127130665723E-2</v>
      </c>
      <c r="G13" s="27">
        <f>_xlfn.IFNA(VLOOKUP(A13,[1]出同!$C$3:$H$107,4,0),-[2]整車!$B$22)</f>
        <v>173586595</v>
      </c>
      <c r="H13" s="24">
        <f t="shared" si="3"/>
        <v>0.12544780465555033</v>
      </c>
      <c r="I13" s="25">
        <f t="shared" si="1"/>
        <v>1396.8616066758402</v>
      </c>
    </row>
    <row r="14" spans="1:9">
      <c r="A14" s="454" t="s">
        <v>203</v>
      </c>
      <c r="B14" s="27">
        <f>_xlfn.IFNA(VLOOKUP(A14,[1]出!$C$11:$E$73,3,0),-[2]整車!$B$22)</f>
        <v>3019</v>
      </c>
      <c r="C14" s="27">
        <f>_xlfn.IFNA(VLOOKUP(A14,[1]出!$C$11:$E$73,2,0),-[2]整車!$B$22)</f>
        <v>3122797</v>
      </c>
      <c r="D14" s="23">
        <f t="shared" si="0"/>
        <v>1034.381252070222</v>
      </c>
      <c r="E14" s="27">
        <f>_xlfn.IFNA(VLOOKUP(A14,[1]出同!$C$3:$H$107,6,0),-[2]整車!$B$22)</f>
        <v>87122</v>
      </c>
      <c r="F14" s="29">
        <f t="shared" si="2"/>
        <v>6.5807979865275007E-2</v>
      </c>
      <c r="G14" s="27">
        <f>_xlfn.IFNA(VLOOKUP(A14,[1]出同!$C$3:$H$107,4,0),-[2]整車!$B$22)</f>
        <v>54841286</v>
      </c>
      <c r="H14" s="24">
        <f t="shared" si="3"/>
        <v>3.9632777710670385E-2</v>
      </c>
      <c r="I14" s="25">
        <f t="shared" si="1"/>
        <v>629.47689446982395</v>
      </c>
    </row>
    <row r="15" spans="1:9">
      <c r="A15" s="455" t="s">
        <v>10</v>
      </c>
      <c r="B15" s="27">
        <f>_xlfn.IFNA(VLOOKUP(A15,[1]出!$C$11:$E$73,3,0),-[2]整車!$B$22)</f>
        <v>967</v>
      </c>
      <c r="C15" s="27">
        <f>_xlfn.IFNA(VLOOKUP(A15,[1]出!$C$11:$E$713,2,0),-[2]整車!$B$22)</f>
        <v>1235454</v>
      </c>
      <c r="D15" s="23">
        <f t="shared" si="0"/>
        <v>1277.6153050672183</v>
      </c>
      <c r="E15" s="27">
        <f>_xlfn.IFNA(VLOOKUP(A15,[1]出同!$C$3:$H$107,6,0),-[2]整車!$B$22)</f>
        <v>12436</v>
      </c>
      <c r="F15" s="29">
        <f t="shared" si="2"/>
        <v>9.3935864374619493E-3</v>
      </c>
      <c r="G15" s="27">
        <f>_xlfn.IFNA(VLOOKUP(A15,[1]出同!$C$3:$H$107,4,0),-[2]整車!$B$22)</f>
        <v>15120815</v>
      </c>
      <c r="H15" s="24">
        <f t="shared" si="3"/>
        <v>1.0927531854361884E-2</v>
      </c>
      <c r="I15" s="25">
        <f t="shared" si="1"/>
        <v>1215.8905596654872</v>
      </c>
    </row>
    <row r="16" spans="1:9">
      <c r="A16" s="454" t="s">
        <v>204</v>
      </c>
      <c r="B16" s="27">
        <f>_xlfn.IFNA(VLOOKUP(A16,[1]出!$C$11:$E$73,3,0),-[2]整車!$B$22)</f>
        <v>1573</v>
      </c>
      <c r="C16" s="27">
        <f>_xlfn.IFNA(VLOOKUP(A16,[1]出!$C$11:$E$713,2,0),-[2]整車!$B$22)</f>
        <v>2739364</v>
      </c>
      <c r="D16" s="23">
        <f t="shared" si="0"/>
        <v>1741.4901462174189</v>
      </c>
      <c r="E16" s="27">
        <f>_xlfn.IFNA(VLOOKUP(A16,[1]出同!$C$3:$H$107,6,0),-[2]整車!$B$22)</f>
        <v>38090</v>
      </c>
      <c r="F16" s="29">
        <f t="shared" si="2"/>
        <v>2.877144639779074E-2</v>
      </c>
      <c r="G16" s="27">
        <f>_xlfn.IFNA(VLOOKUP(A16,[1]出同!$C$3:$H$107,4,0),-[2]整車!$B$22)</f>
        <v>34481079</v>
      </c>
      <c r="H16" s="24">
        <f t="shared" si="3"/>
        <v>2.4918834675595768E-2</v>
      </c>
      <c r="I16" s="25">
        <f t="shared" si="1"/>
        <v>905.25279600945134</v>
      </c>
    </row>
    <row r="17" spans="1:9">
      <c r="A17" s="455" t="s">
        <v>11</v>
      </c>
      <c r="B17" s="27">
        <f>_xlfn.IFNA(VLOOKUP(A17,[1]出!$C$11:$E$73,3,0),-[2]整車!$B$22)</f>
        <v>1239</v>
      </c>
      <c r="C17" s="27">
        <f>_xlfn.IFNA(VLOOKUP(A17,[1]出!$C$11:$E$713,2,0),-[2]整車!$B$22)</f>
        <v>1448330</v>
      </c>
      <c r="D17" s="23">
        <f t="shared" si="0"/>
        <v>1168.950766747377</v>
      </c>
      <c r="E17" s="27">
        <f>_xlfn.IFNA(VLOOKUP(A17,[1]出同!$C$3:$H$107,6,0),-[2]整車!$B$22)</f>
        <v>13559</v>
      </c>
      <c r="F17" s="29">
        <f t="shared" si="2"/>
        <v>1.0241849349111175E-2</v>
      </c>
      <c r="G17" s="27">
        <f>_xlfn.IFNA(VLOOKUP(A17,[1]出同!$C$3:$H$107,4,0),-[2]整車!$B$22)</f>
        <v>19759127</v>
      </c>
      <c r="H17" s="24">
        <f t="shared" si="3"/>
        <v>1.4279553695146854E-2</v>
      </c>
      <c r="I17" s="25">
        <f t="shared" si="1"/>
        <v>1457.2702264178774</v>
      </c>
    </row>
    <row r="18" spans="1:9">
      <c r="A18" s="455" t="s">
        <v>12</v>
      </c>
      <c r="B18" s="27">
        <f>_xlfn.IFNA(VLOOKUP(A18,[1]出!$C$11:$E$73,3,0),-[2]整車!$B$22)</f>
        <v>1262</v>
      </c>
      <c r="C18" s="27">
        <f>_xlfn.IFNA(VLOOKUP(A18,[1]出!$C$11:$E$713,2,0),-[2]整車!$B$22)</f>
        <v>1060604</v>
      </c>
      <c r="D18" s="23">
        <f t="shared" si="0"/>
        <v>840.41521394611732</v>
      </c>
      <c r="E18" s="27">
        <f>_xlfn.IFNA(VLOOKUP(A18,[1]出同!$C$3:$H$107,6,0),-[2]整車!$B$22)</f>
        <v>33729</v>
      </c>
      <c r="F18" s="29">
        <f t="shared" si="2"/>
        <v>2.5477346168314093E-2</v>
      </c>
      <c r="G18" s="27">
        <f>_xlfn.IFNA(VLOOKUP(A18,[1]出同!$C$3:$H$107,4,0),-[2]整車!$B$22)</f>
        <v>45610147</v>
      </c>
      <c r="H18" s="24">
        <f t="shared" si="3"/>
        <v>3.2961605192883325E-2</v>
      </c>
      <c r="I18" s="25">
        <f t="shared" si="1"/>
        <v>1352.2531649322541</v>
      </c>
    </row>
    <row r="19" spans="1:9">
      <c r="A19" s="454" t="s">
        <v>205</v>
      </c>
      <c r="B19" s="27">
        <f>_xlfn.IFNA(VLOOKUP(A19,[1]出!$C$11:$E$73,3,0),-[2]整車!$B$22)</f>
        <v>2848</v>
      </c>
      <c r="C19" s="27">
        <f>_xlfn.IFNA(VLOOKUP(A19,[1]出!$C$11:$E$713,2,0),-[2]整車!$B$22)</f>
        <v>233482</v>
      </c>
      <c r="D19" s="23">
        <f t="shared" si="0"/>
        <v>81.981039325842701</v>
      </c>
      <c r="E19" s="27">
        <f>_xlfn.IFNA(VLOOKUP(A19,[1]出同!$C$3:$H$107,6,0),-[2]整車!$B$22)</f>
        <v>17981</v>
      </c>
      <c r="F19" s="29">
        <f t="shared" si="2"/>
        <v>1.3582026192666718E-2</v>
      </c>
      <c r="G19" s="27">
        <f>_xlfn.IFNA(VLOOKUP(A19,[1]出同!$C$3:$H$107,4,0),-[2]整車!$B$22)</f>
        <v>5504533</v>
      </c>
      <c r="H19" s="24">
        <f t="shared" si="3"/>
        <v>3.978023651561519E-3</v>
      </c>
      <c r="I19" s="25">
        <f t="shared" si="1"/>
        <v>306.13052666703743</v>
      </c>
    </row>
    <row r="20" spans="1:9">
      <c r="A20" s="455" t="s">
        <v>206</v>
      </c>
      <c r="B20" s="27">
        <f>_xlfn.IFNA(VLOOKUP(A20,[1]出!$C$11:$E$73,3,0),-[2]整車!$B$22)</f>
        <v>0</v>
      </c>
      <c r="C20" s="27">
        <f>_xlfn.IFNA(VLOOKUP(A20,[1]出!$C$11:$E$713,2,0),-[2]整車!$B$22)</f>
        <v>0</v>
      </c>
      <c r="D20" s="23">
        <f t="shared" si="0"/>
        <v>0</v>
      </c>
      <c r="E20" s="27">
        <f>_xlfn.IFNA(VLOOKUP(A20,[1]出同!$C$3:$H$107,6,0),-[2]整車!$B$22)</f>
        <v>85</v>
      </c>
      <c r="F20" s="29">
        <f t="shared" si="2"/>
        <v>6.4205117978792669E-5</v>
      </c>
      <c r="G20" s="27">
        <f>_xlfn.IFNA(VLOOKUP(A20,[1]出同!$C$3:$H$107,4,0),-[2]整車!$B$22)</f>
        <v>175126</v>
      </c>
      <c r="H20" s="24">
        <f t="shared" si="3"/>
        <v>1.2656030402640196E-4</v>
      </c>
      <c r="I20" s="25">
        <f t="shared" si="1"/>
        <v>2060.3058823529414</v>
      </c>
    </row>
    <row r="21" spans="1:9">
      <c r="A21" s="454" t="s">
        <v>207</v>
      </c>
      <c r="B21" s="27">
        <f>_xlfn.IFNA(VLOOKUP(A21,[1]出!$C$11:$E$73,3,0),-[2]整車!$B$22)</f>
        <v>0</v>
      </c>
      <c r="C21" s="27">
        <f>_xlfn.IFNA(VLOOKUP(A21,[1]出!$C$11:$E$713,2,0),-[2]整車!$B$22)</f>
        <v>0</v>
      </c>
      <c r="D21" s="23">
        <f t="shared" si="0"/>
        <v>0</v>
      </c>
      <c r="E21" s="27">
        <f>_xlfn.IFNA(VLOOKUP(A21,[1]出同!$C$3:$H$107,6,0),-[2]整車!$B$22)</f>
        <v>1895</v>
      </c>
      <c r="F21" s="29">
        <f t="shared" si="2"/>
        <v>1.4313964537624954E-3</v>
      </c>
      <c r="G21" s="27">
        <f>_xlfn.IFNA(VLOOKUP(A21,[1]出同!$C$3:$H$107,4,0),-[2]整車!$B$22)</f>
        <v>445459</v>
      </c>
      <c r="H21" s="24">
        <f t="shared" si="3"/>
        <v>3.2192493673867384E-4</v>
      </c>
      <c r="I21" s="25">
        <f t="shared" si="1"/>
        <v>235.0707124010554</v>
      </c>
    </row>
    <row r="22" spans="1:9">
      <c r="A22" s="455" t="s">
        <v>14</v>
      </c>
      <c r="B22" s="27">
        <f>_xlfn.IFNA(VLOOKUP(A22,[1]出!$C$11:$E$73,3,0),-[2]整車!$B$22)</f>
        <v>0</v>
      </c>
      <c r="C22" s="27">
        <f>_xlfn.IFNA(VLOOKUP(A22,[1]出!$C$11:$E$713,2,0),-[2]整車!$B$22)</f>
        <v>0</v>
      </c>
      <c r="D22" s="23">
        <f t="shared" si="0"/>
        <v>0</v>
      </c>
      <c r="E22" s="27">
        <f>_xlfn.IFNA(VLOOKUP(A22,[1]出同!$C$3:$H$107,6,0),-[2]整車!$B$22)</f>
        <v>0</v>
      </c>
      <c r="F22" s="29">
        <f t="shared" si="2"/>
        <v>0</v>
      </c>
      <c r="G22" s="27">
        <f>_xlfn.IFNA(VLOOKUP(A22,[1]出同!$C$3:$H$107,4,0),-[2]整車!$B$22)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55" t="s">
        <v>15</v>
      </c>
      <c r="B23" s="27">
        <f>_xlfn.IFNA(VLOOKUP(A23,[1]出!$C$11:$E$73,3,0),-[2]整車!$B$22)</f>
        <v>13</v>
      </c>
      <c r="C23" s="27">
        <f>_xlfn.IFNA(VLOOKUP(A23,[1]出!$C$11:$E$713,2,0),-[2]整車!$B$22)</f>
        <v>26582</v>
      </c>
      <c r="D23" s="23">
        <f t="shared" si="0"/>
        <v>2044.7692307692307</v>
      </c>
      <c r="E23" s="27">
        <f>_xlfn.IFNA(VLOOKUP(A23,[1]出同!$C$3:$H$107,6,0),-[2]整車!$B$22)</f>
        <v>161</v>
      </c>
      <c r="F23" s="29">
        <f t="shared" si="2"/>
        <v>1.2161204699512494E-4</v>
      </c>
      <c r="G23" s="27">
        <f>_xlfn.IFNA(VLOOKUP(A23,[1]出同!$C$3:$H$107,4,0),-[2]整車!$B$22)</f>
        <v>414738</v>
      </c>
      <c r="H23" s="24">
        <f t="shared" si="3"/>
        <v>2.9972344124402944E-4</v>
      </c>
      <c r="I23" s="25">
        <f t="shared" si="1"/>
        <v>2576.0124223602484</v>
      </c>
    </row>
    <row r="24" spans="1:9">
      <c r="A24" s="455" t="s">
        <v>16</v>
      </c>
      <c r="B24" s="27">
        <f>_xlfn.IFNA(VLOOKUP(A24,[1]出!$C$11:$E$73,3,0),-[2]整車!$B$22)</f>
        <v>0</v>
      </c>
      <c r="C24" s="27">
        <f>_xlfn.IFNA(VLOOKUP(A24,[1]出!$C$11:$E$713,2,0),-[2]整車!$B$22)</f>
        <v>0</v>
      </c>
      <c r="D24" s="23">
        <f t="shared" si="0"/>
        <v>0</v>
      </c>
      <c r="E24" s="27">
        <f>_xlfn.IFNA(VLOOKUP(A24,[1]出同!$C$3:$H$107,6,0),-[2]整車!$B$22)</f>
        <v>1650</v>
      </c>
      <c r="F24" s="29">
        <f t="shared" si="2"/>
        <v>1.24633464311774E-3</v>
      </c>
      <c r="G24" s="27">
        <f>_xlfn.IFNA(VLOOKUP(A24,[1]出同!$C$3:$H$107,4,0),-[2]整車!$B$22)</f>
        <v>1159739</v>
      </c>
      <c r="H24" s="24">
        <f t="shared" si="3"/>
        <v>8.3812181190271796E-4</v>
      </c>
      <c r="I24" s="25">
        <f t="shared" si="1"/>
        <v>702.87212121212121</v>
      </c>
    </row>
    <row r="25" spans="1:9">
      <c r="A25" s="454" t="s">
        <v>208</v>
      </c>
      <c r="B25" s="27">
        <f>_xlfn.IFNA(VLOOKUP(A25,[1]出!$C$11:$E$73,3,0),-[2]整車!$B$22)</f>
        <v>1097</v>
      </c>
      <c r="C25" s="27">
        <f>_xlfn.IFNA(VLOOKUP(A25,[1]出!$C$11:$E$713,2,0),-[2]整車!$B$22)</f>
        <v>250238</v>
      </c>
      <c r="D25" s="23">
        <f t="shared" si="0"/>
        <v>228.11121239744759</v>
      </c>
      <c r="E25" s="27">
        <f>_xlfn.IFNA(VLOOKUP(A25,[1]出同!$C$3:$H$107,6,0),-[2]整車!$B$22)</f>
        <v>22195</v>
      </c>
      <c r="F25" s="29">
        <f t="shared" si="2"/>
        <v>1.676508933575651E-2</v>
      </c>
      <c r="G25" s="27">
        <f>_xlfn.IFNA(VLOOKUP(A25,[1]出同!$C$3:$H$107,4,0),-[2]整車!$B$22)</f>
        <v>4910709</v>
      </c>
      <c r="H25" s="24">
        <f t="shared" si="3"/>
        <v>3.5488780879206309E-3</v>
      </c>
      <c r="I25" s="25">
        <f t="shared" si="1"/>
        <v>221.25293985131788</v>
      </c>
    </row>
    <row r="26" spans="1:9">
      <c r="A26" s="454" t="s">
        <v>209</v>
      </c>
      <c r="B26" s="27">
        <f>_xlfn.IFNA(VLOOKUP(A26,[1]出!$C$11:$E$73,3,0),-[2]整車!$B$22)</f>
        <v>0</v>
      </c>
      <c r="C26" s="27">
        <f>_xlfn.IFNA(VLOOKUP(A26,[1]出!$C$11:$E$713,2,0),-[2]整車!$B$22)</f>
        <v>0</v>
      </c>
      <c r="D26" s="23">
        <f t="shared" si="0"/>
        <v>0</v>
      </c>
      <c r="E26" s="27">
        <f>_xlfn.IFNA(VLOOKUP(A26,[1]出同!$C$3:$H$107,6,0),-[2]整車!$B$22)</f>
        <v>1936</v>
      </c>
      <c r="F26" s="29">
        <f t="shared" si="2"/>
        <v>1.4623659812581483E-3</v>
      </c>
      <c r="G26" s="27">
        <f>_xlfn.IFNA(VLOOKUP(A26,[1]出同!$C$3:$H$107,4,0),-[2]整車!$B$22)</f>
        <v>1070806</v>
      </c>
      <c r="H26" s="24">
        <f t="shared" si="3"/>
        <v>7.7385158636236414E-4</v>
      </c>
      <c r="I26" s="25">
        <f t="shared" si="1"/>
        <v>553.10227272727275</v>
      </c>
    </row>
    <row r="27" spans="1:9">
      <c r="A27" s="456" t="s">
        <v>210</v>
      </c>
      <c r="B27" s="27">
        <f>_xlfn.IFNA(VLOOKUP(A27,[1]出!$C$11:$E$73,3,0),-[2]整車!$B$22)</f>
        <v>508</v>
      </c>
      <c r="C27" s="27">
        <f>_xlfn.IFNA(VLOOKUP(A27,[1]出!$C$11:$E$713,2,0),-[2]整車!$B$22)</f>
        <v>391161</v>
      </c>
      <c r="D27" s="23">
        <f t="shared" si="0"/>
        <v>770.00196850393706</v>
      </c>
      <c r="E27" s="27">
        <f>_xlfn.IFNA(VLOOKUP(A27,[1]出同!$C$3:$H$107,6,0),-[2]整車!$B$22)</f>
        <v>13748</v>
      </c>
      <c r="F27" s="29">
        <f t="shared" si="2"/>
        <v>1.0384611317322844E-2</v>
      </c>
      <c r="G27" s="27">
        <f>_xlfn.IFNA(VLOOKUP(A27,[1]出同!$C$3:$H$107,4,0),-[2]整車!$B$22)</f>
        <v>8470846</v>
      </c>
      <c r="H27" s="24">
        <f t="shared" si="3"/>
        <v>6.1217229030574045E-3</v>
      </c>
      <c r="I27" s="25">
        <f t="shared" si="1"/>
        <v>616.15114925807393</v>
      </c>
    </row>
    <row r="28" spans="1:9">
      <c r="A28" s="456" t="s">
        <v>211</v>
      </c>
      <c r="B28" s="27">
        <f>_xlfn.IFNA(VLOOKUP(A28,[1]出!$C$11:$E$73,3,0),-[2]整車!$B$22)</f>
        <v>562</v>
      </c>
      <c r="C28" s="27">
        <f>_xlfn.IFNA(VLOOKUP(A28,[1]出!$C$11:$E$713,2,0),-[2]整車!$B$22)</f>
        <v>388904</v>
      </c>
      <c r="D28" s="23">
        <f t="shared" si="0"/>
        <v>692</v>
      </c>
      <c r="E28" s="27">
        <f>_xlfn.IFNA(VLOOKUP(A28,[1]出同!$C$3:$H$107,6,0),-[2]整車!$B$22)</f>
        <v>8944</v>
      </c>
      <c r="F28" s="29">
        <f t="shared" ref="F28:F39" si="4">E28/$E$67</f>
        <v>6.7558891200273138E-3</v>
      </c>
      <c r="G28" s="27">
        <f>_xlfn.IFNA(VLOOKUP(A28,[1]出同!$C$3:$H$107,4,0),-[2]整車!$B$22)</f>
        <v>4249823</v>
      </c>
      <c r="H28" s="24">
        <f t="shared" si="3"/>
        <v>3.0712680637849073E-3</v>
      </c>
      <c r="I28" s="25">
        <f t="shared" si="1"/>
        <v>475.15910107334525</v>
      </c>
    </row>
    <row r="29" spans="1:9">
      <c r="A29" s="455" t="s">
        <v>212</v>
      </c>
      <c r="B29" s="27">
        <f>_xlfn.IFNA(VLOOKUP(A29,[1]出!$C$11:$E$73,3,0),-[2]整車!$B$22)</f>
        <v>103</v>
      </c>
      <c r="C29" s="27">
        <f>_xlfn.IFNA(VLOOKUP(A29,[1]出!$C$11:$E$713,2,0),-[2]整車!$B$22)</f>
        <v>95740</v>
      </c>
      <c r="D29" s="23">
        <f t="shared" si="0"/>
        <v>929.51456310679612</v>
      </c>
      <c r="E29" s="27">
        <f>_xlfn.IFNA(VLOOKUP(A29,[1]出同!$C$3:$H$107,6,0),-[2]整車!$B$22)</f>
        <v>1701</v>
      </c>
      <c r="F29" s="29">
        <f t="shared" si="4"/>
        <v>1.2848577139050158E-3</v>
      </c>
      <c r="G29" s="27">
        <f>_xlfn.IFNA(VLOOKUP(A29,[1]出同!$C$3:$H$107,4,0),-[2]整車!$B$22)</f>
        <v>834624</v>
      </c>
      <c r="H29" s="24">
        <f t="shared" si="3"/>
        <v>6.0316724636965227E-4</v>
      </c>
      <c r="I29" s="25">
        <f t="shared" si="1"/>
        <v>490.66666666666669</v>
      </c>
    </row>
    <row r="30" spans="1:9">
      <c r="A30" s="455" t="s">
        <v>213</v>
      </c>
      <c r="B30" s="27">
        <f>_xlfn.IFNA(VLOOKUP(A30,[1]出!$C$11:$E$73,3,0),-[2]整車!$B$22)</f>
        <v>0</v>
      </c>
      <c r="C30" s="27">
        <f>_xlfn.IFNA(VLOOKUP(A30,[1]出!$C$11:$E$713,2,0),-[2]整車!$B$22)</f>
        <v>0</v>
      </c>
      <c r="D30" s="23">
        <f t="shared" si="0"/>
        <v>0</v>
      </c>
      <c r="E30" s="27">
        <f>_xlfn.IFNA(VLOOKUP(A30,[1]出同!$C$3:$H$107,6,0),-[2]整車!$B$22)</f>
        <v>22</v>
      </c>
      <c r="F30" s="29">
        <f t="shared" si="4"/>
        <v>1.6617795241569868E-5</v>
      </c>
      <c r="G30" s="27">
        <f>_xlfn.IFNA(VLOOKUP(A30,[1]出同!$C$3:$H$107,4,0),-[2]整車!$B$22)</f>
        <v>4265</v>
      </c>
      <c r="H30" s="24">
        <f t="shared" si="3"/>
        <v>3.0822361994941036E-6</v>
      </c>
      <c r="I30" s="25">
        <f t="shared" si="1"/>
        <v>193.86363636363637</v>
      </c>
    </row>
    <row r="31" spans="1:9">
      <c r="A31" s="455" t="s">
        <v>17</v>
      </c>
      <c r="B31" s="27">
        <f>_xlfn.IFNA(VLOOKUP(A31,[1]出!$C$11:$E$73,3,0),-[2]整車!$B$22)</f>
        <v>0</v>
      </c>
      <c r="C31" s="27">
        <f>_xlfn.IFNA(VLOOKUP(A31,[1]出!$C$11:$E$713,2,0),-[2]整車!$B$22)</f>
        <v>0</v>
      </c>
      <c r="D31" s="23">
        <f t="shared" si="0"/>
        <v>0</v>
      </c>
      <c r="E31" s="27">
        <f>_xlfn.IFNA(VLOOKUP(A31,[1]出同!$C$3:$H$107,6,0),-[2]整車!$B$22)</f>
        <v>1471</v>
      </c>
      <c r="F31" s="29">
        <f t="shared" si="4"/>
        <v>1.1111262181976943E-3</v>
      </c>
      <c r="G31" s="27">
        <f>_xlfn.IFNA(VLOOKUP(A31,[1]出同!$C$3:$H$107,4,0),-[2]整車!$B$22)</f>
        <v>1583777</v>
      </c>
      <c r="H31" s="24">
        <f t="shared" si="3"/>
        <v>1.14456619022888E-3</v>
      </c>
      <c r="I31" s="25">
        <f t="shared" si="1"/>
        <v>1076.6668932698844</v>
      </c>
    </row>
    <row r="32" spans="1:9">
      <c r="A32" s="455" t="s">
        <v>18</v>
      </c>
      <c r="B32" s="27">
        <f>_xlfn.IFNA(VLOOKUP(A32,[1]出!$C$11:$E$73,3,0),-[2]整車!$B$22)</f>
        <v>0</v>
      </c>
      <c r="C32" s="27">
        <f>_xlfn.IFNA(VLOOKUP(A32,[1]出!$C$11:$E$713,2,0),-[2]整車!$B$22)</f>
        <v>0</v>
      </c>
      <c r="D32" s="23">
        <f t="shared" si="0"/>
        <v>0</v>
      </c>
      <c r="E32" s="27">
        <f>_xlfn.IFNA(VLOOKUP(A32,[1]出同!$C$3:$H$107,6,0),-[2]整車!$B$22)</f>
        <v>50</v>
      </c>
      <c r="F32" s="29">
        <f t="shared" si="4"/>
        <v>3.7767716458113336E-5</v>
      </c>
      <c r="G32" s="27">
        <f>_xlfn.IFNA(VLOOKUP(A32,[1]出同!$C$3:$H$107,4,0),-[2]整車!$B$22)</f>
        <v>6219</v>
      </c>
      <c r="H32" s="24">
        <f t="shared" si="3"/>
        <v>4.4943556681486122E-6</v>
      </c>
      <c r="I32" s="25">
        <f t="shared" si="1"/>
        <v>124.38</v>
      </c>
    </row>
    <row r="33" spans="1:9">
      <c r="A33" s="455" t="s">
        <v>214</v>
      </c>
      <c r="B33" s="27">
        <f>_xlfn.IFNA(VLOOKUP(A33,[1]出!$C$11:$E$73,3,0),-[2]整車!$B$22)</f>
        <v>238</v>
      </c>
      <c r="C33" s="27">
        <f>_xlfn.IFNA(VLOOKUP(A33,[1]出!$C$11:$E$713,2,0),-[2]整車!$B$22)</f>
        <v>123688</v>
      </c>
      <c r="D33" s="23">
        <f t="shared" si="0"/>
        <v>519.69747899159665</v>
      </c>
      <c r="E33" s="27">
        <f>_xlfn.IFNA(VLOOKUP(A33,[1]出同!$C$3:$H$107,6,0),-[2]整車!$B$22)</f>
        <v>1385</v>
      </c>
      <c r="F33" s="29">
        <f t="shared" si="4"/>
        <v>1.0461657458897395E-3</v>
      </c>
      <c r="G33" s="27">
        <f>_xlfn.IFNA(VLOOKUP(A33,[1]出同!$C$3:$H$107,4,0),-[2]整車!$B$22)</f>
        <v>651362</v>
      </c>
      <c r="H33" s="24">
        <f t="shared" si="3"/>
        <v>4.7072720641849433E-4</v>
      </c>
      <c r="I33" s="25">
        <f t="shared" si="1"/>
        <v>470.29747292418773</v>
      </c>
    </row>
    <row r="34" spans="1:9">
      <c r="A34" s="455" t="s">
        <v>215</v>
      </c>
      <c r="B34" s="27">
        <f>_xlfn.IFNA(VLOOKUP(A34,[1]出!$C$11:$E$73,3,0),-[2]整車!$B$22)</f>
        <v>0</v>
      </c>
      <c r="C34" s="27">
        <f>_xlfn.IFNA(VLOOKUP(A34,[1]出!$C$11:$E$713,2,0),-[2]整車!$B$22)</f>
        <v>0</v>
      </c>
      <c r="D34" s="23">
        <f t="shared" si="0"/>
        <v>0</v>
      </c>
      <c r="E34" s="27">
        <f>_xlfn.IFNA(VLOOKUP(A34,[1]出同!$C$3:$H$107,6,0),-[2]整車!$B$22)</f>
        <v>427</v>
      </c>
      <c r="F34" s="29">
        <f t="shared" si="4"/>
        <v>3.2253629855228788E-4</v>
      </c>
      <c r="G34" s="27">
        <f>_xlfn.IFNA(VLOOKUP(A34,[1]出同!$C$3:$H$107,4,0),-[2]整車!$B$22)</f>
        <v>114645</v>
      </c>
      <c r="H34" s="24">
        <f t="shared" si="3"/>
        <v>8.2851809868933536E-5</v>
      </c>
      <c r="I34" s="25">
        <f t="shared" si="1"/>
        <v>268.4894613583138</v>
      </c>
    </row>
    <row r="35" spans="1:9">
      <c r="A35" s="455" t="s">
        <v>216</v>
      </c>
      <c r="B35" s="27">
        <f>_xlfn.IFNA(VLOOKUP(A35,[1]出!$C$11:$E$73,3,0),-[2]整車!$B$22)</f>
        <v>110</v>
      </c>
      <c r="C35" s="27">
        <f>_xlfn.IFNA(VLOOKUP(A35,[1]出!$C$11:$E$713,2,0),-[2]整車!$B$22)</f>
        <v>40159</v>
      </c>
      <c r="D35" s="23">
        <f t="shared" si="0"/>
        <v>365.08181818181816</v>
      </c>
      <c r="E35" s="27">
        <f>_xlfn.IFNA(VLOOKUP(A35,[1]出同!$C$3:$H$107,6,0),-[2]整車!$B$22)</f>
        <v>519</v>
      </c>
      <c r="F35" s="29">
        <f t="shared" si="4"/>
        <v>3.9202889683521644E-4</v>
      </c>
      <c r="G35" s="27">
        <f>_xlfn.IFNA(VLOOKUP(A35,[1]出同!$C$3:$H$107,4,0),-[2]整車!$B$22)</f>
        <v>205924</v>
      </c>
      <c r="H35" s="24">
        <f t="shared" si="3"/>
        <v>1.4881744598936079E-4</v>
      </c>
      <c r="I35" s="25">
        <f t="shared" si="1"/>
        <v>396.77071290944122</v>
      </c>
    </row>
    <row r="36" spans="1:9">
      <c r="A36" s="455" t="s">
        <v>217</v>
      </c>
      <c r="B36" s="27">
        <f>_xlfn.IFNA(VLOOKUP(A36,[1]出!$C$11:$E$73,3,0),-[2]整車!$B$22)</f>
        <v>0</v>
      </c>
      <c r="C36" s="27">
        <f>_xlfn.IFNA(VLOOKUP(A36,[1]出!$C$11:$E$713,2,0),-[2]整車!$B$22)</f>
        <v>0</v>
      </c>
      <c r="D36" s="23">
        <f t="shared" si="0"/>
        <v>0</v>
      </c>
      <c r="E36" s="27">
        <f>_xlfn.IFNA(VLOOKUP(A36,[1]出同!$C$3:$H$107,6,0),-[2]整車!$B$22)</f>
        <v>210</v>
      </c>
      <c r="F36" s="29">
        <f t="shared" si="4"/>
        <v>1.5862440912407601E-4</v>
      </c>
      <c r="G36" s="27">
        <f>_xlfn.IFNA(VLOOKUP(A36,[1]出同!$C$3:$H$107,4,0),-[2]整車!$B$22)</f>
        <v>33789</v>
      </c>
      <c r="H36" s="24">
        <f t="shared" si="3"/>
        <v>2.4418682050341446E-5</v>
      </c>
      <c r="I36" s="25">
        <f t="shared" si="1"/>
        <v>160.9</v>
      </c>
    </row>
    <row r="37" spans="1:9">
      <c r="A37" s="455" t="s">
        <v>218</v>
      </c>
      <c r="B37" s="27">
        <f>_xlfn.IFNA(VLOOKUP(A37,[1]出!$C$11:$E$73,3,0),-[2]整車!$B$22)</f>
        <v>0</v>
      </c>
      <c r="C37" s="27">
        <f>_xlfn.IFNA(VLOOKUP(A37,[1]出!$C$11:$E$713,2,0),-[2]整車!$B$22)</f>
        <v>0</v>
      </c>
      <c r="D37" s="23">
        <f t="shared" si="0"/>
        <v>0</v>
      </c>
      <c r="E37" s="27">
        <f>_xlfn.IFNA(VLOOKUP(A37,[1]出同!$C$3:$H$107,6,0),-[2]整車!$B$22)</f>
        <v>53</v>
      </c>
      <c r="F37" s="29">
        <f t="shared" si="4"/>
        <v>4.0033779445600139E-5</v>
      </c>
      <c r="G37" s="27">
        <f>_xlfn.IFNA(VLOOKUP(A37,[1]出同!$C$3:$H$107,4,0),-[2]整車!$B$22)</f>
        <v>6811</v>
      </c>
      <c r="H37" s="24">
        <f t="shared" si="3"/>
        <v>4.9221830609037139E-6</v>
      </c>
      <c r="I37" s="25">
        <f t="shared" si="1"/>
        <v>128.50943396226415</v>
      </c>
    </row>
    <row r="38" spans="1:9">
      <c r="A38" s="455" t="s">
        <v>219</v>
      </c>
      <c r="B38" s="27">
        <f>_xlfn.IFNA(VLOOKUP(A38,[1]出!$C$11:$E$73,3,0),-[2]整車!$B$22)</f>
        <v>0</v>
      </c>
      <c r="C38" s="27">
        <f>_xlfn.IFNA(VLOOKUP(A38,[1]出!$C$11:$E$713,2,0),-[2]整車!$B$22)</f>
        <v>0</v>
      </c>
      <c r="D38" s="23">
        <f t="shared" si="0"/>
        <v>0</v>
      </c>
      <c r="E38" s="27">
        <f>_xlfn.IFNA(VLOOKUP(A38,[1]出同!$C$3:$H$107,6,0),-[2]整車!$B$22)</f>
        <v>395</v>
      </c>
      <c r="F38" s="29">
        <f t="shared" si="4"/>
        <v>2.9836496001909538E-4</v>
      </c>
      <c r="G38" s="27">
        <f>_xlfn.IFNA(VLOOKUP(A38,[1]出同!$C$3:$H$107,4,0),-[2]整車!$B$22)</f>
        <v>61429</v>
      </c>
      <c r="H38" s="24">
        <f t="shared" si="3"/>
        <v>4.4393596131001943E-5</v>
      </c>
      <c r="I38" s="25">
        <f t="shared" si="1"/>
        <v>155.51645569620254</v>
      </c>
    </row>
    <row r="39" spans="1:9">
      <c r="A39" s="455" t="s">
        <v>19</v>
      </c>
      <c r="B39" s="27">
        <f>_xlfn.IFNA(VLOOKUP(A39,[1]出!$C$11:$E$73,3,0),-[2]整車!$B$22)</f>
        <v>0</v>
      </c>
      <c r="C39" s="27">
        <f>_xlfn.IFNA(VLOOKUP(A39,[1]出!$C$11:$E$713,2,0),-[2]整車!$B$22)</f>
        <v>0</v>
      </c>
      <c r="D39" s="23">
        <f t="shared" si="0"/>
        <v>0</v>
      </c>
      <c r="E39" s="27">
        <f>_xlfn.IFNA(VLOOKUP(A39,[1]出同!$C$3:$H$107,6,0),-[2]整車!$B$22)</f>
        <v>578</v>
      </c>
      <c r="F39" s="29">
        <f t="shared" si="4"/>
        <v>4.3659480225579018E-4</v>
      </c>
      <c r="G39" s="27">
        <f>_xlfn.IFNA(VLOOKUP(A39,[1]出同!$C$3:$H$107,4,0),-[2]整車!$B$22)</f>
        <v>148696</v>
      </c>
      <c r="H39" s="24">
        <f t="shared" si="3"/>
        <v>1.0745983444782537E-4</v>
      </c>
      <c r="I39" s="25">
        <f t="shared" si="1"/>
        <v>257.25951557093424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2971</v>
      </c>
      <c r="C41" s="33">
        <f>SUM(C42:C45)</f>
        <v>4158251</v>
      </c>
      <c r="D41" s="23">
        <f t="shared" si="0"/>
        <v>1399.6132615281051</v>
      </c>
      <c r="E41" s="33">
        <f>SUM(E42:E45)</f>
        <v>38841</v>
      </c>
      <c r="F41" s="24">
        <f>E41/$E$67</f>
        <v>2.9338717498991602E-2</v>
      </c>
      <c r="G41" s="33">
        <f>SUM(G42:G45)</f>
        <v>31012039</v>
      </c>
      <c r="H41" s="24">
        <f>G41/$G$67</f>
        <v>2.2411823968563404E-2</v>
      </c>
      <c r="I41" s="25">
        <f t="shared" si="1"/>
        <v>798.43564789783989</v>
      </c>
    </row>
    <row r="42" spans="1:9">
      <c r="A42" s="454" t="s">
        <v>220</v>
      </c>
      <c r="B42" s="27">
        <f>_xlfn.IFNA(VLOOKUP(A42,[1]出!$C$11:$E$73,3,0),-[2]整車!$B$22)</f>
        <v>1487</v>
      </c>
      <c r="C42" s="27">
        <f>_xlfn.IFNA(VLOOKUP(A42,[1]出!$C$11:$E$73,2,0),-[2]整車!$B$22)</f>
        <v>2677616</v>
      </c>
      <c r="D42" s="23">
        <f t="shared" si="0"/>
        <v>1800.6832548755885</v>
      </c>
      <c r="E42" s="27">
        <f>_xlfn.IFNA(VLOOKUP(A42,[1]出同!$C$3:$H$107,6,0),-[2]整車!$B$22)</f>
        <v>14267</v>
      </c>
      <c r="F42" s="29">
        <f>E42/$E$67</f>
        <v>1.077664021415806E-2</v>
      </c>
      <c r="G42" s="27">
        <f>_xlfn.IFNA(VLOOKUP(A42,[1]出同!$C$3:$H$107,4,0),-[2]整車!$B$22)</f>
        <v>18891460</v>
      </c>
      <c r="H42" s="29">
        <f>G42/$G$67</f>
        <v>1.3652506887056244E-2</v>
      </c>
      <c r="I42" s="25">
        <f t="shared" si="1"/>
        <v>1324.1368192331954</v>
      </c>
    </row>
    <row r="43" spans="1:9">
      <c r="A43" s="454" t="s">
        <v>221</v>
      </c>
      <c r="B43" s="27">
        <f>_xlfn.IFNA(VLOOKUP(A43,[1]出!$C$11:$E$73,3,0),-[2]整車!$B$22)</f>
        <v>1484</v>
      </c>
      <c r="C43" s="27">
        <f>_xlfn.IFNA(VLOOKUP(A43,[1]出!$C$11:$E$73,2,0),-[2]整車!$B$22)</f>
        <v>1480635</v>
      </c>
      <c r="D43" s="23">
        <f t="shared" si="0"/>
        <v>997.73247978436655</v>
      </c>
      <c r="E43" s="27">
        <f>_xlfn.IFNA(VLOOKUP(A43,[1]出同!$C$3:$H$107,6,0),-[2]整車!$B$22)</f>
        <v>24354</v>
      </c>
      <c r="F43" s="29">
        <f>E43/$E$67</f>
        <v>1.8395899332417844E-2</v>
      </c>
      <c r="G43" s="27">
        <f>_xlfn.IFNA(VLOOKUP(A43,[1]出同!$C$3:$H$107,4,0),-[2]整車!$B$22)</f>
        <v>12014054</v>
      </c>
      <c r="H43" s="29">
        <f>G43/$G$67</f>
        <v>8.6823334446604773E-3</v>
      </c>
      <c r="I43" s="25">
        <f t="shared" si="1"/>
        <v>493.30927157756429</v>
      </c>
    </row>
    <row r="44" spans="1:9">
      <c r="A44" s="454" t="s">
        <v>222</v>
      </c>
      <c r="B44" s="27">
        <f>_xlfn.IFNA(VLOOKUP(A44,[1]出!$C$11:$E$73,3,0),-[2]整車!$B$22)</f>
        <v>0</v>
      </c>
      <c r="C44" s="27">
        <f>_xlfn.IFNA(VLOOKUP(A44,[1]出!$C$11:$E$73,2,0),-[2]整車!$B$22)</f>
        <v>0</v>
      </c>
      <c r="D44" s="23">
        <f t="shared" si="0"/>
        <v>0</v>
      </c>
      <c r="E44" s="27">
        <f>_xlfn.IFNA(VLOOKUP(A44,[1]出同!$C$3:$H$107,6,0),-[2]整車!$B$22)</f>
        <v>220</v>
      </c>
      <c r="F44" s="29">
        <f>E44/$E$67</f>
        <v>1.6617795241569868E-4</v>
      </c>
      <c r="G44" s="27">
        <f>_xlfn.IFNA(VLOOKUP(A44,[1]出同!$C$3:$H$107,4,0),-[2]整車!$B$22)</f>
        <v>106525</v>
      </c>
      <c r="H44" s="29">
        <f>G44/$G$67</f>
        <v>7.6983636846684496E-5</v>
      </c>
      <c r="I44" s="25">
        <f t="shared" si="1"/>
        <v>484.20454545454544</v>
      </c>
    </row>
    <row r="45" spans="1:9">
      <c r="A45" s="455" t="s">
        <v>21</v>
      </c>
      <c r="B45" s="27">
        <f>_xlfn.IFNA(VLOOKUP(A45,[1]出!$C$11:$E$73,3,0),-[2]整車!$B$22)</f>
        <v>0</v>
      </c>
      <c r="C45" s="27">
        <f>_xlfn.IFNA(VLOOKUP(A45,[1]出!$C$11:$E$73,2,0),-[2]整車!$B$22)</f>
        <v>0</v>
      </c>
      <c r="D45" s="23">
        <f t="shared" si="0"/>
        <v>0</v>
      </c>
      <c r="E45" s="27">
        <f>_xlfn.IFNA(VLOOKUP(A45,[1]出同!$C$3:$H$107,6,0),-[2]整車!$B$22)</f>
        <v>0</v>
      </c>
      <c r="F45" s="29">
        <f>E45/$E$67</f>
        <v>0</v>
      </c>
      <c r="G45" s="27">
        <f>_xlfn.IFNA(VLOOKUP(A45,[1]出同!$C$3:$H$107,4,0),-[2]整車!$B$22)</f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26122</v>
      </c>
      <c r="C47" s="33">
        <f>SUM(C48:C65)</f>
        <v>32162739</v>
      </c>
      <c r="D47" s="23">
        <f t="shared" si="0"/>
        <v>1231.2510144705611</v>
      </c>
      <c r="E47" s="33">
        <f>SUM(E48:E65)</f>
        <v>383613</v>
      </c>
      <c r="F47" s="24">
        <f t="shared" ref="F47:F65" si="5">E47/$E$67</f>
        <v>0.28976374027292462</v>
      </c>
      <c r="G47" s="33">
        <f>SUM(G48:G65)</f>
        <v>420500287</v>
      </c>
      <c r="H47" s="24">
        <f t="shared" ref="H47:H66" si="6">G47/$G$67</f>
        <v>0.30388773891888859</v>
      </c>
      <c r="I47" s="25">
        <f t="shared" si="1"/>
        <v>1096.1575520120539</v>
      </c>
    </row>
    <row r="48" spans="1:9">
      <c r="A48" s="487" t="s">
        <v>163</v>
      </c>
      <c r="B48" s="27">
        <f>_xlfn.IFNA(VLOOKUP(A48,[1]出!$C$11:$E$73,3,0),-[2]整車!$B$22)</f>
        <v>2148</v>
      </c>
      <c r="C48" s="27">
        <f>_xlfn.IFNA(VLOOKUP(A48,[1]出!$C$11:$E$73,2,0),-[2]整車!$B$22)</f>
        <v>2420765</v>
      </c>
      <c r="D48" s="23">
        <f t="shared" si="0"/>
        <v>1126.9855679702048</v>
      </c>
      <c r="E48" s="27">
        <f>_xlfn.IFNA(VLOOKUP(A48,[1]出同!$C$3:$H$107,6,0),-[2]整車!$B$22)</f>
        <v>77343</v>
      </c>
      <c r="F48" s="29">
        <f t="shared" ref="F48" si="7">E48/$E$67</f>
        <v>5.8421369880397193E-2</v>
      </c>
      <c r="G48" s="27">
        <f>_xlfn.IFNA(VLOOKUP(A48,[1]出同!$C$3:$H$107,4,0),-[2]整車!$B$22)</f>
        <v>71878744</v>
      </c>
      <c r="H48" s="29">
        <f t="shared" ref="H48" si="8">G48/$G$67</f>
        <v>5.19454318243774E-2</v>
      </c>
      <c r="I48" s="25">
        <f t="shared" si="1"/>
        <v>929.35034844782331</v>
      </c>
    </row>
    <row r="49" spans="1:9">
      <c r="A49" s="454" t="s">
        <v>223</v>
      </c>
      <c r="B49" s="27">
        <f>_xlfn.IFNA(VLOOKUP(A49,[1]出!$C$11:$E$73,3,0),-[2]整車!$B$22)</f>
        <v>5938</v>
      </c>
      <c r="C49" s="27">
        <f>_xlfn.IFNA(VLOOKUP(A49,[1]出!$C$11:$E$73,2,0),-[2]整車!$B$22)</f>
        <v>5786455</v>
      </c>
      <c r="D49" s="23">
        <f t="shared" si="0"/>
        <v>974.47878073425397</v>
      </c>
      <c r="E49" s="27">
        <f>_xlfn.IFNA(VLOOKUP(A49,[1]出同!$C$3:$H$107,6,0),-[2]整車!$B$22)</f>
        <v>62787</v>
      </c>
      <c r="F49" s="29">
        <f t="shared" si="5"/>
        <v>4.7426432265111243E-2</v>
      </c>
      <c r="G49" s="27">
        <f>_xlfn.IFNA(VLOOKUP(A49,[1]出同!$C$3:$H$107,4,0),-[2]整車!$B$22)</f>
        <v>51018724</v>
      </c>
      <c r="H49" s="29">
        <f t="shared" si="6"/>
        <v>3.6870283227385371E-2</v>
      </c>
      <c r="I49" s="25">
        <f t="shared" si="1"/>
        <v>812.56827050185552</v>
      </c>
    </row>
    <row r="50" spans="1:9">
      <c r="A50" s="293" t="s">
        <v>224</v>
      </c>
      <c r="B50" s="27">
        <f>_xlfn.IFNA(VLOOKUP(A50,[1]出!$C$11:$E$73,3,0),-[2]整車!$B$22)</f>
        <v>625</v>
      </c>
      <c r="C50" s="27">
        <f>_xlfn.IFNA(VLOOKUP(A50,[1]出!$C$11:$E$73,2,0),-[2]整車!$B$22)</f>
        <v>898982</v>
      </c>
      <c r="D50" s="23">
        <f t="shared" si="0"/>
        <v>1438.3712</v>
      </c>
      <c r="E50" s="27">
        <f>_xlfn.IFNA(VLOOKUP(A50,[1]出同!$C$3:$H$107,6,0),-[2]整車!$B$22)</f>
        <v>3112</v>
      </c>
      <c r="F50" s="29">
        <f t="shared" si="5"/>
        <v>2.350662672352974E-3</v>
      </c>
      <c r="G50" s="27">
        <f>_xlfn.IFNA(VLOOKUP(A50,[1]出同!$C$3:$H$107,4,0),-[2]整車!$B$22)</f>
        <v>3404206</v>
      </c>
      <c r="H50" s="29">
        <f t="shared" si="6"/>
        <v>2.4601563807116118E-3</v>
      </c>
      <c r="I50" s="25">
        <f t="shared" si="1"/>
        <v>1093.8965295629821</v>
      </c>
    </row>
    <row r="51" spans="1:9">
      <c r="A51" s="454" t="s">
        <v>225</v>
      </c>
      <c r="B51" s="27">
        <f>_xlfn.IFNA(VLOOKUP(A51,[1]出!$C$11:$E$73,3,0),-[2]整車!$B$22)</f>
        <v>124</v>
      </c>
      <c r="C51" s="27">
        <f>_xlfn.IFNA(VLOOKUP(A51,[1]出!$C$11:$E$73,2,0),-[2]整車!$B$22)</f>
        <v>241431</v>
      </c>
      <c r="D51" s="23">
        <f t="shared" si="0"/>
        <v>1947.0241935483871</v>
      </c>
      <c r="E51" s="27">
        <f>_xlfn.IFNA(VLOOKUP(A51,[1]出同!$C$3:$H$107,6,0),-[2]整車!$B$22)</f>
        <v>3747</v>
      </c>
      <c r="F51" s="29">
        <f t="shared" si="5"/>
        <v>2.8303126713710132E-3</v>
      </c>
      <c r="G51" s="27">
        <f>_xlfn.IFNA(VLOOKUP(A51,[1]出同!$C$3:$H$107,4,0),-[2]整車!$B$22)</f>
        <v>5723041</v>
      </c>
      <c r="H51" s="29">
        <f t="shared" si="6"/>
        <v>4.1359353203725517E-3</v>
      </c>
      <c r="I51" s="25">
        <f t="shared" si="1"/>
        <v>1527.3661595943422</v>
      </c>
    </row>
    <row r="52" spans="1:9">
      <c r="A52" s="455" t="s">
        <v>23</v>
      </c>
      <c r="B52" s="27">
        <f>_xlfn.IFNA(VLOOKUP(A52,[1]出!$C$11:$E$73,3,0),-[2]整車!$B$22)</f>
        <v>0</v>
      </c>
      <c r="C52" s="27">
        <f>_xlfn.IFNA(VLOOKUP(A52,[1]出!$C$11:$E$73,2,0),-[2]整車!$B$22)</f>
        <v>0</v>
      </c>
      <c r="D52" s="23">
        <f t="shared" si="0"/>
        <v>0</v>
      </c>
      <c r="E52" s="27">
        <f>_xlfn.IFNA(VLOOKUP(A52,[1]出同!$C$3:$H$107,6,0),-[2]整車!$B$22)</f>
        <v>731</v>
      </c>
      <c r="F52" s="29">
        <f t="shared" si="5"/>
        <v>5.5216401461761697E-4</v>
      </c>
      <c r="G52" s="27">
        <f>_xlfn.IFNA(VLOOKUP(A52,[1]出同!$C$3:$H$107,4,0),-[2]整車!$B$22)</f>
        <v>1197048</v>
      </c>
      <c r="H52" s="29">
        <f t="shared" si="6"/>
        <v>8.6508433250457629E-4</v>
      </c>
      <c r="I52" s="25">
        <f t="shared" si="1"/>
        <v>1637.5485636114911</v>
      </c>
    </row>
    <row r="53" spans="1:9">
      <c r="A53" s="454" t="s">
        <v>226</v>
      </c>
      <c r="B53" s="27">
        <f>_xlfn.IFNA(VLOOKUP(A53,[1]出!$C$11:$E$73,3,0),-[2]整車!$B$22)</f>
        <v>227</v>
      </c>
      <c r="C53" s="27">
        <f>_xlfn.IFNA(VLOOKUP(A53,[1]出!$C$11:$E$73,2,0),-[2]整車!$B$22)</f>
        <v>258537</v>
      </c>
      <c r="D53" s="23">
        <f t="shared" si="0"/>
        <v>1138.9295154185022</v>
      </c>
      <c r="E53" s="27">
        <f>_xlfn.IFNA(VLOOKUP(A53,[1]出同!$C$3:$H$107,6,0),-[2]整車!$B$22)</f>
        <v>3026</v>
      </c>
      <c r="F53" s="29">
        <f t="shared" si="5"/>
        <v>2.2857022000450193E-3</v>
      </c>
      <c r="G53" s="27">
        <f>_xlfn.IFNA(VLOOKUP(A53,[1]出同!$C$3:$H$107,4,0),-[2]整車!$B$22)</f>
        <v>4731061</v>
      </c>
      <c r="H53" s="29">
        <f t="shared" si="6"/>
        <v>3.4190498185732178E-3</v>
      </c>
      <c r="I53" s="25">
        <f t="shared" si="1"/>
        <v>1563.4702577660278</v>
      </c>
    </row>
    <row r="54" spans="1:9">
      <c r="A54" s="455" t="s">
        <v>227</v>
      </c>
      <c r="B54" s="27">
        <f>_xlfn.IFNA(VLOOKUP(A54,[1]出!$C$11:$E$73,3,0),-[2]整車!$B$22)</f>
        <v>6675</v>
      </c>
      <c r="C54" s="27">
        <f>_xlfn.IFNA(VLOOKUP(A54,[1]出!$C$11:$E$73,2,0),-[2]整車!$B$22)</f>
        <v>6523339</v>
      </c>
      <c r="D54" s="23">
        <f t="shared" si="0"/>
        <v>977.27925093632962</v>
      </c>
      <c r="E54" s="27">
        <f>_xlfn.IFNA(VLOOKUP(A54,[1]出同!$C$3:$H$107,6,0),-[2]整車!$B$22)</f>
        <v>51510</v>
      </c>
      <c r="F54" s="29">
        <f t="shared" si="5"/>
        <v>3.8908301495148359E-2</v>
      </c>
      <c r="G54" s="27">
        <f>_xlfn.IFNA(VLOOKUP(A54,[1]出同!$C$3:$H$107,4,0),-[2]整車!$B$22)</f>
        <v>68257851</v>
      </c>
      <c r="H54" s="29">
        <f t="shared" si="6"/>
        <v>4.9328679777696317E-2</v>
      </c>
      <c r="I54" s="25">
        <f t="shared" si="1"/>
        <v>1325.1378567268491</v>
      </c>
    </row>
    <row r="55" spans="1:9">
      <c r="A55" s="455" t="s">
        <v>24</v>
      </c>
      <c r="B55" s="27">
        <f>_xlfn.IFNA(VLOOKUP(A55,[1]出!$C$11:$E$73,3,0),-[2]整車!$B$22)</f>
        <v>5</v>
      </c>
      <c r="C55" s="27">
        <f>_xlfn.IFNA(VLOOKUP(A55,[1]出!$C$11:$E$73,2,0),-[2]整車!$B$22)</f>
        <v>19173</v>
      </c>
      <c r="D55" s="23">
        <f t="shared" si="0"/>
        <v>3834.6</v>
      </c>
      <c r="E55" s="27">
        <f>_xlfn.IFNA(VLOOKUP(A55,[1]出同!$C$3:$H$107,6,0),-[2]整車!$B$22)</f>
        <v>3833</v>
      </c>
      <c r="F55" s="29">
        <f t="shared" si="5"/>
        <v>2.8952731436789683E-3</v>
      </c>
      <c r="G55" s="27">
        <f>_xlfn.IFNA(VLOOKUP(A55,[1]出同!$C$3:$H$107,4,0),-[2]整車!$B$22)</f>
        <v>4776747</v>
      </c>
      <c r="H55" s="29">
        <f t="shared" si="6"/>
        <v>3.4520662413188418E-3</v>
      </c>
      <c r="I55" s="25">
        <f t="shared" si="1"/>
        <v>1246.2162796764935</v>
      </c>
    </row>
    <row r="56" spans="1:9">
      <c r="A56" s="455" t="s">
        <v>228</v>
      </c>
      <c r="B56" s="27">
        <f>_xlfn.IFNA(VLOOKUP(A56,[1]出!$C$11:$E$73,3,0),-[2]整車!$B$22)</f>
        <v>7076</v>
      </c>
      <c r="C56" s="27">
        <f>_xlfn.IFNA(VLOOKUP(A56,[1]出!$C$11:$E$73,2,0),-[2]整車!$B$22)</f>
        <v>10707662</v>
      </c>
      <c r="D56" s="23">
        <f t="shared" si="0"/>
        <v>1513.236574335783</v>
      </c>
      <c r="E56" s="27">
        <f>_xlfn.IFNA(VLOOKUP(A56,[1]出同!$C$3:$H$107,6,0),-[2]整車!$B$22)</f>
        <v>121488</v>
      </c>
      <c r="F56" s="29">
        <f t="shared" si="5"/>
        <v>9.176648674126546E-2</v>
      </c>
      <c r="G56" s="27">
        <f>_xlfn.IFNA(VLOOKUP(A56,[1]出同!$C$3:$H$107,4,0),-[2]整車!$B$22)</f>
        <v>130663744</v>
      </c>
      <c r="H56" s="29">
        <f t="shared" si="6"/>
        <v>9.4428258316114996E-2</v>
      </c>
      <c r="I56" s="25">
        <f t="shared" si="1"/>
        <v>1075.527986303174</v>
      </c>
    </row>
    <row r="57" spans="1:9">
      <c r="A57" s="457" t="s">
        <v>229</v>
      </c>
      <c r="B57" s="27">
        <f>_xlfn.IFNA(VLOOKUP(A57,[1]出!$C$11:$E$73,3,0),-[2]整車!$B$22)</f>
        <v>1192</v>
      </c>
      <c r="C57" s="27">
        <f>_xlfn.IFNA(VLOOKUP(A57,[1]出!$C$11:$E$73,2,0),-[2]整車!$B$22)</f>
        <v>1597140</v>
      </c>
      <c r="D57" s="23">
        <f t="shared" si="0"/>
        <v>1339.8825503355704</v>
      </c>
      <c r="E57" s="27">
        <f>_xlfn.IFNA(VLOOKUP(A57,[1]出同!$C$3:$H$107,6,0),-[2]整車!$B$22)</f>
        <v>26719</v>
      </c>
      <c r="F57" s="29">
        <f t="shared" si="5"/>
        <v>2.0182312320886606E-2</v>
      </c>
      <c r="G57" s="27">
        <f>_xlfn.IFNA(VLOOKUP(A57,[1]出同!$C$3:$H$107,4,0),-[2]整車!$B$22)</f>
        <v>37591811</v>
      </c>
      <c r="H57" s="29">
        <f t="shared" si="6"/>
        <v>2.7166902853163106E-2</v>
      </c>
      <c r="I57" s="25">
        <f t="shared" si="1"/>
        <v>1406.9318088251805</v>
      </c>
    </row>
    <row r="58" spans="1:9">
      <c r="A58" s="455" t="s">
        <v>25</v>
      </c>
      <c r="B58" s="27">
        <f>_xlfn.IFNA(VLOOKUP(A58,[1]出!$C$11:$E$73,3,0),-[2]整車!$B$22)</f>
        <v>133</v>
      </c>
      <c r="C58" s="27">
        <f>_xlfn.IFNA(VLOOKUP(A58,[1]出!$C$11:$E$73,2,0),-[2]整車!$B$22)</f>
        <v>191764</v>
      </c>
      <c r="D58" s="23">
        <f t="shared" si="0"/>
        <v>1441.8345864661653</v>
      </c>
      <c r="E58" s="27">
        <f>_xlfn.IFNA(VLOOKUP(A58,[1]出同!$C$3:$H$107,6,0),-[2]整車!$B$22)</f>
        <v>4880</v>
      </c>
      <c r="F58" s="29">
        <f t="shared" si="5"/>
        <v>3.6861291263118618E-3</v>
      </c>
      <c r="G58" s="27">
        <f>_xlfn.IFNA(VLOOKUP(A58,[1]出同!$C$3:$H$107,4,0),-[2]整車!$B$22)</f>
        <v>2444902</v>
      </c>
      <c r="H58" s="29">
        <f t="shared" si="6"/>
        <v>1.7668852165569832E-3</v>
      </c>
      <c r="I58" s="25">
        <f t="shared" si="1"/>
        <v>501.0045081967213</v>
      </c>
    </row>
    <row r="59" spans="1:9">
      <c r="A59" s="455" t="s">
        <v>26</v>
      </c>
      <c r="B59" s="27">
        <f>_xlfn.IFNA(VLOOKUP(A59,[1]出!$C$11:$E$73,3,0),-[2]整車!$B$22)</f>
        <v>0</v>
      </c>
      <c r="C59" s="27">
        <f>_xlfn.IFNA(VLOOKUP(A59,[1]出!$C$11:$E$73,2,0),-[2]整車!$B$22)</f>
        <v>0</v>
      </c>
      <c r="D59" s="23">
        <f t="shared" si="0"/>
        <v>0</v>
      </c>
      <c r="E59" s="27">
        <f>_xlfn.IFNA(VLOOKUP(A59,[1]出同!$C$3:$H$107,6,0),-[2]整車!$B$22)</f>
        <v>119</v>
      </c>
      <c r="F59" s="29">
        <f t="shared" si="5"/>
        <v>8.9887165170309736E-5</v>
      </c>
      <c r="G59" s="27">
        <f>_xlfn.IFNA(VLOOKUP(A59,[1]出同!$C$3:$H$107,4,0),-[2]整車!$B$22)</f>
        <v>44021</v>
      </c>
      <c r="H59" s="29">
        <f t="shared" si="6"/>
        <v>3.1813158203500574E-5</v>
      </c>
      <c r="I59" s="25">
        <f t="shared" si="1"/>
        <v>369.92436974789916</v>
      </c>
    </row>
    <row r="60" spans="1:9">
      <c r="A60" s="455" t="s">
        <v>27</v>
      </c>
      <c r="B60" s="27">
        <f>_xlfn.IFNA(VLOOKUP(A60,[1]出!$C$11:$E$73,3,0),-[2]整車!$B$22)</f>
        <v>539</v>
      </c>
      <c r="C60" s="27">
        <f>_xlfn.IFNA(VLOOKUP(A60,[1]出!$C$11:$E$73,2,0),-[2]整車!$B$22)</f>
        <v>768746</v>
      </c>
      <c r="D60" s="23">
        <f t="shared" si="0"/>
        <v>1426.2448979591836</v>
      </c>
      <c r="E60" s="27">
        <f>_xlfn.IFNA(VLOOKUP(A60,[1]出同!$C$3:$H$107,6,0),-[2]整車!$B$22)</f>
        <v>10100</v>
      </c>
      <c r="F60" s="29">
        <f t="shared" si="5"/>
        <v>7.6290787245388942E-3</v>
      </c>
      <c r="G60" s="27">
        <f>_xlfn.IFNA(VLOOKUP(A60,[1]出同!$C$3:$H$107,4,0),-[2]整車!$B$22)</f>
        <v>13372947</v>
      </c>
      <c r="H60" s="29">
        <f t="shared" si="6"/>
        <v>9.6643801494293267E-3</v>
      </c>
      <c r="I60" s="25">
        <f t="shared" si="1"/>
        <v>1324.0541584158416</v>
      </c>
    </row>
    <row r="61" spans="1:9">
      <c r="A61" s="456" t="s">
        <v>230</v>
      </c>
      <c r="B61" s="27">
        <f>_xlfn.IFNA(VLOOKUP(A61,[1]出!$C$11:$E$73,3,0),-[2]整車!$B$22)</f>
        <v>403</v>
      </c>
      <c r="C61" s="27">
        <f>_xlfn.IFNA(VLOOKUP(A61,[1]出!$C$11:$E$73,2,0),-[2]整車!$B$22)</f>
        <v>961559</v>
      </c>
      <c r="D61" s="23">
        <f t="shared" si="0"/>
        <v>2386.002481389578</v>
      </c>
      <c r="E61" s="27">
        <f>_xlfn.IFNA(VLOOKUP(A61,[1]出同!$C$3:$H$107,6,0),-[2]整車!$B$22)</f>
        <v>4814</v>
      </c>
      <c r="F61" s="29">
        <f t="shared" si="5"/>
        <v>3.6362757405871519E-3</v>
      </c>
      <c r="G61" s="27">
        <f>_xlfn.IFNA(VLOOKUP(A61,[1]出同!$C$3:$H$107,4,0),-[2]整車!$B$22)</f>
        <v>10148759</v>
      </c>
      <c r="H61" s="29">
        <f t="shared" si="6"/>
        <v>7.3343194301855987E-3</v>
      </c>
      <c r="I61" s="25">
        <f t="shared" si="1"/>
        <v>2108.1759451599501</v>
      </c>
    </row>
    <row r="62" spans="1:9">
      <c r="A62" s="455" t="s">
        <v>28</v>
      </c>
      <c r="B62" s="27">
        <f>_xlfn.IFNA(VLOOKUP(A62,[1]出!$C$11:$E$73,3,0),-[2]整車!$B$22)</f>
        <v>454</v>
      </c>
      <c r="C62" s="27">
        <f>_xlfn.IFNA(VLOOKUP(A62,[1]出!$C$11:$E$73,2,0),-[2]整車!$B$22)</f>
        <v>753705</v>
      </c>
      <c r="D62" s="23">
        <f t="shared" si="0"/>
        <v>1660.1431718061674</v>
      </c>
      <c r="E62" s="27">
        <f>_xlfn.IFNA(VLOOKUP(A62,[1]出同!$C$3:$H$107,6,0),-[2]整車!$B$22)</f>
        <v>3898</v>
      </c>
      <c r="F62" s="29">
        <f t="shared" si="5"/>
        <v>2.9443711750745155E-3</v>
      </c>
      <c r="G62" s="27">
        <f>_xlfn.IFNA(VLOOKUP(A62,[1]出同!$C$3:$H$107,4,0),-[2]整車!$B$22)</f>
        <v>6321884</v>
      </c>
      <c r="H62" s="29">
        <f t="shared" si="6"/>
        <v>4.5687080219935713E-3</v>
      </c>
      <c r="I62" s="25">
        <f t="shared" si="1"/>
        <v>1621.8276038994356</v>
      </c>
    </row>
    <row r="63" spans="1:9">
      <c r="A63" s="296" t="s">
        <v>231</v>
      </c>
      <c r="B63" s="27">
        <f>_xlfn.IFNA(VLOOKUP(A63,[1]出!$C$11:$E$73,3,0),-[2]整車!$B$22)</f>
        <v>74</v>
      </c>
      <c r="C63" s="27">
        <f>_xlfn.IFNA(VLOOKUP(A63,[1]出!$C$11:$E$73,2,0),-[2]整車!$B$22)</f>
        <v>161590</v>
      </c>
      <c r="D63" s="23">
        <f t="shared" si="0"/>
        <v>2183.6486486486488</v>
      </c>
      <c r="E63" s="27">
        <f>_xlfn.IFNA(VLOOKUP(A63,[1]出同!$C$3:$H$107,6,0),-[2]整車!$B$22)</f>
        <v>510</v>
      </c>
      <c r="F63" s="29">
        <f t="shared" si="5"/>
        <v>3.8523070787275604E-4</v>
      </c>
      <c r="G63" s="27">
        <f>_xlfn.IFNA(VLOOKUP(A63,[1]出同!$C$3:$H$107,4,0),-[2]整車!$B$22)</f>
        <v>1010897</v>
      </c>
      <c r="H63" s="29">
        <f t="shared" si="6"/>
        <v>7.3055646596951725E-4</v>
      </c>
      <c r="I63" s="25">
        <f t="shared" si="1"/>
        <v>1982.150980392157</v>
      </c>
    </row>
    <row r="64" spans="1:9">
      <c r="A64" s="455" t="s">
        <v>29</v>
      </c>
      <c r="B64" s="27">
        <f>_xlfn.IFNA(VLOOKUP(A64,[1]出!$C$11:$E$73,3,0),-[2]整車!$B$22)</f>
        <v>345</v>
      </c>
      <c r="C64" s="27">
        <f>_xlfn.IFNA(VLOOKUP(A64,[1]出!$C$11:$E$73,2,0),-[2]整車!$B$22)</f>
        <v>607503</v>
      </c>
      <c r="D64" s="23">
        <f t="shared" si="0"/>
        <v>1760.8782608695651</v>
      </c>
      <c r="E64" s="27">
        <f>_xlfn.IFNA(VLOOKUP(A64,[1]出同!$C$3:$H$107,6,0),-[2]整車!$B$22)</f>
        <v>2792</v>
      </c>
      <c r="F64" s="29">
        <f t="shared" si="5"/>
        <v>2.1089492870210486E-3</v>
      </c>
      <c r="G64" s="27">
        <f>_xlfn.IFNA(VLOOKUP(A64,[1]出同!$C$3:$H$107,4,0),-[2]整車!$B$22)</f>
        <v>5261957</v>
      </c>
      <c r="H64" s="29">
        <f t="shared" si="6"/>
        <v>3.8027184866544889E-3</v>
      </c>
      <c r="I64" s="25">
        <f t="shared" si="1"/>
        <v>1884.6550859598854</v>
      </c>
    </row>
    <row r="65" spans="1:256">
      <c r="A65" s="296" t="s">
        <v>232</v>
      </c>
      <c r="B65" s="27">
        <f>_xlfn.IFNA(VLOOKUP(A65,[1]出!$C$11:$E$73,3,0),-[2]整車!$B$22)</f>
        <v>164</v>
      </c>
      <c r="C65" s="27">
        <f>_xlfn.IFNA(VLOOKUP(A65,[1]出!$C$11:$E$73,2,0),-[2]整車!$B$22)</f>
        <v>264388</v>
      </c>
      <c r="D65" s="23">
        <f t="shared" si="0"/>
        <v>1612.1219512195121</v>
      </c>
      <c r="E65" s="27">
        <f>_xlfn.IFNA(VLOOKUP(A65,[1]出同!$C$3:$H$107,6,0),-[2]整車!$B$22)</f>
        <v>2204</v>
      </c>
      <c r="F65" s="29">
        <f t="shared" si="5"/>
        <v>1.6648009414736359E-3</v>
      </c>
      <c r="G65" s="27">
        <f>_xlfn.IFNA(VLOOKUP(A65,[1]出同!$C$3:$H$107,4,0),-[2]整車!$B$22)</f>
        <v>2651943</v>
      </c>
      <c r="H65" s="29">
        <f t="shared" si="6"/>
        <v>1.9165098976776066E-3</v>
      </c>
      <c r="I65" s="25">
        <f t="shared" si="1"/>
        <v>1203.2409255898367</v>
      </c>
    </row>
    <row r="66" spans="1:256">
      <c r="A66" s="30" t="s">
        <v>30</v>
      </c>
      <c r="B66" s="27">
        <f>B67-B7-B12-B41-B47</f>
        <v>2852</v>
      </c>
      <c r="C66" s="27">
        <f>C67-C7-C12-C41-C47</f>
        <v>4132686</v>
      </c>
      <c r="D66" s="23">
        <f t="shared" si="0"/>
        <v>1449.0483870967741</v>
      </c>
      <c r="E66" s="27">
        <f>E67-E47-E41-E12-E7</f>
        <v>29114</v>
      </c>
      <c r="F66" s="29">
        <f>E66/$E$67</f>
        <v>2.1991385939230234E-2</v>
      </c>
      <c r="G66" s="27">
        <f>G67-G47-G41-G12-G7</f>
        <v>39922892</v>
      </c>
      <c r="H66" s="29">
        <f t="shared" si="6"/>
        <v>2.8851531749330257E-2</v>
      </c>
      <c r="I66" s="25">
        <f t="shared" si="1"/>
        <v>1371.2609741018066</v>
      </c>
    </row>
    <row r="67" spans="1:256">
      <c r="A67" s="297" t="s">
        <v>404</v>
      </c>
      <c r="B67" s="33">
        <f>VLOOKUP(A67,[1]出!$B$10:$E$10,4,0)</f>
        <v>74129</v>
      </c>
      <c r="C67" s="33">
        <f>VLOOKUP(A67,[1]出!$B$10:$D$10,3,0)</f>
        <v>91492950</v>
      </c>
      <c r="D67" s="23">
        <f t="shared" ref="D67" si="9">C67/B67</f>
        <v>1234.2396363096764</v>
      </c>
      <c r="E67" s="33">
        <f>VLOOKUP(A67,[1]出同!$B$2:$H$2,7,0)</f>
        <v>1323882</v>
      </c>
      <c r="F67" s="24">
        <f>E67/$E$67</f>
        <v>1</v>
      </c>
      <c r="G67" s="33">
        <f>VLOOKUP(A67,[1]出同!$B$2:$H$2,5,0)</f>
        <v>1383735614</v>
      </c>
      <c r="H67" s="24">
        <f>G67/$G$67</f>
        <v>1</v>
      </c>
      <c r="I67" s="25">
        <f>G67/E67</f>
        <v>1045.2106864509074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4" t="s">
        <v>153</v>
      </c>
      <c r="B69" s="555"/>
      <c r="C69" s="555"/>
      <c r="D69" s="555"/>
      <c r="E69" s="555"/>
      <c r="F69" s="555"/>
      <c r="G69" s="555"/>
      <c r="H69" s="555"/>
      <c r="I69" s="556"/>
    </row>
    <row r="70" spans="1:256">
      <c r="A70" s="8" t="s">
        <v>464</v>
      </c>
      <c r="B70" s="8" t="s">
        <v>465</v>
      </c>
      <c r="C70" s="8" t="s">
        <v>466</v>
      </c>
      <c r="D70" s="9" t="s">
        <v>1</v>
      </c>
      <c r="E70" s="10" t="s">
        <v>467</v>
      </c>
      <c r="F70" s="11" t="s">
        <v>2</v>
      </c>
      <c r="G70" s="8" t="s">
        <v>468</v>
      </c>
      <c r="H70" s="11" t="s">
        <v>2</v>
      </c>
      <c r="I70" s="12" t="s">
        <v>1</v>
      </c>
    </row>
    <row r="71" spans="1:256">
      <c r="A71" s="45"/>
      <c r="B71" s="46" t="s">
        <v>3</v>
      </c>
      <c r="C71" s="47" t="s">
        <v>4</v>
      </c>
      <c r="D71" s="43" t="s">
        <v>4</v>
      </c>
      <c r="E71" s="48" t="s">
        <v>3</v>
      </c>
      <c r="F71" s="44"/>
      <c r="G71" s="49" t="s">
        <v>4</v>
      </c>
      <c r="H71" s="50"/>
      <c r="I71" s="43" t="s">
        <v>4</v>
      </c>
    </row>
    <row r="72" spans="1:256">
      <c r="A72" s="32" t="s">
        <v>31</v>
      </c>
      <c r="B72" s="27">
        <v>2053</v>
      </c>
      <c r="C72" s="27">
        <v>726329</v>
      </c>
      <c r="D72" s="519">
        <f>C72/B72</f>
        <v>353.78908913784704</v>
      </c>
      <c r="E72" s="27">
        <v>32166</v>
      </c>
      <c r="F72" s="520">
        <v>1</v>
      </c>
      <c r="G72" s="27">
        <v>12171698</v>
      </c>
      <c r="H72" s="52">
        <v>1</v>
      </c>
      <c r="I72" s="51">
        <f>G72/E72</f>
        <v>378.40259901759623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" t="s">
        <v>32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="99" zoomScaleNormal="99" workbookViewId="0">
      <selection activeCell="A2" sqref="A2"/>
    </sheetView>
  </sheetViews>
  <sheetFormatPr defaultRowHeight="16.5"/>
  <cols>
    <col min="1" max="1" width="19.5" style="271" customWidth="1"/>
    <col min="2" max="2" width="12.125" style="271" customWidth="1"/>
    <col min="3" max="3" width="12.5" style="272" customWidth="1"/>
    <col min="4" max="4" width="13.75" style="273" customWidth="1"/>
    <col min="5" max="5" width="14.625" style="271" customWidth="1"/>
    <col min="6" max="6" width="16.125" style="272" customWidth="1"/>
    <col min="7" max="7" width="12.25" style="305" customWidth="1"/>
    <col min="8" max="8" width="12.5" style="271" customWidth="1"/>
    <col min="9" max="9" width="12.25" style="271" customWidth="1"/>
    <col min="10" max="10" width="11.625" style="271" customWidth="1"/>
    <col min="11" max="256" width="8.875" style="271"/>
    <col min="257" max="257" width="19.5" style="271" customWidth="1"/>
    <col min="258" max="259" width="12.125" style="271" customWidth="1"/>
    <col min="260" max="260" width="13.75" style="271" customWidth="1"/>
    <col min="261" max="261" width="14.625" style="271" customWidth="1"/>
    <col min="262" max="262" width="15.125" style="271" customWidth="1"/>
    <col min="263" max="263" width="12.25" style="271" customWidth="1"/>
    <col min="264" max="264" width="12.5" style="271" customWidth="1"/>
    <col min="265" max="265" width="12.25" style="271" customWidth="1"/>
    <col min="266" max="266" width="11.625" style="271" customWidth="1"/>
    <col min="267" max="512" width="8.875" style="271"/>
    <col min="513" max="513" width="19.5" style="271" customWidth="1"/>
    <col min="514" max="515" width="12.125" style="271" customWidth="1"/>
    <col min="516" max="516" width="13.75" style="271" customWidth="1"/>
    <col min="517" max="517" width="14.625" style="271" customWidth="1"/>
    <col min="518" max="518" width="15.125" style="271" customWidth="1"/>
    <col min="519" max="519" width="12.25" style="271" customWidth="1"/>
    <col min="520" max="520" width="12.5" style="271" customWidth="1"/>
    <col min="521" max="521" width="12.25" style="271" customWidth="1"/>
    <col min="522" max="522" width="11.625" style="271" customWidth="1"/>
    <col min="523" max="768" width="8.875" style="271"/>
    <col min="769" max="769" width="19.5" style="271" customWidth="1"/>
    <col min="770" max="771" width="12.125" style="271" customWidth="1"/>
    <col min="772" max="772" width="13.75" style="271" customWidth="1"/>
    <col min="773" max="773" width="14.625" style="271" customWidth="1"/>
    <col min="774" max="774" width="15.125" style="271" customWidth="1"/>
    <col min="775" max="775" width="12.25" style="271" customWidth="1"/>
    <col min="776" max="776" width="12.5" style="271" customWidth="1"/>
    <col min="777" max="777" width="12.25" style="271" customWidth="1"/>
    <col min="778" max="778" width="11.625" style="271" customWidth="1"/>
    <col min="779" max="1024" width="8.875" style="271"/>
    <col min="1025" max="1025" width="19.5" style="271" customWidth="1"/>
    <col min="1026" max="1027" width="12.125" style="271" customWidth="1"/>
    <col min="1028" max="1028" width="13.75" style="271" customWidth="1"/>
    <col min="1029" max="1029" width="14.625" style="271" customWidth="1"/>
    <col min="1030" max="1030" width="15.125" style="271" customWidth="1"/>
    <col min="1031" max="1031" width="12.25" style="271" customWidth="1"/>
    <col min="1032" max="1032" width="12.5" style="271" customWidth="1"/>
    <col min="1033" max="1033" width="12.25" style="271" customWidth="1"/>
    <col min="1034" max="1034" width="11.625" style="271" customWidth="1"/>
    <col min="1035" max="1280" width="8.875" style="271"/>
    <col min="1281" max="1281" width="19.5" style="271" customWidth="1"/>
    <col min="1282" max="1283" width="12.125" style="271" customWidth="1"/>
    <col min="1284" max="1284" width="13.75" style="271" customWidth="1"/>
    <col min="1285" max="1285" width="14.625" style="271" customWidth="1"/>
    <col min="1286" max="1286" width="15.125" style="271" customWidth="1"/>
    <col min="1287" max="1287" width="12.25" style="271" customWidth="1"/>
    <col min="1288" max="1288" width="12.5" style="271" customWidth="1"/>
    <col min="1289" max="1289" width="12.25" style="271" customWidth="1"/>
    <col min="1290" max="1290" width="11.625" style="271" customWidth="1"/>
    <col min="1291" max="1536" width="8.875" style="271"/>
    <col min="1537" max="1537" width="19.5" style="271" customWidth="1"/>
    <col min="1538" max="1539" width="12.125" style="271" customWidth="1"/>
    <col min="1540" max="1540" width="13.75" style="271" customWidth="1"/>
    <col min="1541" max="1541" width="14.625" style="271" customWidth="1"/>
    <col min="1542" max="1542" width="15.125" style="271" customWidth="1"/>
    <col min="1543" max="1543" width="12.25" style="271" customWidth="1"/>
    <col min="1544" max="1544" width="12.5" style="271" customWidth="1"/>
    <col min="1545" max="1545" width="12.25" style="271" customWidth="1"/>
    <col min="1546" max="1546" width="11.625" style="271" customWidth="1"/>
    <col min="1547" max="1792" width="8.875" style="271"/>
    <col min="1793" max="1793" width="19.5" style="271" customWidth="1"/>
    <col min="1794" max="1795" width="12.125" style="271" customWidth="1"/>
    <col min="1796" max="1796" width="13.75" style="271" customWidth="1"/>
    <col min="1797" max="1797" width="14.625" style="271" customWidth="1"/>
    <col min="1798" max="1798" width="15.125" style="271" customWidth="1"/>
    <col min="1799" max="1799" width="12.25" style="271" customWidth="1"/>
    <col min="1800" max="1800" width="12.5" style="271" customWidth="1"/>
    <col min="1801" max="1801" width="12.25" style="271" customWidth="1"/>
    <col min="1802" max="1802" width="11.625" style="271" customWidth="1"/>
    <col min="1803" max="2048" width="8.875" style="271"/>
    <col min="2049" max="2049" width="19.5" style="271" customWidth="1"/>
    <col min="2050" max="2051" width="12.125" style="271" customWidth="1"/>
    <col min="2052" max="2052" width="13.75" style="271" customWidth="1"/>
    <col min="2053" max="2053" width="14.625" style="271" customWidth="1"/>
    <col min="2054" max="2054" width="15.125" style="271" customWidth="1"/>
    <col min="2055" max="2055" width="12.25" style="271" customWidth="1"/>
    <col min="2056" max="2056" width="12.5" style="271" customWidth="1"/>
    <col min="2057" max="2057" width="12.25" style="271" customWidth="1"/>
    <col min="2058" max="2058" width="11.625" style="271" customWidth="1"/>
    <col min="2059" max="2304" width="8.875" style="271"/>
    <col min="2305" max="2305" width="19.5" style="271" customWidth="1"/>
    <col min="2306" max="2307" width="12.125" style="271" customWidth="1"/>
    <col min="2308" max="2308" width="13.75" style="271" customWidth="1"/>
    <col min="2309" max="2309" width="14.625" style="271" customWidth="1"/>
    <col min="2310" max="2310" width="15.125" style="271" customWidth="1"/>
    <col min="2311" max="2311" width="12.25" style="271" customWidth="1"/>
    <col min="2312" max="2312" width="12.5" style="271" customWidth="1"/>
    <col min="2313" max="2313" width="12.25" style="271" customWidth="1"/>
    <col min="2314" max="2314" width="11.625" style="271" customWidth="1"/>
    <col min="2315" max="2560" width="8.875" style="271"/>
    <col min="2561" max="2561" width="19.5" style="271" customWidth="1"/>
    <col min="2562" max="2563" width="12.125" style="271" customWidth="1"/>
    <col min="2564" max="2564" width="13.75" style="271" customWidth="1"/>
    <col min="2565" max="2565" width="14.625" style="271" customWidth="1"/>
    <col min="2566" max="2566" width="15.125" style="271" customWidth="1"/>
    <col min="2567" max="2567" width="12.25" style="271" customWidth="1"/>
    <col min="2568" max="2568" width="12.5" style="271" customWidth="1"/>
    <col min="2569" max="2569" width="12.25" style="271" customWidth="1"/>
    <col min="2570" max="2570" width="11.625" style="271" customWidth="1"/>
    <col min="2571" max="2816" width="8.875" style="271"/>
    <col min="2817" max="2817" width="19.5" style="271" customWidth="1"/>
    <col min="2818" max="2819" width="12.125" style="271" customWidth="1"/>
    <col min="2820" max="2820" width="13.75" style="271" customWidth="1"/>
    <col min="2821" max="2821" width="14.625" style="271" customWidth="1"/>
    <col min="2822" max="2822" width="15.125" style="271" customWidth="1"/>
    <col min="2823" max="2823" width="12.25" style="271" customWidth="1"/>
    <col min="2824" max="2824" width="12.5" style="271" customWidth="1"/>
    <col min="2825" max="2825" width="12.25" style="271" customWidth="1"/>
    <col min="2826" max="2826" width="11.625" style="271" customWidth="1"/>
    <col min="2827" max="3072" width="8.875" style="271"/>
    <col min="3073" max="3073" width="19.5" style="271" customWidth="1"/>
    <col min="3074" max="3075" width="12.125" style="271" customWidth="1"/>
    <col min="3076" max="3076" width="13.75" style="271" customWidth="1"/>
    <col min="3077" max="3077" width="14.625" style="271" customWidth="1"/>
    <col min="3078" max="3078" width="15.125" style="271" customWidth="1"/>
    <col min="3079" max="3079" width="12.25" style="271" customWidth="1"/>
    <col min="3080" max="3080" width="12.5" style="271" customWidth="1"/>
    <col min="3081" max="3081" width="12.25" style="271" customWidth="1"/>
    <col min="3082" max="3082" width="11.625" style="271" customWidth="1"/>
    <col min="3083" max="3328" width="8.875" style="271"/>
    <col min="3329" max="3329" width="19.5" style="271" customWidth="1"/>
    <col min="3330" max="3331" width="12.125" style="271" customWidth="1"/>
    <col min="3332" max="3332" width="13.75" style="271" customWidth="1"/>
    <col min="3333" max="3333" width="14.625" style="271" customWidth="1"/>
    <col min="3334" max="3334" width="15.125" style="271" customWidth="1"/>
    <col min="3335" max="3335" width="12.25" style="271" customWidth="1"/>
    <col min="3336" max="3336" width="12.5" style="271" customWidth="1"/>
    <col min="3337" max="3337" width="12.25" style="271" customWidth="1"/>
    <col min="3338" max="3338" width="11.625" style="271" customWidth="1"/>
    <col min="3339" max="3584" width="8.875" style="271"/>
    <col min="3585" max="3585" width="19.5" style="271" customWidth="1"/>
    <col min="3586" max="3587" width="12.125" style="271" customWidth="1"/>
    <col min="3588" max="3588" width="13.75" style="271" customWidth="1"/>
    <col min="3589" max="3589" width="14.625" style="271" customWidth="1"/>
    <col min="3590" max="3590" width="15.125" style="271" customWidth="1"/>
    <col min="3591" max="3591" width="12.25" style="271" customWidth="1"/>
    <col min="3592" max="3592" width="12.5" style="271" customWidth="1"/>
    <col min="3593" max="3593" width="12.25" style="271" customWidth="1"/>
    <col min="3594" max="3594" width="11.625" style="271" customWidth="1"/>
    <col min="3595" max="3840" width="8.875" style="271"/>
    <col min="3841" max="3841" width="19.5" style="271" customWidth="1"/>
    <col min="3842" max="3843" width="12.125" style="271" customWidth="1"/>
    <col min="3844" max="3844" width="13.75" style="271" customWidth="1"/>
    <col min="3845" max="3845" width="14.625" style="271" customWidth="1"/>
    <col min="3846" max="3846" width="15.125" style="271" customWidth="1"/>
    <col min="3847" max="3847" width="12.25" style="271" customWidth="1"/>
    <col min="3848" max="3848" width="12.5" style="271" customWidth="1"/>
    <col min="3849" max="3849" width="12.25" style="271" customWidth="1"/>
    <col min="3850" max="3850" width="11.625" style="271" customWidth="1"/>
    <col min="3851" max="4096" width="8.875" style="271"/>
    <col min="4097" max="4097" width="19.5" style="271" customWidth="1"/>
    <col min="4098" max="4099" width="12.125" style="271" customWidth="1"/>
    <col min="4100" max="4100" width="13.75" style="271" customWidth="1"/>
    <col min="4101" max="4101" width="14.625" style="271" customWidth="1"/>
    <col min="4102" max="4102" width="15.125" style="271" customWidth="1"/>
    <col min="4103" max="4103" width="12.25" style="271" customWidth="1"/>
    <col min="4104" max="4104" width="12.5" style="271" customWidth="1"/>
    <col min="4105" max="4105" width="12.25" style="271" customWidth="1"/>
    <col min="4106" max="4106" width="11.625" style="271" customWidth="1"/>
    <col min="4107" max="4352" width="8.875" style="271"/>
    <col min="4353" max="4353" width="19.5" style="271" customWidth="1"/>
    <col min="4354" max="4355" width="12.125" style="271" customWidth="1"/>
    <col min="4356" max="4356" width="13.75" style="271" customWidth="1"/>
    <col min="4357" max="4357" width="14.625" style="271" customWidth="1"/>
    <col min="4358" max="4358" width="15.125" style="271" customWidth="1"/>
    <col min="4359" max="4359" width="12.25" style="271" customWidth="1"/>
    <col min="4360" max="4360" width="12.5" style="271" customWidth="1"/>
    <col min="4361" max="4361" width="12.25" style="271" customWidth="1"/>
    <col min="4362" max="4362" width="11.625" style="271" customWidth="1"/>
    <col min="4363" max="4608" width="8.875" style="271"/>
    <col min="4609" max="4609" width="19.5" style="271" customWidth="1"/>
    <col min="4610" max="4611" width="12.125" style="271" customWidth="1"/>
    <col min="4612" max="4612" width="13.75" style="271" customWidth="1"/>
    <col min="4613" max="4613" width="14.625" style="271" customWidth="1"/>
    <col min="4614" max="4614" width="15.125" style="271" customWidth="1"/>
    <col min="4615" max="4615" width="12.25" style="271" customWidth="1"/>
    <col min="4616" max="4616" width="12.5" style="271" customWidth="1"/>
    <col min="4617" max="4617" width="12.25" style="271" customWidth="1"/>
    <col min="4618" max="4618" width="11.625" style="271" customWidth="1"/>
    <col min="4619" max="4864" width="8.875" style="271"/>
    <col min="4865" max="4865" width="19.5" style="271" customWidth="1"/>
    <col min="4866" max="4867" width="12.125" style="271" customWidth="1"/>
    <col min="4868" max="4868" width="13.75" style="271" customWidth="1"/>
    <col min="4869" max="4869" width="14.625" style="271" customWidth="1"/>
    <col min="4870" max="4870" width="15.125" style="271" customWidth="1"/>
    <col min="4871" max="4871" width="12.25" style="271" customWidth="1"/>
    <col min="4872" max="4872" width="12.5" style="271" customWidth="1"/>
    <col min="4873" max="4873" width="12.25" style="271" customWidth="1"/>
    <col min="4874" max="4874" width="11.625" style="271" customWidth="1"/>
    <col min="4875" max="5120" width="8.875" style="271"/>
    <col min="5121" max="5121" width="19.5" style="271" customWidth="1"/>
    <col min="5122" max="5123" width="12.125" style="271" customWidth="1"/>
    <col min="5124" max="5124" width="13.75" style="271" customWidth="1"/>
    <col min="5125" max="5125" width="14.625" style="271" customWidth="1"/>
    <col min="5126" max="5126" width="15.125" style="271" customWidth="1"/>
    <col min="5127" max="5127" width="12.25" style="271" customWidth="1"/>
    <col min="5128" max="5128" width="12.5" style="271" customWidth="1"/>
    <col min="5129" max="5129" width="12.25" style="271" customWidth="1"/>
    <col min="5130" max="5130" width="11.625" style="271" customWidth="1"/>
    <col min="5131" max="5376" width="8.875" style="271"/>
    <col min="5377" max="5377" width="19.5" style="271" customWidth="1"/>
    <col min="5378" max="5379" width="12.125" style="271" customWidth="1"/>
    <col min="5380" max="5380" width="13.75" style="271" customWidth="1"/>
    <col min="5381" max="5381" width="14.625" style="271" customWidth="1"/>
    <col min="5382" max="5382" width="15.125" style="271" customWidth="1"/>
    <col min="5383" max="5383" width="12.25" style="271" customWidth="1"/>
    <col min="5384" max="5384" width="12.5" style="271" customWidth="1"/>
    <col min="5385" max="5385" width="12.25" style="271" customWidth="1"/>
    <col min="5386" max="5386" width="11.625" style="271" customWidth="1"/>
    <col min="5387" max="5632" width="8.875" style="271"/>
    <col min="5633" max="5633" width="19.5" style="271" customWidth="1"/>
    <col min="5634" max="5635" width="12.125" style="271" customWidth="1"/>
    <col min="5636" max="5636" width="13.75" style="271" customWidth="1"/>
    <col min="5637" max="5637" width="14.625" style="271" customWidth="1"/>
    <col min="5638" max="5638" width="15.125" style="271" customWidth="1"/>
    <col min="5639" max="5639" width="12.25" style="271" customWidth="1"/>
    <col min="5640" max="5640" width="12.5" style="271" customWidth="1"/>
    <col min="5641" max="5641" width="12.25" style="271" customWidth="1"/>
    <col min="5642" max="5642" width="11.625" style="271" customWidth="1"/>
    <col min="5643" max="5888" width="8.875" style="271"/>
    <col min="5889" max="5889" width="19.5" style="271" customWidth="1"/>
    <col min="5890" max="5891" width="12.125" style="271" customWidth="1"/>
    <col min="5892" max="5892" width="13.75" style="271" customWidth="1"/>
    <col min="5893" max="5893" width="14.625" style="271" customWidth="1"/>
    <col min="5894" max="5894" width="15.125" style="271" customWidth="1"/>
    <col min="5895" max="5895" width="12.25" style="271" customWidth="1"/>
    <col min="5896" max="5896" width="12.5" style="271" customWidth="1"/>
    <col min="5897" max="5897" width="12.25" style="271" customWidth="1"/>
    <col min="5898" max="5898" width="11.625" style="271" customWidth="1"/>
    <col min="5899" max="6144" width="8.875" style="271"/>
    <col min="6145" max="6145" width="19.5" style="271" customWidth="1"/>
    <col min="6146" max="6147" width="12.125" style="271" customWidth="1"/>
    <col min="6148" max="6148" width="13.75" style="271" customWidth="1"/>
    <col min="6149" max="6149" width="14.625" style="271" customWidth="1"/>
    <col min="6150" max="6150" width="15.125" style="271" customWidth="1"/>
    <col min="6151" max="6151" width="12.25" style="271" customWidth="1"/>
    <col min="6152" max="6152" width="12.5" style="271" customWidth="1"/>
    <col min="6153" max="6153" width="12.25" style="271" customWidth="1"/>
    <col min="6154" max="6154" width="11.625" style="271" customWidth="1"/>
    <col min="6155" max="6400" width="8.875" style="271"/>
    <col min="6401" max="6401" width="19.5" style="271" customWidth="1"/>
    <col min="6402" max="6403" width="12.125" style="271" customWidth="1"/>
    <col min="6404" max="6404" width="13.75" style="271" customWidth="1"/>
    <col min="6405" max="6405" width="14.625" style="271" customWidth="1"/>
    <col min="6406" max="6406" width="15.125" style="271" customWidth="1"/>
    <col min="6407" max="6407" width="12.25" style="271" customWidth="1"/>
    <col min="6408" max="6408" width="12.5" style="271" customWidth="1"/>
    <col min="6409" max="6409" width="12.25" style="271" customWidth="1"/>
    <col min="6410" max="6410" width="11.625" style="271" customWidth="1"/>
    <col min="6411" max="6656" width="8.875" style="271"/>
    <col min="6657" max="6657" width="19.5" style="271" customWidth="1"/>
    <col min="6658" max="6659" width="12.125" style="271" customWidth="1"/>
    <col min="6660" max="6660" width="13.75" style="271" customWidth="1"/>
    <col min="6661" max="6661" width="14.625" style="271" customWidth="1"/>
    <col min="6662" max="6662" width="15.125" style="271" customWidth="1"/>
    <col min="6663" max="6663" width="12.25" style="271" customWidth="1"/>
    <col min="6664" max="6664" width="12.5" style="271" customWidth="1"/>
    <col min="6665" max="6665" width="12.25" style="271" customWidth="1"/>
    <col min="6666" max="6666" width="11.625" style="271" customWidth="1"/>
    <col min="6667" max="6912" width="8.875" style="271"/>
    <col min="6913" max="6913" width="19.5" style="271" customWidth="1"/>
    <col min="6914" max="6915" width="12.125" style="271" customWidth="1"/>
    <col min="6916" max="6916" width="13.75" style="271" customWidth="1"/>
    <col min="6917" max="6917" width="14.625" style="271" customWidth="1"/>
    <col min="6918" max="6918" width="15.125" style="271" customWidth="1"/>
    <col min="6919" max="6919" width="12.25" style="271" customWidth="1"/>
    <col min="6920" max="6920" width="12.5" style="271" customWidth="1"/>
    <col min="6921" max="6921" width="12.25" style="271" customWidth="1"/>
    <col min="6922" max="6922" width="11.625" style="271" customWidth="1"/>
    <col min="6923" max="7168" width="8.875" style="271"/>
    <col min="7169" max="7169" width="19.5" style="271" customWidth="1"/>
    <col min="7170" max="7171" width="12.125" style="271" customWidth="1"/>
    <col min="7172" max="7172" width="13.75" style="271" customWidth="1"/>
    <col min="7173" max="7173" width="14.625" style="271" customWidth="1"/>
    <col min="7174" max="7174" width="15.125" style="271" customWidth="1"/>
    <col min="7175" max="7175" width="12.25" style="271" customWidth="1"/>
    <col min="7176" max="7176" width="12.5" style="271" customWidth="1"/>
    <col min="7177" max="7177" width="12.25" style="271" customWidth="1"/>
    <col min="7178" max="7178" width="11.625" style="271" customWidth="1"/>
    <col min="7179" max="7424" width="8.875" style="271"/>
    <col min="7425" max="7425" width="19.5" style="271" customWidth="1"/>
    <col min="7426" max="7427" width="12.125" style="271" customWidth="1"/>
    <col min="7428" max="7428" width="13.75" style="271" customWidth="1"/>
    <col min="7429" max="7429" width="14.625" style="271" customWidth="1"/>
    <col min="7430" max="7430" width="15.125" style="271" customWidth="1"/>
    <col min="7431" max="7431" width="12.25" style="271" customWidth="1"/>
    <col min="7432" max="7432" width="12.5" style="271" customWidth="1"/>
    <col min="7433" max="7433" width="12.25" style="271" customWidth="1"/>
    <col min="7434" max="7434" width="11.625" style="271" customWidth="1"/>
    <col min="7435" max="7680" width="8.875" style="271"/>
    <col min="7681" max="7681" width="19.5" style="271" customWidth="1"/>
    <col min="7682" max="7683" width="12.125" style="271" customWidth="1"/>
    <col min="7684" max="7684" width="13.75" style="271" customWidth="1"/>
    <col min="7685" max="7685" width="14.625" style="271" customWidth="1"/>
    <col min="7686" max="7686" width="15.125" style="271" customWidth="1"/>
    <col min="7687" max="7687" width="12.25" style="271" customWidth="1"/>
    <col min="7688" max="7688" width="12.5" style="271" customWidth="1"/>
    <col min="7689" max="7689" width="12.25" style="271" customWidth="1"/>
    <col min="7690" max="7690" width="11.625" style="271" customWidth="1"/>
    <col min="7691" max="7936" width="8.875" style="271"/>
    <col min="7937" max="7937" width="19.5" style="271" customWidth="1"/>
    <col min="7938" max="7939" width="12.125" style="271" customWidth="1"/>
    <col min="7940" max="7940" width="13.75" style="271" customWidth="1"/>
    <col min="7941" max="7941" width="14.625" style="271" customWidth="1"/>
    <col min="7942" max="7942" width="15.125" style="271" customWidth="1"/>
    <col min="7943" max="7943" width="12.25" style="271" customWidth="1"/>
    <col min="7944" max="7944" width="12.5" style="271" customWidth="1"/>
    <col min="7945" max="7945" width="12.25" style="271" customWidth="1"/>
    <col min="7946" max="7946" width="11.625" style="271" customWidth="1"/>
    <col min="7947" max="8192" width="8.875" style="271"/>
    <col min="8193" max="8193" width="19.5" style="271" customWidth="1"/>
    <col min="8194" max="8195" width="12.125" style="271" customWidth="1"/>
    <col min="8196" max="8196" width="13.75" style="271" customWidth="1"/>
    <col min="8197" max="8197" width="14.625" style="271" customWidth="1"/>
    <col min="8198" max="8198" width="15.125" style="271" customWidth="1"/>
    <col min="8199" max="8199" width="12.25" style="271" customWidth="1"/>
    <col min="8200" max="8200" width="12.5" style="271" customWidth="1"/>
    <col min="8201" max="8201" width="12.25" style="271" customWidth="1"/>
    <col min="8202" max="8202" width="11.625" style="271" customWidth="1"/>
    <col min="8203" max="8448" width="8.875" style="271"/>
    <col min="8449" max="8449" width="19.5" style="271" customWidth="1"/>
    <col min="8450" max="8451" width="12.125" style="271" customWidth="1"/>
    <col min="8452" max="8452" width="13.75" style="271" customWidth="1"/>
    <col min="8453" max="8453" width="14.625" style="271" customWidth="1"/>
    <col min="8454" max="8454" width="15.125" style="271" customWidth="1"/>
    <col min="8455" max="8455" width="12.25" style="271" customWidth="1"/>
    <col min="8456" max="8456" width="12.5" style="271" customWidth="1"/>
    <col min="8457" max="8457" width="12.25" style="271" customWidth="1"/>
    <col min="8458" max="8458" width="11.625" style="271" customWidth="1"/>
    <col min="8459" max="8704" width="8.875" style="271"/>
    <col min="8705" max="8705" width="19.5" style="271" customWidth="1"/>
    <col min="8706" max="8707" width="12.125" style="271" customWidth="1"/>
    <col min="8708" max="8708" width="13.75" style="271" customWidth="1"/>
    <col min="8709" max="8709" width="14.625" style="271" customWidth="1"/>
    <col min="8710" max="8710" width="15.125" style="271" customWidth="1"/>
    <col min="8711" max="8711" width="12.25" style="271" customWidth="1"/>
    <col min="8712" max="8712" width="12.5" style="271" customWidth="1"/>
    <col min="8713" max="8713" width="12.25" style="271" customWidth="1"/>
    <col min="8714" max="8714" width="11.625" style="271" customWidth="1"/>
    <col min="8715" max="8960" width="8.875" style="271"/>
    <col min="8961" max="8961" width="19.5" style="271" customWidth="1"/>
    <col min="8962" max="8963" width="12.125" style="271" customWidth="1"/>
    <col min="8964" max="8964" width="13.75" style="271" customWidth="1"/>
    <col min="8965" max="8965" width="14.625" style="271" customWidth="1"/>
    <col min="8966" max="8966" width="15.125" style="271" customWidth="1"/>
    <col min="8967" max="8967" width="12.25" style="271" customWidth="1"/>
    <col min="8968" max="8968" width="12.5" style="271" customWidth="1"/>
    <col min="8969" max="8969" width="12.25" style="271" customWidth="1"/>
    <col min="8970" max="8970" width="11.625" style="271" customWidth="1"/>
    <col min="8971" max="9216" width="8.875" style="271"/>
    <col min="9217" max="9217" width="19.5" style="271" customWidth="1"/>
    <col min="9218" max="9219" width="12.125" style="271" customWidth="1"/>
    <col min="9220" max="9220" width="13.75" style="271" customWidth="1"/>
    <col min="9221" max="9221" width="14.625" style="271" customWidth="1"/>
    <col min="9222" max="9222" width="15.125" style="271" customWidth="1"/>
    <col min="9223" max="9223" width="12.25" style="271" customWidth="1"/>
    <col min="9224" max="9224" width="12.5" style="271" customWidth="1"/>
    <col min="9225" max="9225" width="12.25" style="271" customWidth="1"/>
    <col min="9226" max="9226" width="11.625" style="271" customWidth="1"/>
    <col min="9227" max="9472" width="8.875" style="271"/>
    <col min="9473" max="9473" width="19.5" style="271" customWidth="1"/>
    <col min="9474" max="9475" width="12.125" style="271" customWidth="1"/>
    <col min="9476" max="9476" width="13.75" style="271" customWidth="1"/>
    <col min="9477" max="9477" width="14.625" style="271" customWidth="1"/>
    <col min="9478" max="9478" width="15.125" style="271" customWidth="1"/>
    <col min="9479" max="9479" width="12.25" style="271" customWidth="1"/>
    <col min="9480" max="9480" width="12.5" style="271" customWidth="1"/>
    <col min="9481" max="9481" width="12.25" style="271" customWidth="1"/>
    <col min="9482" max="9482" width="11.625" style="271" customWidth="1"/>
    <col min="9483" max="9728" width="8.875" style="271"/>
    <col min="9729" max="9729" width="19.5" style="271" customWidth="1"/>
    <col min="9730" max="9731" width="12.125" style="271" customWidth="1"/>
    <col min="9732" max="9732" width="13.75" style="271" customWidth="1"/>
    <col min="9733" max="9733" width="14.625" style="271" customWidth="1"/>
    <col min="9734" max="9734" width="15.125" style="271" customWidth="1"/>
    <col min="9735" max="9735" width="12.25" style="271" customWidth="1"/>
    <col min="9736" max="9736" width="12.5" style="271" customWidth="1"/>
    <col min="9737" max="9737" width="12.25" style="271" customWidth="1"/>
    <col min="9738" max="9738" width="11.625" style="271" customWidth="1"/>
    <col min="9739" max="9984" width="8.875" style="271"/>
    <col min="9985" max="9985" width="19.5" style="271" customWidth="1"/>
    <col min="9986" max="9987" width="12.125" style="271" customWidth="1"/>
    <col min="9988" max="9988" width="13.75" style="271" customWidth="1"/>
    <col min="9989" max="9989" width="14.625" style="271" customWidth="1"/>
    <col min="9990" max="9990" width="15.125" style="271" customWidth="1"/>
    <col min="9991" max="9991" width="12.25" style="271" customWidth="1"/>
    <col min="9992" max="9992" width="12.5" style="271" customWidth="1"/>
    <col min="9993" max="9993" width="12.25" style="271" customWidth="1"/>
    <col min="9994" max="9994" width="11.625" style="271" customWidth="1"/>
    <col min="9995" max="10240" width="8.875" style="271"/>
    <col min="10241" max="10241" width="19.5" style="271" customWidth="1"/>
    <col min="10242" max="10243" width="12.125" style="271" customWidth="1"/>
    <col min="10244" max="10244" width="13.75" style="271" customWidth="1"/>
    <col min="10245" max="10245" width="14.625" style="271" customWidth="1"/>
    <col min="10246" max="10246" width="15.125" style="271" customWidth="1"/>
    <col min="10247" max="10247" width="12.25" style="271" customWidth="1"/>
    <col min="10248" max="10248" width="12.5" style="271" customWidth="1"/>
    <col min="10249" max="10249" width="12.25" style="271" customWidth="1"/>
    <col min="10250" max="10250" width="11.625" style="271" customWidth="1"/>
    <col min="10251" max="10496" width="8.875" style="271"/>
    <col min="10497" max="10497" width="19.5" style="271" customWidth="1"/>
    <col min="10498" max="10499" width="12.125" style="271" customWidth="1"/>
    <col min="10500" max="10500" width="13.75" style="271" customWidth="1"/>
    <col min="10501" max="10501" width="14.625" style="271" customWidth="1"/>
    <col min="10502" max="10502" width="15.125" style="271" customWidth="1"/>
    <col min="10503" max="10503" width="12.25" style="271" customWidth="1"/>
    <col min="10504" max="10504" width="12.5" style="271" customWidth="1"/>
    <col min="10505" max="10505" width="12.25" style="271" customWidth="1"/>
    <col min="10506" max="10506" width="11.625" style="271" customWidth="1"/>
    <col min="10507" max="10752" width="8.875" style="271"/>
    <col min="10753" max="10753" width="19.5" style="271" customWidth="1"/>
    <col min="10754" max="10755" width="12.125" style="271" customWidth="1"/>
    <col min="10756" max="10756" width="13.75" style="271" customWidth="1"/>
    <col min="10757" max="10757" width="14.625" style="271" customWidth="1"/>
    <col min="10758" max="10758" width="15.125" style="271" customWidth="1"/>
    <col min="10759" max="10759" width="12.25" style="271" customWidth="1"/>
    <col min="10760" max="10760" width="12.5" style="271" customWidth="1"/>
    <col min="10761" max="10761" width="12.25" style="271" customWidth="1"/>
    <col min="10762" max="10762" width="11.625" style="271" customWidth="1"/>
    <col min="10763" max="11008" width="8.875" style="271"/>
    <col min="11009" max="11009" width="19.5" style="271" customWidth="1"/>
    <col min="11010" max="11011" width="12.125" style="271" customWidth="1"/>
    <col min="11012" max="11012" width="13.75" style="271" customWidth="1"/>
    <col min="11013" max="11013" width="14.625" style="271" customWidth="1"/>
    <col min="11014" max="11014" width="15.125" style="271" customWidth="1"/>
    <col min="11015" max="11015" width="12.25" style="271" customWidth="1"/>
    <col min="11016" max="11016" width="12.5" style="271" customWidth="1"/>
    <col min="11017" max="11017" width="12.25" style="271" customWidth="1"/>
    <col min="11018" max="11018" width="11.625" style="271" customWidth="1"/>
    <col min="11019" max="11264" width="8.875" style="271"/>
    <col min="11265" max="11265" width="19.5" style="271" customWidth="1"/>
    <col min="11266" max="11267" width="12.125" style="271" customWidth="1"/>
    <col min="11268" max="11268" width="13.75" style="271" customWidth="1"/>
    <col min="11269" max="11269" width="14.625" style="271" customWidth="1"/>
    <col min="11270" max="11270" width="15.125" style="271" customWidth="1"/>
    <col min="11271" max="11271" width="12.25" style="271" customWidth="1"/>
    <col min="11272" max="11272" width="12.5" style="271" customWidth="1"/>
    <col min="11273" max="11273" width="12.25" style="271" customWidth="1"/>
    <col min="11274" max="11274" width="11.625" style="271" customWidth="1"/>
    <col min="11275" max="11520" width="8.875" style="271"/>
    <col min="11521" max="11521" width="19.5" style="271" customWidth="1"/>
    <col min="11522" max="11523" width="12.125" style="271" customWidth="1"/>
    <col min="11524" max="11524" width="13.75" style="271" customWidth="1"/>
    <col min="11525" max="11525" width="14.625" style="271" customWidth="1"/>
    <col min="11526" max="11526" width="15.125" style="271" customWidth="1"/>
    <col min="11527" max="11527" width="12.25" style="271" customWidth="1"/>
    <col min="11528" max="11528" width="12.5" style="271" customWidth="1"/>
    <col min="11529" max="11529" width="12.25" style="271" customWidth="1"/>
    <col min="11530" max="11530" width="11.625" style="271" customWidth="1"/>
    <col min="11531" max="11776" width="8.875" style="271"/>
    <col min="11777" max="11777" width="19.5" style="271" customWidth="1"/>
    <col min="11778" max="11779" width="12.125" style="271" customWidth="1"/>
    <col min="11780" max="11780" width="13.75" style="271" customWidth="1"/>
    <col min="11781" max="11781" width="14.625" style="271" customWidth="1"/>
    <col min="11782" max="11782" width="15.125" style="271" customWidth="1"/>
    <col min="11783" max="11783" width="12.25" style="271" customWidth="1"/>
    <col min="11784" max="11784" width="12.5" style="271" customWidth="1"/>
    <col min="11785" max="11785" width="12.25" style="271" customWidth="1"/>
    <col min="11786" max="11786" width="11.625" style="271" customWidth="1"/>
    <col min="11787" max="12032" width="8.875" style="271"/>
    <col min="12033" max="12033" width="19.5" style="271" customWidth="1"/>
    <col min="12034" max="12035" width="12.125" style="271" customWidth="1"/>
    <col min="12036" max="12036" width="13.75" style="271" customWidth="1"/>
    <col min="12037" max="12037" width="14.625" style="271" customWidth="1"/>
    <col min="12038" max="12038" width="15.125" style="271" customWidth="1"/>
    <col min="12039" max="12039" width="12.25" style="271" customWidth="1"/>
    <col min="12040" max="12040" width="12.5" style="271" customWidth="1"/>
    <col min="12041" max="12041" width="12.25" style="271" customWidth="1"/>
    <col min="12042" max="12042" width="11.625" style="271" customWidth="1"/>
    <col min="12043" max="12288" width="8.875" style="271"/>
    <col min="12289" max="12289" width="19.5" style="271" customWidth="1"/>
    <col min="12290" max="12291" width="12.125" style="271" customWidth="1"/>
    <col min="12292" max="12292" width="13.75" style="271" customWidth="1"/>
    <col min="12293" max="12293" width="14.625" style="271" customWidth="1"/>
    <col min="12294" max="12294" width="15.125" style="271" customWidth="1"/>
    <col min="12295" max="12295" width="12.25" style="271" customWidth="1"/>
    <col min="12296" max="12296" width="12.5" style="271" customWidth="1"/>
    <col min="12297" max="12297" width="12.25" style="271" customWidth="1"/>
    <col min="12298" max="12298" width="11.625" style="271" customWidth="1"/>
    <col min="12299" max="12544" width="8.875" style="271"/>
    <col min="12545" max="12545" width="19.5" style="271" customWidth="1"/>
    <col min="12546" max="12547" width="12.125" style="271" customWidth="1"/>
    <col min="12548" max="12548" width="13.75" style="271" customWidth="1"/>
    <col min="12549" max="12549" width="14.625" style="271" customWidth="1"/>
    <col min="12550" max="12550" width="15.125" style="271" customWidth="1"/>
    <col min="12551" max="12551" width="12.25" style="271" customWidth="1"/>
    <col min="12552" max="12552" width="12.5" style="271" customWidth="1"/>
    <col min="12553" max="12553" width="12.25" style="271" customWidth="1"/>
    <col min="12554" max="12554" width="11.625" style="271" customWidth="1"/>
    <col min="12555" max="12800" width="8.875" style="271"/>
    <col min="12801" max="12801" width="19.5" style="271" customWidth="1"/>
    <col min="12802" max="12803" width="12.125" style="271" customWidth="1"/>
    <col min="12804" max="12804" width="13.75" style="271" customWidth="1"/>
    <col min="12805" max="12805" width="14.625" style="271" customWidth="1"/>
    <col min="12806" max="12806" width="15.125" style="271" customWidth="1"/>
    <col min="12807" max="12807" width="12.25" style="271" customWidth="1"/>
    <col min="12808" max="12808" width="12.5" style="271" customWidth="1"/>
    <col min="12809" max="12809" width="12.25" style="271" customWidth="1"/>
    <col min="12810" max="12810" width="11.625" style="271" customWidth="1"/>
    <col min="12811" max="13056" width="8.875" style="271"/>
    <col min="13057" max="13057" width="19.5" style="271" customWidth="1"/>
    <col min="13058" max="13059" width="12.125" style="271" customWidth="1"/>
    <col min="13060" max="13060" width="13.75" style="271" customWidth="1"/>
    <col min="13061" max="13061" width="14.625" style="271" customWidth="1"/>
    <col min="13062" max="13062" width="15.125" style="271" customWidth="1"/>
    <col min="13063" max="13063" width="12.25" style="271" customWidth="1"/>
    <col min="13064" max="13064" width="12.5" style="271" customWidth="1"/>
    <col min="13065" max="13065" width="12.25" style="271" customWidth="1"/>
    <col min="13066" max="13066" width="11.625" style="271" customWidth="1"/>
    <col min="13067" max="13312" width="8.875" style="271"/>
    <col min="13313" max="13313" width="19.5" style="271" customWidth="1"/>
    <col min="13314" max="13315" width="12.125" style="271" customWidth="1"/>
    <col min="13316" max="13316" width="13.75" style="271" customWidth="1"/>
    <col min="13317" max="13317" width="14.625" style="271" customWidth="1"/>
    <col min="13318" max="13318" width="15.125" style="271" customWidth="1"/>
    <col min="13319" max="13319" width="12.25" style="271" customWidth="1"/>
    <col min="13320" max="13320" width="12.5" style="271" customWidth="1"/>
    <col min="13321" max="13321" width="12.25" style="271" customWidth="1"/>
    <col min="13322" max="13322" width="11.625" style="271" customWidth="1"/>
    <col min="13323" max="13568" width="8.875" style="271"/>
    <col min="13569" max="13569" width="19.5" style="271" customWidth="1"/>
    <col min="13570" max="13571" width="12.125" style="271" customWidth="1"/>
    <col min="13572" max="13572" width="13.75" style="271" customWidth="1"/>
    <col min="13573" max="13573" width="14.625" style="271" customWidth="1"/>
    <col min="13574" max="13574" width="15.125" style="271" customWidth="1"/>
    <col min="13575" max="13575" width="12.25" style="271" customWidth="1"/>
    <col min="13576" max="13576" width="12.5" style="271" customWidth="1"/>
    <col min="13577" max="13577" width="12.25" style="271" customWidth="1"/>
    <col min="13578" max="13578" width="11.625" style="271" customWidth="1"/>
    <col min="13579" max="13824" width="8.875" style="271"/>
    <col min="13825" max="13825" width="19.5" style="271" customWidth="1"/>
    <col min="13826" max="13827" width="12.125" style="271" customWidth="1"/>
    <col min="13828" max="13828" width="13.75" style="271" customWidth="1"/>
    <col min="13829" max="13829" width="14.625" style="271" customWidth="1"/>
    <col min="13830" max="13830" width="15.125" style="271" customWidth="1"/>
    <col min="13831" max="13831" width="12.25" style="271" customWidth="1"/>
    <col min="13832" max="13832" width="12.5" style="271" customWidth="1"/>
    <col min="13833" max="13833" width="12.25" style="271" customWidth="1"/>
    <col min="13834" max="13834" width="11.625" style="271" customWidth="1"/>
    <col min="13835" max="14080" width="8.875" style="271"/>
    <col min="14081" max="14081" width="19.5" style="271" customWidth="1"/>
    <col min="14082" max="14083" width="12.125" style="271" customWidth="1"/>
    <col min="14084" max="14084" width="13.75" style="271" customWidth="1"/>
    <col min="14085" max="14085" width="14.625" style="271" customWidth="1"/>
    <col min="14086" max="14086" width="15.125" style="271" customWidth="1"/>
    <col min="14087" max="14087" width="12.25" style="271" customWidth="1"/>
    <col min="14088" max="14088" width="12.5" style="271" customWidth="1"/>
    <col min="14089" max="14089" width="12.25" style="271" customWidth="1"/>
    <col min="14090" max="14090" width="11.625" style="271" customWidth="1"/>
    <col min="14091" max="14336" width="8.875" style="271"/>
    <col min="14337" max="14337" width="19.5" style="271" customWidth="1"/>
    <col min="14338" max="14339" width="12.125" style="271" customWidth="1"/>
    <col min="14340" max="14340" width="13.75" style="271" customWidth="1"/>
    <col min="14341" max="14341" width="14.625" style="271" customWidth="1"/>
    <col min="14342" max="14342" width="15.125" style="271" customWidth="1"/>
    <col min="14343" max="14343" width="12.25" style="271" customWidth="1"/>
    <col min="14344" max="14344" width="12.5" style="271" customWidth="1"/>
    <col min="14345" max="14345" width="12.25" style="271" customWidth="1"/>
    <col min="14346" max="14346" width="11.625" style="271" customWidth="1"/>
    <col min="14347" max="14592" width="8.875" style="271"/>
    <col min="14593" max="14593" width="19.5" style="271" customWidth="1"/>
    <col min="14594" max="14595" width="12.125" style="271" customWidth="1"/>
    <col min="14596" max="14596" width="13.75" style="271" customWidth="1"/>
    <col min="14597" max="14597" width="14.625" style="271" customWidth="1"/>
    <col min="14598" max="14598" width="15.125" style="271" customWidth="1"/>
    <col min="14599" max="14599" width="12.25" style="271" customWidth="1"/>
    <col min="14600" max="14600" width="12.5" style="271" customWidth="1"/>
    <col min="14601" max="14601" width="12.25" style="271" customWidth="1"/>
    <col min="14602" max="14602" width="11.625" style="271" customWidth="1"/>
    <col min="14603" max="14848" width="8.875" style="271"/>
    <col min="14849" max="14849" width="19.5" style="271" customWidth="1"/>
    <col min="14850" max="14851" width="12.125" style="271" customWidth="1"/>
    <col min="14852" max="14852" width="13.75" style="271" customWidth="1"/>
    <col min="14853" max="14853" width="14.625" style="271" customWidth="1"/>
    <col min="14854" max="14854" width="15.125" style="271" customWidth="1"/>
    <col min="14855" max="14855" width="12.25" style="271" customWidth="1"/>
    <col min="14856" max="14856" width="12.5" style="271" customWidth="1"/>
    <col min="14857" max="14857" width="12.25" style="271" customWidth="1"/>
    <col min="14858" max="14858" width="11.625" style="271" customWidth="1"/>
    <col min="14859" max="15104" width="8.875" style="271"/>
    <col min="15105" max="15105" width="19.5" style="271" customWidth="1"/>
    <col min="15106" max="15107" width="12.125" style="271" customWidth="1"/>
    <col min="15108" max="15108" width="13.75" style="271" customWidth="1"/>
    <col min="15109" max="15109" width="14.625" style="271" customWidth="1"/>
    <col min="15110" max="15110" width="15.125" style="271" customWidth="1"/>
    <col min="15111" max="15111" width="12.25" style="271" customWidth="1"/>
    <col min="15112" max="15112" width="12.5" style="271" customWidth="1"/>
    <col min="15113" max="15113" width="12.25" style="271" customWidth="1"/>
    <col min="15114" max="15114" width="11.625" style="271" customWidth="1"/>
    <col min="15115" max="15360" width="8.875" style="271"/>
    <col min="15361" max="15361" width="19.5" style="271" customWidth="1"/>
    <col min="15362" max="15363" width="12.125" style="271" customWidth="1"/>
    <col min="15364" max="15364" width="13.75" style="271" customWidth="1"/>
    <col min="15365" max="15365" width="14.625" style="271" customWidth="1"/>
    <col min="15366" max="15366" width="15.125" style="271" customWidth="1"/>
    <col min="15367" max="15367" width="12.25" style="271" customWidth="1"/>
    <col min="15368" max="15368" width="12.5" style="271" customWidth="1"/>
    <col min="15369" max="15369" width="12.25" style="271" customWidth="1"/>
    <col min="15370" max="15370" width="11.625" style="271" customWidth="1"/>
    <col min="15371" max="15616" width="8.875" style="271"/>
    <col min="15617" max="15617" width="19.5" style="271" customWidth="1"/>
    <col min="15618" max="15619" width="12.125" style="271" customWidth="1"/>
    <col min="15620" max="15620" width="13.75" style="271" customWidth="1"/>
    <col min="15621" max="15621" width="14.625" style="271" customWidth="1"/>
    <col min="15622" max="15622" width="15.125" style="271" customWidth="1"/>
    <col min="15623" max="15623" width="12.25" style="271" customWidth="1"/>
    <col min="15624" max="15624" width="12.5" style="271" customWidth="1"/>
    <col min="15625" max="15625" width="12.25" style="271" customWidth="1"/>
    <col min="15626" max="15626" width="11.625" style="271" customWidth="1"/>
    <col min="15627" max="15872" width="8.875" style="271"/>
    <col min="15873" max="15873" width="19.5" style="271" customWidth="1"/>
    <col min="15874" max="15875" width="12.125" style="271" customWidth="1"/>
    <col min="15876" max="15876" width="13.75" style="271" customWidth="1"/>
    <col min="15877" max="15877" width="14.625" style="271" customWidth="1"/>
    <col min="15878" max="15878" width="15.125" style="271" customWidth="1"/>
    <col min="15879" max="15879" width="12.25" style="271" customWidth="1"/>
    <col min="15880" max="15880" width="12.5" style="271" customWidth="1"/>
    <col min="15881" max="15881" width="12.25" style="271" customWidth="1"/>
    <col min="15882" max="15882" width="11.625" style="271" customWidth="1"/>
    <col min="15883" max="16128" width="8.875" style="271"/>
    <col min="16129" max="16129" width="19.5" style="271" customWidth="1"/>
    <col min="16130" max="16131" width="12.125" style="271" customWidth="1"/>
    <col min="16132" max="16132" width="13.75" style="271" customWidth="1"/>
    <col min="16133" max="16133" width="14.625" style="271" customWidth="1"/>
    <col min="16134" max="16134" width="15.125" style="271" customWidth="1"/>
    <col min="16135" max="16135" width="12.25" style="271" customWidth="1"/>
    <col min="16136" max="16136" width="12.5" style="271" customWidth="1"/>
    <col min="16137" max="16137" width="12.25" style="271" customWidth="1"/>
    <col min="16138" max="16138" width="11.625" style="271" customWidth="1"/>
    <col min="16139" max="16384" width="8.875" style="271"/>
  </cols>
  <sheetData>
    <row r="1" spans="1:10" ht="19.5">
      <c r="A1" s="266" t="s">
        <v>478</v>
      </c>
      <c r="B1" s="267"/>
      <c r="C1" s="268"/>
      <c r="D1" s="269"/>
      <c r="E1" s="267"/>
      <c r="F1" s="268"/>
      <c r="G1" s="270"/>
    </row>
    <row r="2" spans="1:10">
      <c r="G2" s="274"/>
    </row>
    <row r="3" spans="1:10" ht="17.25">
      <c r="A3" s="275" t="s">
        <v>157</v>
      </c>
      <c r="B3" s="276"/>
      <c r="C3" s="276"/>
      <c r="D3" s="276"/>
      <c r="E3" s="277"/>
      <c r="F3" s="277"/>
      <c r="G3" s="277"/>
      <c r="H3" s="277"/>
      <c r="I3" s="277"/>
      <c r="J3" s="278"/>
    </row>
    <row r="4" spans="1:10" ht="17.25">
      <c r="A4" s="279" t="s">
        <v>158</v>
      </c>
      <c r="B4" s="280"/>
      <c r="C4" s="280"/>
      <c r="D4" s="280"/>
      <c r="E4" s="281"/>
      <c r="F4" s="281"/>
      <c r="G4" s="281"/>
      <c r="H4" s="281"/>
      <c r="I4" s="281"/>
      <c r="J4" s="282"/>
    </row>
    <row r="5" spans="1:10">
      <c r="A5" s="69" t="s">
        <v>471</v>
      </c>
      <c r="B5" s="8" t="s">
        <v>424</v>
      </c>
      <c r="C5" s="70" t="s">
        <v>425</v>
      </c>
      <c r="D5" s="71" t="s">
        <v>159</v>
      </c>
      <c r="E5" s="8" t="s">
        <v>424</v>
      </c>
      <c r="F5" s="70" t="s">
        <v>425</v>
      </c>
      <c r="G5" s="73" t="s">
        <v>160</v>
      </c>
      <c r="H5" s="8" t="s">
        <v>424</v>
      </c>
      <c r="I5" s="70" t="s">
        <v>425</v>
      </c>
      <c r="J5" s="205" t="s">
        <v>37</v>
      </c>
    </row>
    <row r="6" spans="1:10">
      <c r="A6" s="284"/>
      <c r="B6" s="283" t="s">
        <v>33</v>
      </c>
      <c r="C6" s="500" t="s">
        <v>420</v>
      </c>
      <c r="D6" s="504" t="s">
        <v>2</v>
      </c>
      <c r="E6" s="285" t="s">
        <v>34</v>
      </c>
      <c r="F6" s="505" t="s">
        <v>421</v>
      </c>
      <c r="G6" s="504" t="s">
        <v>2</v>
      </c>
      <c r="H6" s="286" t="s">
        <v>36</v>
      </c>
      <c r="I6" s="507" t="s">
        <v>422</v>
      </c>
      <c r="J6" s="504" t="s">
        <v>2</v>
      </c>
    </row>
    <row r="7" spans="1:10">
      <c r="A7" s="287" t="s">
        <v>5</v>
      </c>
      <c r="B7" s="288"/>
      <c r="C7" s="80"/>
      <c r="D7" s="208"/>
      <c r="E7" s="289"/>
      <c r="F7" s="80"/>
      <c r="G7" s="506"/>
      <c r="H7" s="290"/>
      <c r="I7" s="83"/>
      <c r="J7" s="209"/>
    </row>
    <row r="8" spans="1:10">
      <c r="A8" s="287" t="s">
        <v>6</v>
      </c>
      <c r="B8" s="291">
        <f>SUM(B9:B11)</f>
        <v>160157</v>
      </c>
      <c r="C8" s="501">
        <f>SUM(C9:C11)</f>
        <v>271086</v>
      </c>
      <c r="D8" s="511">
        <f>IF(C8,(B8-C8)/C8,0)</f>
        <v>-0.40920224578178144</v>
      </c>
      <c r="E8" s="292">
        <f>SUM(E9:E11)</f>
        <v>349519798</v>
      </c>
      <c r="F8" s="84">
        <f>SUM(F9:F11)</f>
        <v>498433405</v>
      </c>
      <c r="G8" s="510">
        <f>IF(F8,(E8-F8)/F8,0)</f>
        <v>-0.29876329617193292</v>
      </c>
      <c r="H8" s="86">
        <f>IF(B8,E8/B8,0)</f>
        <v>2182.3572993999637</v>
      </c>
      <c r="I8" s="87">
        <f>IF(C8,F8/C8,0)</f>
        <v>1838.6541724766309</v>
      </c>
      <c r="J8" s="512">
        <f t="shared" ref="J8:J64" si="0">IF(I8,(H8-I8)/I8,0)</f>
        <v>0.18693190490540776</v>
      </c>
    </row>
    <row r="9" spans="1:10">
      <c r="A9" s="293" t="s">
        <v>164</v>
      </c>
      <c r="B9" s="294">
        <f>電輔車!E9</f>
        <v>142310</v>
      </c>
      <c r="C9" s="88">
        <f>_xlfn.IFNA(VLOOKUP(A9,[1]電同!$C$3:$G$676,5,0),-[2]整車!$B$22)</f>
        <v>248659</v>
      </c>
      <c r="D9" s="511">
        <f t="shared" ref="D9:D64" si="1">IF(C9,(B9-C9)/C9,0)</f>
        <v>-0.42769012985655053</v>
      </c>
      <c r="E9" s="295">
        <f>電輔車!G9</f>
        <v>310934897</v>
      </c>
      <c r="F9" s="89">
        <f>_xlfn.IFNA(VLOOKUP(A9,[1]電同!$C$3:$G$765,3,0),-[2]整車!$B$22)</f>
        <v>451525736</v>
      </c>
      <c r="G9" s="510">
        <f t="shared" ref="G9:G64" si="2">IF(F9,(E9-F9)/F9,0)</f>
        <v>-0.31136838454763077</v>
      </c>
      <c r="H9" s="86">
        <f t="shared" ref="H9:H11" si="3">IF(B9,E9/B9,0)</f>
        <v>2184.912493851451</v>
      </c>
      <c r="I9" s="87">
        <f t="shared" ref="I9:I11" si="4">IF(C9,F9/C9,0)</f>
        <v>1815.8431265307108</v>
      </c>
      <c r="J9" s="512">
        <f t="shared" si="0"/>
        <v>0.2032495879893941</v>
      </c>
    </row>
    <row r="10" spans="1:10">
      <c r="A10" s="296" t="s">
        <v>7</v>
      </c>
      <c r="B10" s="294">
        <f>電輔車!E10</f>
        <v>16703</v>
      </c>
      <c r="C10" s="88">
        <f>_xlfn.IFNA(VLOOKUP(A10,[1]電同!$C$3:$G$676,5,0),-[2]整車!$B$22)</f>
        <v>18973</v>
      </c>
      <c r="D10" s="511">
        <f t="shared" si="1"/>
        <v>-0.11964370421124756</v>
      </c>
      <c r="E10" s="295">
        <f>電輔車!G10</f>
        <v>36230128</v>
      </c>
      <c r="F10" s="89">
        <f>_xlfn.IFNA(VLOOKUP(A10,[1]電同!$C$3:$G$765,3,0),-[2]整車!$B$22)</f>
        <v>38866643</v>
      </c>
      <c r="G10" s="510">
        <f t="shared" si="2"/>
        <v>-6.7834904084718609E-2</v>
      </c>
      <c r="H10" s="86">
        <f t="shared" si="3"/>
        <v>2169.0790875890557</v>
      </c>
      <c r="I10" s="87">
        <f t="shared" si="4"/>
        <v>2048.5238496811257</v>
      </c>
      <c r="J10" s="512">
        <f t="shared" si="0"/>
        <v>5.8849809303755794E-2</v>
      </c>
    </row>
    <row r="11" spans="1:10">
      <c r="A11" s="296" t="s">
        <v>8</v>
      </c>
      <c r="B11" s="294">
        <f>電輔車!E11</f>
        <v>1144</v>
      </c>
      <c r="C11" s="88">
        <f>_xlfn.IFNA(VLOOKUP(A11,[1]電同!$C$3:$G$676,5,0),-[2]整車!$B$22)</f>
        <v>3454</v>
      </c>
      <c r="D11" s="511">
        <f t="shared" si="1"/>
        <v>-0.66878980891719741</v>
      </c>
      <c r="E11" s="295">
        <f>電輔車!G11</f>
        <v>2354773</v>
      </c>
      <c r="F11" s="89">
        <f>_xlfn.IFNA(VLOOKUP(A11,[1]電同!$C$3:$G$765,3,0),-[2]整車!$B$22)</f>
        <v>8041026</v>
      </c>
      <c r="G11" s="510">
        <f t="shared" si="2"/>
        <v>-0.7071551565683285</v>
      </c>
      <c r="H11" s="86">
        <f t="shared" si="3"/>
        <v>2058.3680069930069</v>
      </c>
      <c r="I11" s="87">
        <f t="shared" si="4"/>
        <v>2328.0330052113491</v>
      </c>
      <c r="J11" s="512">
        <f t="shared" si="0"/>
        <v>-0.11583383810053018</v>
      </c>
    </row>
    <row r="12" spans="1:10">
      <c r="A12" s="296"/>
      <c r="B12" s="294"/>
      <c r="C12" s="502"/>
      <c r="D12" s="511"/>
      <c r="E12" s="295"/>
      <c r="F12" s="89"/>
      <c r="G12" s="510"/>
      <c r="H12" s="86"/>
      <c r="I12" s="87"/>
      <c r="J12" s="512"/>
    </row>
    <row r="13" spans="1:10">
      <c r="A13" s="297" t="s">
        <v>9</v>
      </c>
      <c r="B13" s="298">
        <f>SUM(B14:B40)</f>
        <v>407229</v>
      </c>
      <c r="C13" s="503">
        <f>SUM(C14:C40)</f>
        <v>621551</v>
      </c>
      <c r="D13" s="511">
        <f t="shared" si="1"/>
        <v>-0.34481804389342147</v>
      </c>
      <c r="E13" s="298">
        <f>SUM(E14:E40)</f>
        <v>646849500</v>
      </c>
      <c r="F13" s="90">
        <f>SUM(F14:F40)</f>
        <v>791323023</v>
      </c>
      <c r="G13" s="510">
        <f t="shared" si="2"/>
        <v>-0.18257212137248785</v>
      </c>
      <c r="H13" s="86">
        <f t="shared" ref="H13:H18" si="5">IF(B13,E13/B13,0)</f>
        <v>1588.4170822804858</v>
      </c>
      <c r="I13" s="87">
        <f t="shared" ref="I13:I18" si="6">IF(C13,F13/C13,0)</f>
        <v>1273.1425466293192</v>
      </c>
      <c r="J13" s="512">
        <f t="shared" si="0"/>
        <v>0.24763490662209414</v>
      </c>
    </row>
    <row r="14" spans="1:10">
      <c r="A14" s="454" t="s">
        <v>249</v>
      </c>
      <c r="B14" s="295">
        <f>電輔車!E14</f>
        <v>241871</v>
      </c>
      <c r="C14" s="88">
        <f>_xlfn.IFNA(VLOOKUP(A14,[1]電同!$C$3:$G$766,5,0),-[2]整車!$B$22)</f>
        <v>370455</v>
      </c>
      <c r="D14" s="511">
        <f t="shared" si="1"/>
        <v>-0.34709748822394082</v>
      </c>
      <c r="E14" s="295">
        <f>電輔車!G14</f>
        <v>408185223</v>
      </c>
      <c r="F14" s="89">
        <f>_xlfn.IFNA(VLOOKUP(A14,[1]電同!$C$3:$G$576,3,0),-[2]整車!$B$22)</f>
        <v>517626720</v>
      </c>
      <c r="G14" s="510">
        <f t="shared" si="2"/>
        <v>-0.21142938100258812</v>
      </c>
      <c r="H14" s="86">
        <f t="shared" si="5"/>
        <v>1687.6153941563891</v>
      </c>
      <c r="I14" s="87">
        <f t="shared" si="6"/>
        <v>1397.2728671498562</v>
      </c>
      <c r="J14" s="512">
        <f t="shared" si="0"/>
        <v>0.20779228870218516</v>
      </c>
    </row>
    <row r="15" spans="1:10">
      <c r="A15" s="454" t="s">
        <v>250</v>
      </c>
      <c r="B15" s="295">
        <f>電輔車!E15</f>
        <v>71603</v>
      </c>
      <c r="C15" s="88">
        <f>_xlfn.IFNA(VLOOKUP(A15,[1]電同!$C$3:$G$766,5,0),-[2]整車!$B$22)</f>
        <v>109552</v>
      </c>
      <c r="D15" s="511">
        <f t="shared" si="1"/>
        <v>-0.34640170877756682</v>
      </c>
      <c r="E15" s="295">
        <f>電輔車!G15</f>
        <v>84863783</v>
      </c>
      <c r="F15" s="89">
        <f>_xlfn.IFNA(VLOOKUP(A15,[1]電同!$C$3:$G$576,3,0),-[2]整車!$B$22)</f>
        <v>95981948</v>
      </c>
      <c r="G15" s="510">
        <f t="shared" si="2"/>
        <v>-0.11583600074464002</v>
      </c>
      <c r="H15" s="86">
        <f t="shared" si="5"/>
        <v>1185.1987067580967</v>
      </c>
      <c r="I15" s="87">
        <f t="shared" si="6"/>
        <v>876.13140791587557</v>
      </c>
      <c r="J15" s="512">
        <f t="shared" si="0"/>
        <v>0.35276363345702266</v>
      </c>
    </row>
    <row r="16" spans="1:10">
      <c r="A16" s="455" t="s">
        <v>10</v>
      </c>
      <c r="B16" s="295">
        <f>電輔車!E16</f>
        <v>8437</v>
      </c>
      <c r="C16" s="88">
        <f>_xlfn.IFNA(VLOOKUP(A16,[1]電同!$C$3:$G$766,5,0),-[2]整車!$B$22)</f>
        <v>16033</v>
      </c>
      <c r="D16" s="511">
        <f t="shared" si="1"/>
        <v>-0.47377284351026011</v>
      </c>
      <c r="E16" s="295">
        <f>電輔車!G16</f>
        <v>15500765</v>
      </c>
      <c r="F16" s="89">
        <f>_xlfn.IFNA(VLOOKUP(A16,[1]電同!$C$3:$G$576,3,0),-[2]整車!$B$22)</f>
        <v>19686643</v>
      </c>
      <c r="G16" s="510">
        <f t="shared" si="2"/>
        <v>-0.21262528100905775</v>
      </c>
      <c r="H16" s="86">
        <f t="shared" si="5"/>
        <v>1837.2365769823398</v>
      </c>
      <c r="I16" s="87">
        <f t="shared" si="6"/>
        <v>1227.8826794735858</v>
      </c>
      <c r="J16" s="512">
        <f t="shared" si="0"/>
        <v>0.49626394092470988</v>
      </c>
    </row>
    <row r="17" spans="1:10">
      <c r="A17" s="454" t="s">
        <v>251</v>
      </c>
      <c r="B17" s="295">
        <f>電輔車!E17</f>
        <v>17231</v>
      </c>
      <c r="C17" s="88">
        <f>_xlfn.IFNA(VLOOKUP(A17,[1]電同!$C$3:$G$766,5,0),-[2]整車!$B$22)</f>
        <v>38435</v>
      </c>
      <c r="D17" s="511">
        <f t="shared" si="1"/>
        <v>-0.55168466241706782</v>
      </c>
      <c r="E17" s="295">
        <f>電輔車!G17</f>
        <v>22991903</v>
      </c>
      <c r="F17" s="89">
        <f>_xlfn.IFNA(VLOOKUP(A17,[1]電同!$C$3:$G$576,3,0),-[2]整車!$B$22)</f>
        <v>42191431</v>
      </c>
      <c r="G17" s="510">
        <f t="shared" si="2"/>
        <v>-0.45505752104023206</v>
      </c>
      <c r="H17" s="86">
        <f t="shared" si="5"/>
        <v>1334.3336428529974</v>
      </c>
      <c r="I17" s="87">
        <f t="shared" si="6"/>
        <v>1097.7346429036036</v>
      </c>
      <c r="J17" s="512">
        <f t="shared" si="0"/>
        <v>0.21553387376348887</v>
      </c>
    </row>
    <row r="18" spans="1:10">
      <c r="A18" s="455" t="s">
        <v>11</v>
      </c>
      <c r="B18" s="295">
        <f>電輔車!E18</f>
        <v>8944</v>
      </c>
      <c r="C18" s="88">
        <f>_xlfn.IFNA(VLOOKUP(A18,[1]電同!$C$3:$G$766,5,0),-[2]整車!$B$22)</f>
        <v>29842</v>
      </c>
      <c r="D18" s="511">
        <f t="shared" si="1"/>
        <v>-0.70028818443804031</v>
      </c>
      <c r="E18" s="295">
        <f>電輔車!G18</f>
        <v>19966107</v>
      </c>
      <c r="F18" s="89">
        <f>_xlfn.IFNA(VLOOKUP(A18,[1]電同!$C$3:$G$576,3,0),-[2]整車!$B$22)</f>
        <v>61872847</v>
      </c>
      <c r="G18" s="510">
        <f t="shared" si="2"/>
        <v>-0.67730421391470796</v>
      </c>
      <c r="H18" s="86">
        <f t="shared" si="5"/>
        <v>2232.3464892665475</v>
      </c>
      <c r="I18" s="87">
        <f t="shared" si="6"/>
        <v>2073.3478654245696</v>
      </c>
      <c r="J18" s="512">
        <f t="shared" si="0"/>
        <v>7.6686901649964528E-2</v>
      </c>
    </row>
    <row r="19" spans="1:10">
      <c r="A19" s="455" t="s">
        <v>12</v>
      </c>
      <c r="B19" s="295">
        <f>電輔車!E19</f>
        <v>10168</v>
      </c>
      <c r="C19" s="88">
        <f>_xlfn.IFNA(VLOOKUP(A19,[1]電同!$C$3:$G$766,5,0),-[2]整車!$B$22)</f>
        <v>5990</v>
      </c>
      <c r="D19" s="511">
        <f t="shared" si="1"/>
        <v>0.69749582637729546</v>
      </c>
      <c r="E19" s="295">
        <f>電輔車!G19</f>
        <v>20951741</v>
      </c>
      <c r="F19" s="89">
        <f>_xlfn.IFNA(VLOOKUP(A19,[1]電同!$C$3:$G$576,3,0),-[2]整車!$B$22)</f>
        <v>9825272</v>
      </c>
      <c r="G19" s="510">
        <f t="shared" si="2"/>
        <v>1.1324336873320149</v>
      </c>
      <c r="H19" s="86">
        <f>IF(B19,E19/B19,0)</f>
        <v>2060.5567466561761</v>
      </c>
      <c r="I19" s="87">
        <f>IF(C19,F19/C19,0)</f>
        <v>1640.2791318864774</v>
      </c>
      <c r="J19" s="512">
        <f t="shared" si="0"/>
        <v>0.25622322847352164</v>
      </c>
    </row>
    <row r="20" spans="1:10">
      <c r="A20" s="454" t="s">
        <v>253</v>
      </c>
      <c r="B20" s="295">
        <f>電輔車!E20</f>
        <v>7854</v>
      </c>
      <c r="C20" s="88">
        <f>_xlfn.IFNA(VLOOKUP(A20,[1]電同!$C$3:$G$766,5,0),-[2]整車!$B$22)</f>
        <v>14020</v>
      </c>
      <c r="D20" s="511">
        <f t="shared" si="1"/>
        <v>-0.43980028530670473</v>
      </c>
      <c r="E20" s="295">
        <f>電輔車!G20</f>
        <v>11088202</v>
      </c>
      <c r="F20" s="89">
        <f>_xlfn.IFNA(VLOOKUP(A20,[1]電同!$C$3:$G$576,3,0),-[2]整車!$B$22)</f>
        <v>18901681</v>
      </c>
      <c r="G20" s="510">
        <f t="shared" si="2"/>
        <v>-0.41337482100137019</v>
      </c>
      <c r="H20" s="86">
        <f t="shared" ref="H20:H33" si="7">IF(B20,E20/B20,0)</f>
        <v>1411.7904252610135</v>
      </c>
      <c r="I20" s="87">
        <f t="shared" ref="I20:I33" si="8">IF(C20,F20/C20,0)</f>
        <v>1348.1940798858773</v>
      </c>
      <c r="J20" s="512">
        <f t="shared" si="0"/>
        <v>4.7171506182937396E-2</v>
      </c>
    </row>
    <row r="21" spans="1:10">
      <c r="A21" s="455" t="s">
        <v>13</v>
      </c>
      <c r="B21" s="295">
        <f>電輔車!E21</f>
        <v>94</v>
      </c>
      <c r="C21" s="88">
        <f>_xlfn.IFNA(VLOOKUP(A21,[1]電同!$C$3:$G$766,5,0),-[2]整車!$B$22)</f>
        <v>28</v>
      </c>
      <c r="D21" s="511">
        <f t="shared" si="1"/>
        <v>2.3571428571428572</v>
      </c>
      <c r="E21" s="295">
        <f>電輔車!G21</f>
        <v>154665</v>
      </c>
      <c r="F21" s="89">
        <f>_xlfn.IFNA(VLOOKUP(A21,[1]電同!$C$3:$G$576,3,0),-[2]整車!$B$22)</f>
        <v>90734</v>
      </c>
      <c r="G21" s="510">
        <f t="shared" si="2"/>
        <v>0.70459805585557789</v>
      </c>
      <c r="H21" s="86">
        <f t="shared" si="7"/>
        <v>1645.372340425532</v>
      </c>
      <c r="I21" s="87">
        <f t="shared" si="8"/>
        <v>3240.5</v>
      </c>
      <c r="J21" s="512">
        <f t="shared" si="0"/>
        <v>-0.49224738761748743</v>
      </c>
    </row>
    <row r="22" spans="1:10">
      <c r="A22" s="454" t="s">
        <v>254</v>
      </c>
      <c r="B22" s="295">
        <f>電輔車!E22</f>
        <v>16291</v>
      </c>
      <c r="C22" s="88">
        <f>_xlfn.IFNA(VLOOKUP(A22,[1]電同!$C$3:$G$766,5,0),-[2]整車!$B$22)</f>
        <v>1077</v>
      </c>
      <c r="D22" s="511">
        <f t="shared" si="1"/>
        <v>14.12627669452182</v>
      </c>
      <c r="E22" s="295">
        <f>電輔車!G22</f>
        <v>40089880</v>
      </c>
      <c r="F22" s="89">
        <f>_xlfn.IFNA(VLOOKUP(A22,[1]電同!$C$3:$G$576,3,0),-[2]整車!$B$22)</f>
        <v>2323630</v>
      </c>
      <c r="G22" s="510">
        <f t="shared" si="2"/>
        <v>16.253125497605041</v>
      </c>
      <c r="H22" s="86">
        <f t="shared" si="7"/>
        <v>2460.8605978761279</v>
      </c>
      <c r="I22" s="87">
        <f t="shared" si="8"/>
        <v>2157.5023212627671</v>
      </c>
      <c r="J22" s="512">
        <f t="shared" si="0"/>
        <v>0.14060623417350854</v>
      </c>
    </row>
    <row r="23" spans="1:10">
      <c r="A23" s="455" t="s">
        <v>14</v>
      </c>
      <c r="B23" s="295">
        <f>電輔車!E23</f>
        <v>0</v>
      </c>
      <c r="C23" s="88">
        <f>_xlfn.IFNA(VLOOKUP(A23,[1]電同!$C$3:$G$766,5,0),-[2]整車!$B$22)</f>
        <v>0</v>
      </c>
      <c r="D23" s="511">
        <f t="shared" si="1"/>
        <v>0</v>
      </c>
      <c r="E23" s="295">
        <f>電輔車!G23</f>
        <v>0</v>
      </c>
      <c r="F23" s="89">
        <f>_xlfn.IFNA(VLOOKUP(A23,[1]電同!$C$3:$G$576,3,0),-[2]整車!$B$22)</f>
        <v>0</v>
      </c>
      <c r="G23" s="510">
        <f t="shared" si="2"/>
        <v>0</v>
      </c>
      <c r="H23" s="86">
        <f t="shared" si="7"/>
        <v>0</v>
      </c>
      <c r="I23" s="87">
        <f t="shared" si="8"/>
        <v>0</v>
      </c>
      <c r="J23" s="512">
        <f t="shared" si="0"/>
        <v>0</v>
      </c>
    </row>
    <row r="24" spans="1:10">
      <c r="A24" s="455" t="s">
        <v>15</v>
      </c>
      <c r="B24" s="295">
        <f>電輔車!E24</f>
        <v>0</v>
      </c>
      <c r="C24" s="88">
        <f>_xlfn.IFNA(VLOOKUP(A24,[1]電同!$C$3:$G$766,5,0),-[2]整車!$B$22)</f>
        <v>0</v>
      </c>
      <c r="D24" s="511">
        <f t="shared" si="1"/>
        <v>0</v>
      </c>
      <c r="E24" s="295">
        <f>電輔車!G24</f>
        <v>0</v>
      </c>
      <c r="F24" s="89">
        <f>_xlfn.IFNA(VLOOKUP(A24,[1]電同!$C$3:$G$576,3,0),-[2]整車!$B$22)</f>
        <v>0</v>
      </c>
      <c r="G24" s="510">
        <f t="shared" si="2"/>
        <v>0</v>
      </c>
      <c r="H24" s="86">
        <f t="shared" si="7"/>
        <v>0</v>
      </c>
      <c r="I24" s="87">
        <f t="shared" si="8"/>
        <v>0</v>
      </c>
      <c r="J24" s="512">
        <f t="shared" si="0"/>
        <v>0</v>
      </c>
    </row>
    <row r="25" spans="1:10">
      <c r="A25" s="455" t="s">
        <v>16</v>
      </c>
      <c r="B25" s="295">
        <f>電輔車!E25</f>
        <v>2974</v>
      </c>
      <c r="C25" s="88">
        <f>_xlfn.IFNA(VLOOKUP(A25,[1]電同!$C$3:$G$766,5,0),-[2]整車!$B$22)</f>
        <v>848</v>
      </c>
      <c r="D25" s="511">
        <f t="shared" si="1"/>
        <v>2.5070754716981134</v>
      </c>
      <c r="E25" s="295">
        <f>電輔車!G25</f>
        <v>6038533</v>
      </c>
      <c r="F25" s="89">
        <f>_xlfn.IFNA(VLOOKUP(A25,[1]電同!$C$3:$G$576,3,0),-[2]整車!$B$22)</f>
        <v>1836323</v>
      </c>
      <c r="G25" s="510">
        <f t="shared" si="2"/>
        <v>2.288382817184123</v>
      </c>
      <c r="H25" s="86">
        <f t="shared" si="7"/>
        <v>2030.4414929388029</v>
      </c>
      <c r="I25" s="87">
        <f t="shared" si="8"/>
        <v>2165.4752358490564</v>
      </c>
      <c r="J25" s="512">
        <f t="shared" si="0"/>
        <v>-6.2357555826450466E-2</v>
      </c>
    </row>
    <row r="26" spans="1:10">
      <c r="A26" s="454" t="s">
        <v>257</v>
      </c>
      <c r="B26" s="295">
        <f>電輔車!E26</f>
        <v>8826</v>
      </c>
      <c r="C26" s="88">
        <f>_xlfn.IFNA(VLOOKUP(A26,[1]電同!$C$3:$G$766,5,0),-[2]整車!$B$22)</f>
        <v>9310</v>
      </c>
      <c r="D26" s="511">
        <f t="shared" si="1"/>
        <v>-5.1987110633727178E-2</v>
      </c>
      <c r="E26" s="295">
        <f>電輔車!G26</f>
        <v>3963953</v>
      </c>
      <c r="F26" s="89">
        <f>_xlfn.IFNA(VLOOKUP(A26,[1]電同!$C$3:$G$576,3,0),-[2]整車!$B$22)</f>
        <v>4687481</v>
      </c>
      <c r="G26" s="510">
        <f t="shared" si="2"/>
        <v>-0.15435326564523674</v>
      </c>
      <c r="H26" s="86">
        <f t="shared" si="7"/>
        <v>449.12225243598459</v>
      </c>
      <c r="I26" s="87">
        <f t="shared" si="8"/>
        <v>503.48882921589689</v>
      </c>
      <c r="J26" s="512">
        <f t="shared" si="0"/>
        <v>-0.10797970803955972</v>
      </c>
    </row>
    <row r="27" spans="1:10">
      <c r="A27" s="454" t="s">
        <v>259</v>
      </c>
      <c r="B27" s="295">
        <f>電輔車!E27</f>
        <v>1345</v>
      </c>
      <c r="C27" s="88">
        <f>_xlfn.IFNA(VLOOKUP(A27,[1]電同!$C$3:$G$766,5,0),-[2]整車!$B$22)</f>
        <v>1891</v>
      </c>
      <c r="D27" s="511">
        <f t="shared" si="1"/>
        <v>-0.28873611845584346</v>
      </c>
      <c r="E27" s="295">
        <f>電輔車!G27</f>
        <v>1676070</v>
      </c>
      <c r="F27" s="89">
        <f>_xlfn.IFNA(VLOOKUP(A27,[1]電同!$C$3:$G$576,3,0),-[2]整車!$B$22)</f>
        <v>1585169</v>
      </c>
      <c r="G27" s="510">
        <f t="shared" si="2"/>
        <v>5.7344674290249177E-2</v>
      </c>
      <c r="H27" s="86">
        <f t="shared" si="7"/>
        <v>1246.1486988847585</v>
      </c>
      <c r="I27" s="87">
        <f t="shared" si="8"/>
        <v>838.27022739291385</v>
      </c>
      <c r="J27" s="512">
        <f t="shared" si="0"/>
        <v>0.48657158296123509</v>
      </c>
    </row>
    <row r="28" spans="1:10">
      <c r="A28" s="455" t="s">
        <v>260</v>
      </c>
      <c r="B28" s="295">
        <f>電輔車!E28</f>
        <v>3131</v>
      </c>
      <c r="C28" s="88">
        <f>_xlfn.IFNA(VLOOKUP(A28,[1]電同!$C$3:$G$766,5,0),-[2]整車!$B$22)</f>
        <v>4053</v>
      </c>
      <c r="D28" s="511">
        <f t="shared" si="1"/>
        <v>-0.22748581297804096</v>
      </c>
      <c r="E28" s="295">
        <f>電輔車!G28</f>
        <v>6029217</v>
      </c>
      <c r="F28" s="89">
        <f>_xlfn.IFNA(VLOOKUP(A28,[1]電同!$C$3:$G$576,3,0),-[2]整車!$B$22)</f>
        <v>5804013</v>
      </c>
      <c r="G28" s="510">
        <f t="shared" si="2"/>
        <v>3.8801429286943363E-2</v>
      </c>
      <c r="H28" s="86">
        <f t="shared" si="7"/>
        <v>1925.6521877994251</v>
      </c>
      <c r="I28" s="87">
        <f t="shared" si="8"/>
        <v>1432.0288675055515</v>
      </c>
      <c r="J28" s="512">
        <f t="shared" si="0"/>
        <v>0.34470207374640088</v>
      </c>
    </row>
    <row r="29" spans="1:10">
      <c r="A29" s="465" t="s">
        <v>261</v>
      </c>
      <c r="B29" s="295">
        <f>電輔車!E29</f>
        <v>8181</v>
      </c>
      <c r="C29" s="88">
        <f>_xlfn.IFNA(VLOOKUP(A29,[1]電同!$C$3:$G$766,5,0),-[2]整車!$B$22)</f>
        <v>18150</v>
      </c>
      <c r="D29" s="511">
        <f t="shared" si="1"/>
        <v>-0.54925619834710748</v>
      </c>
      <c r="E29" s="295">
        <f>電輔車!G29</f>
        <v>4915526</v>
      </c>
      <c r="F29" s="89">
        <f>_xlfn.IFNA(VLOOKUP(A29,[1]電同!$C$3:$G$576,3,0),-[2]整車!$B$22)</f>
        <v>7139231</v>
      </c>
      <c r="G29" s="510">
        <f t="shared" si="2"/>
        <v>-0.31147682432463664</v>
      </c>
      <c r="H29" s="86">
        <f t="shared" si="7"/>
        <v>600.84659577068817</v>
      </c>
      <c r="I29" s="87">
        <f t="shared" si="8"/>
        <v>393.34606060606063</v>
      </c>
      <c r="J29" s="512">
        <f t="shared" si="0"/>
        <v>0.52752666403958481</v>
      </c>
    </row>
    <row r="30" spans="1:10">
      <c r="A30" s="465" t="s">
        <v>262</v>
      </c>
      <c r="B30" s="295">
        <f>電輔車!E30</f>
        <v>236</v>
      </c>
      <c r="C30" s="88">
        <f>_xlfn.IFNA(VLOOKUP(A30,[1]電同!$C$3:$G$766,5,0),-[2]整車!$B$22)</f>
        <v>209</v>
      </c>
      <c r="D30" s="511">
        <f t="shared" si="1"/>
        <v>0.12918660287081341</v>
      </c>
      <c r="E30" s="295">
        <f>電輔車!G30</f>
        <v>404514</v>
      </c>
      <c r="F30" s="89">
        <f>_xlfn.IFNA(VLOOKUP(A30,[1]電同!$C$3:$G$576,3,0),-[2]整車!$B$22)</f>
        <v>336084</v>
      </c>
      <c r="G30" s="510">
        <f t="shared" si="2"/>
        <v>0.20360981183275609</v>
      </c>
      <c r="H30" s="86">
        <f t="shared" si="7"/>
        <v>1714.042372881356</v>
      </c>
      <c r="I30" s="87">
        <f t="shared" si="8"/>
        <v>1608.0574162679425</v>
      </c>
      <c r="J30" s="512">
        <f t="shared" si="0"/>
        <v>6.590868929256799E-2</v>
      </c>
    </row>
    <row r="31" spans="1:10">
      <c r="A31" s="465" t="s">
        <v>263</v>
      </c>
      <c r="B31" s="295">
        <f>電輔車!E31</f>
        <v>0</v>
      </c>
      <c r="C31" s="88">
        <f>_xlfn.IFNA(VLOOKUP(A31,[1]電同!$C$3:$G$766,5,0),-[2]整車!$B$22)</f>
        <v>0</v>
      </c>
      <c r="D31" s="511">
        <f t="shared" si="1"/>
        <v>0</v>
      </c>
      <c r="E31" s="295">
        <f>電輔車!G31</f>
        <v>0</v>
      </c>
      <c r="F31" s="89">
        <f>_xlfn.IFNA(VLOOKUP(A31,[1]電同!$C$3:$G$576,3,0),-[2]整車!$B$22)</f>
        <v>0</v>
      </c>
      <c r="G31" s="510">
        <f t="shared" si="2"/>
        <v>0</v>
      </c>
      <c r="H31" s="86">
        <f t="shared" si="7"/>
        <v>0</v>
      </c>
      <c r="I31" s="87">
        <f t="shared" si="8"/>
        <v>0</v>
      </c>
      <c r="J31" s="512">
        <f t="shared" si="0"/>
        <v>0</v>
      </c>
    </row>
    <row r="32" spans="1:10">
      <c r="A32" s="465" t="s">
        <v>265</v>
      </c>
      <c r="B32" s="295">
        <f>電輔車!E32</f>
        <v>43</v>
      </c>
      <c r="C32" s="88">
        <f>_xlfn.IFNA(VLOOKUP(A32,[1]電同!$C$3:$G$766,5,0),-[2]整車!$B$22)</f>
        <v>1658</v>
      </c>
      <c r="D32" s="511">
        <f t="shared" si="1"/>
        <v>-0.97406513872135103</v>
      </c>
      <c r="E32" s="295">
        <f>電輔車!G32</f>
        <v>29418</v>
      </c>
      <c r="F32" s="89">
        <f>_xlfn.IFNA(VLOOKUP(A32,[1]電同!$C$3:$G$576,3,0),-[2]整車!$B$22)</f>
        <v>1433816</v>
      </c>
      <c r="G32" s="510">
        <f t="shared" si="2"/>
        <v>-0.9794827230272225</v>
      </c>
      <c r="H32" s="86">
        <f t="shared" si="7"/>
        <v>684.1395348837209</v>
      </c>
      <c r="I32" s="87">
        <f t="shared" si="8"/>
        <v>864.78648974668272</v>
      </c>
      <c r="J32" s="512">
        <f t="shared" si="0"/>
        <v>-0.208891971607787</v>
      </c>
    </row>
    <row r="33" spans="1:10">
      <c r="A33" s="465" t="s">
        <v>267</v>
      </c>
      <c r="B33" s="295">
        <f>電輔車!E33</f>
        <v>0</v>
      </c>
      <c r="C33" s="88">
        <f>_xlfn.IFNA(VLOOKUP(A33,[1]電同!$C$3:$G$766,5,0),-[2]整車!$B$22)</f>
        <v>0</v>
      </c>
      <c r="D33" s="511">
        <f t="shared" si="1"/>
        <v>0</v>
      </c>
      <c r="E33" s="295">
        <f>電輔車!G33</f>
        <v>0</v>
      </c>
      <c r="F33" s="89">
        <f>_xlfn.IFNA(VLOOKUP(A33,[1]電同!$C$3:$G$576,3,0),-[2]整車!$B$22)</f>
        <v>0</v>
      </c>
      <c r="G33" s="510">
        <f t="shared" si="2"/>
        <v>0</v>
      </c>
      <c r="H33" s="86">
        <f t="shared" si="7"/>
        <v>0</v>
      </c>
      <c r="I33" s="87">
        <f t="shared" si="8"/>
        <v>0</v>
      </c>
      <c r="J33" s="512">
        <f t="shared" si="0"/>
        <v>0</v>
      </c>
    </row>
    <row r="34" spans="1:10">
      <c r="A34" s="465" t="s">
        <v>268</v>
      </c>
      <c r="B34" s="295">
        <f>電輔車!E34</f>
        <v>0</v>
      </c>
      <c r="C34" s="88">
        <f>_xlfn.IFNA(VLOOKUP(A34,[1]電同!$C$3:$G$766,5,0),-[2]整車!$B$22)</f>
        <v>0</v>
      </c>
      <c r="D34" s="511">
        <f t="shared" si="1"/>
        <v>0</v>
      </c>
      <c r="E34" s="295">
        <f>電輔車!G34</f>
        <v>0</v>
      </c>
      <c r="F34" s="89">
        <f>_xlfn.IFNA(VLOOKUP(A34,[1]電同!$C$3:$G$576,3,0),-[2]整車!$B$22)</f>
        <v>0</v>
      </c>
      <c r="G34" s="510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12">
        <f t="shared" si="0"/>
        <v>0</v>
      </c>
    </row>
    <row r="35" spans="1:10">
      <c r="A35" s="466" t="s">
        <v>386</v>
      </c>
      <c r="B35" s="295">
        <f>電輔車!E35</f>
        <v>0</v>
      </c>
      <c r="C35" s="88">
        <f>_xlfn.IFNA(VLOOKUP(A35,[1]電同!$C$3:$G$766,5,0),-[2]整車!$B$22)</f>
        <v>0</v>
      </c>
      <c r="D35" s="511">
        <f t="shared" si="1"/>
        <v>0</v>
      </c>
      <c r="E35" s="295">
        <f>電輔車!G35</f>
        <v>0</v>
      </c>
      <c r="F35" s="89">
        <f>_xlfn.IFNA(VLOOKUP(A35,[1]電同!$C$3:$G$576,3,0),-[2]整車!$B$22)</f>
        <v>0</v>
      </c>
      <c r="G35" s="510">
        <f t="shared" si="2"/>
        <v>0</v>
      </c>
      <c r="H35" s="86">
        <f t="shared" si="9"/>
        <v>0</v>
      </c>
      <c r="I35" s="87">
        <f t="shared" si="10"/>
        <v>0</v>
      </c>
      <c r="J35" s="512">
        <f t="shared" si="0"/>
        <v>0</v>
      </c>
    </row>
    <row r="36" spans="1:10">
      <c r="A36" s="465" t="s">
        <v>271</v>
      </c>
      <c r="B36" s="295">
        <f>電輔車!E36</f>
        <v>0</v>
      </c>
      <c r="C36" s="88">
        <f>_xlfn.IFNA(VLOOKUP(A36,[1]電同!$C$3:$G$766,5,0),-[2]整車!$B$22)</f>
        <v>0</v>
      </c>
      <c r="D36" s="511">
        <f t="shared" si="1"/>
        <v>0</v>
      </c>
      <c r="E36" s="295">
        <f>電輔車!G36</f>
        <v>0</v>
      </c>
      <c r="F36" s="89">
        <f>_xlfn.IFNA(VLOOKUP(A36,[1]電同!$C$3:$G$576,3,0),-[2]整車!$B$22)</f>
        <v>0</v>
      </c>
      <c r="G36" s="510">
        <f t="shared" si="2"/>
        <v>0</v>
      </c>
      <c r="H36" s="86">
        <f t="shared" si="9"/>
        <v>0</v>
      </c>
      <c r="I36" s="87">
        <f t="shared" si="10"/>
        <v>0</v>
      </c>
      <c r="J36" s="512">
        <f t="shared" si="0"/>
        <v>0</v>
      </c>
    </row>
    <row r="37" spans="1:10">
      <c r="A37" s="465" t="s">
        <v>387</v>
      </c>
      <c r="B37" s="295">
        <f>電輔車!E37</f>
        <v>0</v>
      </c>
      <c r="C37" s="88">
        <f>_xlfn.IFNA(VLOOKUP(A37,[1]電同!$C$3:$G$766,5,0),-[2]整車!$B$22)</f>
        <v>0</v>
      </c>
      <c r="D37" s="511">
        <f t="shared" si="1"/>
        <v>0</v>
      </c>
      <c r="E37" s="295">
        <f>電輔車!G37</f>
        <v>0</v>
      </c>
      <c r="F37" s="89">
        <f>_xlfn.IFNA(VLOOKUP(A37,[1]電同!$C$3:$G$576,3,0),-[2]整車!$B$22)</f>
        <v>0</v>
      </c>
      <c r="G37" s="510">
        <f t="shared" si="2"/>
        <v>0</v>
      </c>
      <c r="H37" s="86">
        <f t="shared" si="9"/>
        <v>0</v>
      </c>
      <c r="I37" s="87">
        <f t="shared" si="10"/>
        <v>0</v>
      </c>
      <c r="J37" s="512">
        <f t="shared" si="0"/>
        <v>0</v>
      </c>
    </row>
    <row r="38" spans="1:10">
      <c r="A38" s="465" t="s">
        <v>273</v>
      </c>
      <c r="B38" s="295">
        <f>電輔車!E38</f>
        <v>0</v>
      </c>
      <c r="C38" s="88">
        <f>_xlfn.IFNA(VLOOKUP(A38,[1]電同!$C$3:$G$766,5,0),-[2]整車!$B$22)</f>
        <v>0</v>
      </c>
      <c r="D38" s="511">
        <f t="shared" si="1"/>
        <v>0</v>
      </c>
      <c r="E38" s="295">
        <f>電輔車!G38</f>
        <v>0</v>
      </c>
      <c r="F38" s="89">
        <f>_xlfn.IFNA(VLOOKUP(A38,[1]電同!$C$3:$G$576,3,0),-[2]整車!$B$22)</f>
        <v>0</v>
      </c>
      <c r="G38" s="510">
        <f t="shared" si="2"/>
        <v>0</v>
      </c>
      <c r="H38" s="86">
        <f t="shared" si="9"/>
        <v>0</v>
      </c>
      <c r="I38" s="87">
        <f t="shared" si="10"/>
        <v>0</v>
      </c>
      <c r="J38" s="512">
        <f t="shared" si="0"/>
        <v>0</v>
      </c>
    </row>
    <row r="39" spans="1:10">
      <c r="A39" s="465" t="s">
        <v>274</v>
      </c>
      <c r="B39" s="295">
        <f>電輔車!E39</f>
        <v>0</v>
      </c>
      <c r="C39" s="88">
        <f>_xlfn.IFNA(VLOOKUP(A39,[1]電同!$C$3:$G$766,5,0),-[2]整車!$B$22)</f>
        <v>0</v>
      </c>
      <c r="D39" s="511">
        <f t="shared" si="1"/>
        <v>0</v>
      </c>
      <c r="E39" s="295">
        <f>電輔車!G39</f>
        <v>0</v>
      </c>
      <c r="F39" s="89">
        <f>_xlfn.IFNA(VLOOKUP(A39,[1]電同!$C$3:$G$576,3,0),-[2]整車!$B$22)</f>
        <v>0</v>
      </c>
      <c r="G39" s="510">
        <f t="shared" si="2"/>
        <v>0</v>
      </c>
      <c r="H39" s="86">
        <f t="shared" si="9"/>
        <v>0</v>
      </c>
      <c r="I39" s="87">
        <f t="shared" si="10"/>
        <v>0</v>
      </c>
      <c r="J39" s="512">
        <f t="shared" si="0"/>
        <v>0</v>
      </c>
    </row>
    <row r="40" spans="1:10">
      <c r="A40" s="455" t="s">
        <v>275</v>
      </c>
      <c r="B40" s="295">
        <f>電輔車!E40</f>
        <v>0</v>
      </c>
      <c r="C40" s="88">
        <f>_xlfn.IFNA(VLOOKUP(A40,[1]電同!$C$3:$G$766,5,0),-[2]整車!$B$22)</f>
        <v>0</v>
      </c>
      <c r="D40" s="511">
        <f t="shared" si="1"/>
        <v>0</v>
      </c>
      <c r="E40" s="295">
        <f>電輔車!G40</f>
        <v>0</v>
      </c>
      <c r="F40" s="89">
        <f>_xlfn.IFNA(VLOOKUP(A40,[1]電同!$C$3:$G$576,3,0),-[2]整車!$B$22)</f>
        <v>0</v>
      </c>
      <c r="G40" s="510">
        <f t="shared" si="2"/>
        <v>0</v>
      </c>
      <c r="H40" s="86">
        <f t="shared" si="9"/>
        <v>0</v>
      </c>
      <c r="I40" s="87">
        <f t="shared" si="10"/>
        <v>0</v>
      </c>
      <c r="J40" s="512">
        <f t="shared" si="0"/>
        <v>0</v>
      </c>
    </row>
    <row r="41" spans="1:10">
      <c r="A41" s="293"/>
      <c r="B41" s="295"/>
      <c r="C41" s="502"/>
      <c r="D41" s="511"/>
      <c r="E41" s="295"/>
      <c r="F41" s="89"/>
      <c r="G41" s="510"/>
      <c r="H41" s="86"/>
      <c r="I41" s="87"/>
      <c r="J41" s="512"/>
    </row>
    <row r="42" spans="1:10">
      <c r="A42" s="299" t="s">
        <v>20</v>
      </c>
      <c r="B42" s="298">
        <f>SUM(B43:B46)</f>
        <v>20129</v>
      </c>
      <c r="C42" s="503">
        <f>SUM(C43:C46)</f>
        <v>13668</v>
      </c>
      <c r="D42" s="511">
        <f t="shared" si="1"/>
        <v>0.47270997951419375</v>
      </c>
      <c r="E42" s="298">
        <f>SUM(E43:E46)</f>
        <v>37282512</v>
      </c>
      <c r="F42" s="84">
        <f>SUM(F43:F46)</f>
        <v>26561866</v>
      </c>
      <c r="G42" s="510">
        <f t="shared" si="2"/>
        <v>0.40361042405680386</v>
      </c>
      <c r="H42" s="86">
        <f t="shared" si="9"/>
        <v>1852.1790451587262</v>
      </c>
      <c r="I42" s="87">
        <f t="shared" si="10"/>
        <v>1943.3615744805386</v>
      </c>
      <c r="J42" s="512">
        <f t="shared" si="0"/>
        <v>-4.6920002185483922E-2</v>
      </c>
    </row>
    <row r="43" spans="1:10">
      <c r="A43" s="293" t="s">
        <v>184</v>
      </c>
      <c r="B43" s="295">
        <f>電輔車!E43</f>
        <v>14269</v>
      </c>
      <c r="C43" s="88">
        <f>_xlfn.IFNA(VLOOKUP(A43,[1]電同!$C$3:$G$676,5,0),-[2]整車!$B$22)</f>
        <v>9097</v>
      </c>
      <c r="D43" s="511">
        <f t="shared" si="1"/>
        <v>0.56853907881719246</v>
      </c>
      <c r="E43" s="295">
        <f>電輔車!G43</f>
        <v>27760016</v>
      </c>
      <c r="F43" s="89">
        <f>_xlfn.IFNA(VLOOKUP(A43,[1]電同!$C$3:$G$576,3,0),-[2]整車!$B$22)</f>
        <v>18730054</v>
      </c>
      <c r="G43" s="510">
        <f t="shared" si="2"/>
        <v>0.48211083641296498</v>
      </c>
      <c r="H43" s="86">
        <f t="shared" si="9"/>
        <v>1945.4773284743148</v>
      </c>
      <c r="I43" s="87">
        <f t="shared" si="10"/>
        <v>2058.9264592722875</v>
      </c>
      <c r="J43" s="512">
        <f t="shared" si="0"/>
        <v>-5.5101108777858156E-2</v>
      </c>
    </row>
    <row r="44" spans="1:10">
      <c r="A44" s="293" t="s">
        <v>277</v>
      </c>
      <c r="B44" s="295">
        <f>電輔車!E44</f>
        <v>5825</v>
      </c>
      <c r="C44" s="88">
        <f>_xlfn.IFNA(VLOOKUP(A44,[1]電同!$C$3:$G$676,5,0),-[2]整車!$B$22)</f>
        <v>4556</v>
      </c>
      <c r="D44" s="511">
        <f t="shared" si="1"/>
        <v>0.27853380158033364</v>
      </c>
      <c r="E44" s="295">
        <f>電輔車!G44</f>
        <v>9453783</v>
      </c>
      <c r="F44" s="89">
        <f>_xlfn.IFNA(VLOOKUP(A44,[1]電同!$C$3:$G$576,3,0),-[2]整車!$B$22)</f>
        <v>7800250</v>
      </c>
      <c r="G44" s="510">
        <f t="shared" si="2"/>
        <v>0.21198461587769624</v>
      </c>
      <c r="H44" s="86">
        <f t="shared" si="9"/>
        <v>1622.9670386266093</v>
      </c>
      <c r="I44" s="87">
        <f t="shared" si="10"/>
        <v>1712.0829675153643</v>
      </c>
      <c r="J44" s="512">
        <f t="shared" si="0"/>
        <v>-5.2051174259436263E-2</v>
      </c>
    </row>
    <row r="45" spans="1:10">
      <c r="A45" s="293" t="s">
        <v>278</v>
      </c>
      <c r="B45" s="295">
        <f>電輔車!E45</f>
        <v>35</v>
      </c>
      <c r="C45" s="88">
        <f>_xlfn.IFNA(VLOOKUP(A45,[1]電同!$C$3:$G$676,5,0),-[2]整車!$B$22)</f>
        <v>15</v>
      </c>
      <c r="D45" s="511">
        <f t="shared" si="1"/>
        <v>1.3333333333333333</v>
      </c>
      <c r="E45" s="295">
        <f>電輔車!G45</f>
        <v>68713</v>
      </c>
      <c r="F45" s="89">
        <f>_xlfn.IFNA(VLOOKUP(A45,[1]電同!$C$3:$G$576,3,0),-[2]整車!$B$22)</f>
        <v>31562</v>
      </c>
      <c r="G45" s="510">
        <f t="shared" si="2"/>
        <v>1.1770800329510172</v>
      </c>
      <c r="H45" s="86">
        <f t="shared" si="9"/>
        <v>1963.2285714285715</v>
      </c>
      <c r="I45" s="87">
        <f t="shared" si="10"/>
        <v>2104.1333333333332</v>
      </c>
      <c r="J45" s="512">
        <f t="shared" si="0"/>
        <v>-6.6965700163849742E-2</v>
      </c>
    </row>
    <row r="46" spans="1:10">
      <c r="A46" s="296" t="s">
        <v>21</v>
      </c>
      <c r="B46" s="295">
        <f>電輔車!E46</f>
        <v>0</v>
      </c>
      <c r="C46" s="88">
        <f>_xlfn.IFNA(VLOOKUP(A46,[1]電同!$C$3:$G$676,5,0),-[2]整車!$B$22)</f>
        <v>0</v>
      </c>
      <c r="D46" s="511">
        <f t="shared" si="1"/>
        <v>0</v>
      </c>
      <c r="E46" s="295">
        <f>電輔車!G46</f>
        <v>0</v>
      </c>
      <c r="F46" s="89">
        <f>_xlfn.IFNA(VLOOKUP(A46,[1]電同!$C$3:$G$576,3,0),-[2]整車!$B$22)</f>
        <v>0</v>
      </c>
      <c r="G46" s="510">
        <f t="shared" si="2"/>
        <v>0</v>
      </c>
      <c r="H46" s="86">
        <f t="shared" si="9"/>
        <v>0</v>
      </c>
      <c r="I46" s="87">
        <f t="shared" si="10"/>
        <v>0</v>
      </c>
      <c r="J46" s="512">
        <f t="shared" si="0"/>
        <v>0</v>
      </c>
    </row>
    <row r="47" spans="1:10">
      <c r="A47" s="296"/>
      <c r="B47" s="295"/>
      <c r="C47" s="502"/>
      <c r="D47" s="511"/>
      <c r="E47" s="295"/>
      <c r="F47" s="89"/>
      <c r="G47" s="510"/>
      <c r="H47" s="86"/>
      <c r="I47" s="87"/>
      <c r="J47" s="512"/>
    </row>
    <row r="48" spans="1:10">
      <c r="A48" s="299" t="s">
        <v>22</v>
      </c>
      <c r="B48" s="298">
        <f>SUM(B49:B62)</f>
        <v>95810</v>
      </c>
      <c r="C48" s="503">
        <f>SUM(C49:C62)</f>
        <v>122609</v>
      </c>
      <c r="D48" s="511">
        <f t="shared" si="1"/>
        <v>-0.21857286169857026</v>
      </c>
      <c r="E48" s="298">
        <f>SUM(E49:E62)</f>
        <v>170575353</v>
      </c>
      <c r="F48" s="90">
        <f>SUM(F49:F62)</f>
        <v>219534992</v>
      </c>
      <c r="G48" s="510">
        <f t="shared" si="2"/>
        <v>-0.2230151947713192</v>
      </c>
      <c r="H48" s="86">
        <f t="shared" si="9"/>
        <v>1780.3502035278154</v>
      </c>
      <c r="I48" s="87">
        <f t="shared" si="10"/>
        <v>1790.5291781190615</v>
      </c>
      <c r="J48" s="512">
        <f t="shared" si="0"/>
        <v>-5.6848973563999681E-3</v>
      </c>
    </row>
    <row r="49" spans="1:10">
      <c r="A49" s="299" t="s">
        <v>163</v>
      </c>
      <c r="B49" s="295">
        <f>電輔車!E49</f>
        <v>46445</v>
      </c>
      <c r="C49" s="88">
        <f>_xlfn.IFNA(VLOOKUP(A49,[1]電同!$C$3:$G$576,5,0),-[2]整車!$B$22)</f>
        <v>60330</v>
      </c>
      <c r="D49" s="511">
        <f t="shared" si="1"/>
        <v>-0.23015083706282116</v>
      </c>
      <c r="E49" s="295">
        <f>電輔車!G49</f>
        <v>67781573</v>
      </c>
      <c r="F49" s="89">
        <f>_xlfn.IFNA(VLOOKUP(A49,[1]電同!$C$3:$G$756,3,0),-[2]整車!$B$22)</f>
        <v>93775874</v>
      </c>
      <c r="G49" s="510">
        <f t="shared" si="2"/>
        <v>-0.27719604084948329</v>
      </c>
      <c r="H49" s="86">
        <f t="shared" si="9"/>
        <v>1459.3944019808375</v>
      </c>
      <c r="I49" s="87">
        <f t="shared" si="10"/>
        <v>1554.3821316094811</v>
      </c>
      <c r="J49" s="512">
        <f t="shared" si="0"/>
        <v>-6.1109638162328062E-2</v>
      </c>
    </row>
    <row r="50" spans="1:10">
      <c r="A50" s="454" t="s">
        <v>388</v>
      </c>
      <c r="B50" s="295">
        <f>電輔車!E50</f>
        <v>9870</v>
      </c>
      <c r="C50" s="88">
        <f>_xlfn.IFNA(VLOOKUP(A50,[1]電同!$C$3:$G$576,5,0),-[2]整車!$B$22)</f>
        <v>9700</v>
      </c>
      <c r="D50" s="511">
        <f t="shared" si="1"/>
        <v>1.7525773195876289E-2</v>
      </c>
      <c r="E50" s="295">
        <f>電輔車!G50</f>
        <v>11352156</v>
      </c>
      <c r="F50" s="89">
        <f>_xlfn.IFNA(VLOOKUP(A50,[1]電同!$C$3:$G$756,3,0),-[2]整車!$B$22)</f>
        <v>10395537</v>
      </c>
      <c r="G50" s="510">
        <f t="shared" si="2"/>
        <v>9.2022086016335658E-2</v>
      </c>
      <c r="H50" s="86">
        <f t="shared" si="9"/>
        <v>1150.1677811550153</v>
      </c>
      <c r="I50" s="87">
        <f t="shared" si="10"/>
        <v>1071.7048453608247</v>
      </c>
      <c r="J50" s="512">
        <f t="shared" si="0"/>
        <v>7.3213194970461706E-2</v>
      </c>
    </row>
    <row r="51" spans="1:10">
      <c r="A51" s="454" t="s">
        <v>459</v>
      </c>
      <c r="B51" s="295">
        <f>電輔車!E51</f>
        <v>313</v>
      </c>
      <c r="C51" s="88">
        <f>_xlfn.IFNA(VLOOKUP(A51,[1]電同!$C$3:$G$576,5,0),-[2]整車!$B$22)</f>
        <v>45</v>
      </c>
      <c r="D51" s="511">
        <f t="shared" si="1"/>
        <v>5.9555555555555557</v>
      </c>
      <c r="E51" s="295">
        <f>電輔車!G51</f>
        <v>367808</v>
      </c>
      <c r="F51" s="89">
        <f>_xlfn.IFNA(VLOOKUP(A51,[1]電同!$C$3:$G$756,3,0),-[2]整車!$B$22)</f>
        <v>98957</v>
      </c>
      <c r="G51" s="510">
        <f t="shared" si="2"/>
        <v>2.716846711197793</v>
      </c>
      <c r="H51" s="86">
        <f t="shared" si="9"/>
        <v>1175.1054313099041</v>
      </c>
      <c r="I51" s="87">
        <f t="shared" si="10"/>
        <v>2199.0444444444443</v>
      </c>
      <c r="J51" s="512">
        <f t="shared" si="0"/>
        <v>-0.46562906708018947</v>
      </c>
    </row>
    <row r="52" spans="1:10">
      <c r="A52" s="454" t="s">
        <v>301</v>
      </c>
      <c r="B52" s="295">
        <f>電輔車!E52</f>
        <v>488</v>
      </c>
      <c r="C52" s="88">
        <f>_xlfn.IFNA(VLOOKUP(A52,[1]電同!$C$3:$G$576,5,0),-[2]整車!$B$22)</f>
        <v>1858</v>
      </c>
      <c r="D52" s="511">
        <f t="shared" si="1"/>
        <v>-0.73735199138858987</v>
      </c>
      <c r="E52" s="295">
        <f>電輔車!G52</f>
        <v>1318412</v>
      </c>
      <c r="F52" s="89">
        <f>_xlfn.IFNA(VLOOKUP(A52,[1]電同!$C$3:$G$756,3,0),-[2]整車!$B$22)</f>
        <v>4654768</v>
      </c>
      <c r="G52" s="510">
        <f t="shared" si="2"/>
        <v>-0.71676096424139724</v>
      </c>
      <c r="H52" s="86">
        <f t="shared" si="9"/>
        <v>2701.6639344262294</v>
      </c>
      <c r="I52" s="87">
        <f t="shared" si="10"/>
        <v>2505.2572658772874</v>
      </c>
      <c r="J52" s="512">
        <f t="shared" si="0"/>
        <v>7.8397804179270419E-2</v>
      </c>
    </row>
    <row r="53" spans="1:10">
      <c r="A53" s="455" t="s">
        <v>23</v>
      </c>
      <c r="B53" s="295">
        <f>電輔車!E53</f>
        <v>31</v>
      </c>
      <c r="C53" s="88">
        <f>_xlfn.IFNA(VLOOKUP(A53,[1]電同!$C$3:$G$576,5,0),-[2]整車!$B$22)</f>
        <v>244</v>
      </c>
      <c r="D53" s="511">
        <f t="shared" si="1"/>
        <v>-0.87295081967213117</v>
      </c>
      <c r="E53" s="295">
        <f>電輔車!G53</f>
        <v>89805</v>
      </c>
      <c r="F53" s="89">
        <f>_xlfn.IFNA(VLOOKUP(A53,[1]電同!$C$3:$G$756,3,0),-[2]整車!$B$22)</f>
        <v>584311</v>
      </c>
      <c r="G53" s="510">
        <f t="shared" si="2"/>
        <v>-0.84630616230055566</v>
      </c>
      <c r="H53" s="86">
        <f t="shared" si="9"/>
        <v>2896.9354838709678</v>
      </c>
      <c r="I53" s="87">
        <f t="shared" si="10"/>
        <v>2394.717213114754</v>
      </c>
      <c r="J53" s="512">
        <f t="shared" si="0"/>
        <v>0.20971923866659392</v>
      </c>
    </row>
    <row r="54" spans="1:10">
      <c r="A54" s="454" t="s">
        <v>307</v>
      </c>
      <c r="B54" s="295">
        <f>電輔車!E54</f>
        <v>945</v>
      </c>
      <c r="C54" s="88">
        <f>_xlfn.IFNA(VLOOKUP(A54,[1]電同!$C$3:$G$576,5,0),-[2]整車!$B$22)</f>
        <v>3284</v>
      </c>
      <c r="D54" s="511">
        <f t="shared" si="1"/>
        <v>-0.71224116930572468</v>
      </c>
      <c r="E54" s="295">
        <f>電輔車!G54</f>
        <v>2582185</v>
      </c>
      <c r="F54" s="89">
        <f>_xlfn.IFNA(VLOOKUP(A54,[1]電同!$C$3:$G$756,3,0),-[2]整車!$B$22)</f>
        <v>8379160</v>
      </c>
      <c r="G54" s="510">
        <f t="shared" si="2"/>
        <v>-0.69183247485428134</v>
      </c>
      <c r="H54" s="86">
        <f t="shared" si="9"/>
        <v>2732.4708994708994</v>
      </c>
      <c r="I54" s="87">
        <f t="shared" si="10"/>
        <v>2551.5103532277708</v>
      </c>
      <c r="J54" s="512">
        <f t="shared" si="0"/>
        <v>7.0922912781523989E-2</v>
      </c>
    </row>
    <row r="55" spans="1:10">
      <c r="A55" s="455" t="s">
        <v>389</v>
      </c>
      <c r="B55" s="295">
        <f>電輔車!E55</f>
        <v>17592</v>
      </c>
      <c r="C55" s="88">
        <f>_xlfn.IFNA(VLOOKUP(A55,[1]電同!$C$3:$G$576,5,0),-[2]整車!$B$22)</f>
        <v>23844</v>
      </c>
      <c r="D55" s="511">
        <f t="shared" si="1"/>
        <v>-0.2622043281328636</v>
      </c>
      <c r="E55" s="295">
        <f>電輔車!G55</f>
        <v>39907587</v>
      </c>
      <c r="F55" s="89">
        <f>_xlfn.IFNA(VLOOKUP(A55,[1]電同!$C$3:$G$756,3,0),-[2]整車!$B$22)</f>
        <v>48910853</v>
      </c>
      <c r="G55" s="510">
        <f t="shared" si="2"/>
        <v>-0.18407501500740542</v>
      </c>
      <c r="H55" s="86">
        <f t="shared" si="9"/>
        <v>2268.5076739427013</v>
      </c>
      <c r="I55" s="87">
        <f t="shared" si="10"/>
        <v>2051.2855645026002</v>
      </c>
      <c r="J55" s="512">
        <f t="shared" si="0"/>
        <v>0.10589559698518795</v>
      </c>
    </row>
    <row r="56" spans="1:10">
      <c r="A56" s="455" t="s">
        <v>24</v>
      </c>
      <c r="B56" s="295">
        <f>電輔車!E56</f>
        <v>237</v>
      </c>
      <c r="C56" s="88">
        <f>_xlfn.IFNA(VLOOKUP(A56,[1]電同!$C$3:$G$576,5,0),-[2]整車!$B$22)</f>
        <v>709</v>
      </c>
      <c r="D56" s="511">
        <f t="shared" si="1"/>
        <v>-0.66572637517630462</v>
      </c>
      <c r="E56" s="295">
        <f>電輔車!G56</f>
        <v>711547</v>
      </c>
      <c r="F56" s="89">
        <f>_xlfn.IFNA(VLOOKUP(A56,[1]電同!$C$3:$G$756,3,0),-[2]整車!$B$22)</f>
        <v>2065171</v>
      </c>
      <c r="G56" s="510">
        <f t="shared" si="2"/>
        <v>-0.65545371303393274</v>
      </c>
      <c r="H56" s="86">
        <f t="shared" si="9"/>
        <v>3002.3080168776373</v>
      </c>
      <c r="I56" s="87">
        <f t="shared" si="10"/>
        <v>2912.7940761636105</v>
      </c>
      <c r="J56" s="512">
        <f t="shared" si="0"/>
        <v>3.0731297295112623E-2</v>
      </c>
    </row>
    <row r="57" spans="1:10">
      <c r="A57" s="455" t="s">
        <v>243</v>
      </c>
      <c r="B57" s="295">
        <f>電輔車!E57</f>
        <v>261</v>
      </c>
      <c r="C57" s="88">
        <f>_xlfn.IFNA(VLOOKUP(A57,[1]電同!$C$3:$G$576,5,0),-[2]整車!$B$22)</f>
        <v>174</v>
      </c>
      <c r="D57" s="511">
        <f t="shared" si="1"/>
        <v>0.5</v>
      </c>
      <c r="E57" s="295">
        <f>電輔車!G57</f>
        <v>424751</v>
      </c>
      <c r="F57" s="89">
        <f>_xlfn.IFNA(VLOOKUP(A57,[1]電同!$C$3:$G$756,3,0),-[2]整車!$B$22)</f>
        <v>242715</v>
      </c>
      <c r="G57" s="510">
        <f t="shared" si="2"/>
        <v>0.74999896998537374</v>
      </c>
      <c r="H57" s="86">
        <f t="shared" si="9"/>
        <v>1627.3984674329502</v>
      </c>
      <c r="I57" s="87">
        <f t="shared" si="10"/>
        <v>1394.9137931034484</v>
      </c>
      <c r="J57" s="512">
        <f t="shared" si="0"/>
        <v>0.1666659799902491</v>
      </c>
    </row>
    <row r="58" spans="1:10">
      <c r="A58" s="455" t="s">
        <v>236</v>
      </c>
      <c r="B58" s="295">
        <f>電輔車!E58</f>
        <v>2994</v>
      </c>
      <c r="C58" s="88">
        <f>_xlfn.IFNA(VLOOKUP(A58,[1]電同!$C$3:$G$576,5,0),-[2]整車!$B$22)</f>
        <v>3356</v>
      </c>
      <c r="D58" s="511">
        <f t="shared" si="1"/>
        <v>-0.10786650774731824</v>
      </c>
      <c r="E58" s="295">
        <f>電輔車!G58</f>
        <v>6806812</v>
      </c>
      <c r="F58" s="89">
        <f>_xlfn.IFNA(VLOOKUP(A58,[1]電同!$C$3:$G$756,3,0),-[2]整車!$B$22)</f>
        <v>6653752</v>
      </c>
      <c r="G58" s="510">
        <f t="shared" si="2"/>
        <v>2.3003562501277476E-2</v>
      </c>
      <c r="H58" s="86">
        <f t="shared" si="9"/>
        <v>2273.4843019372079</v>
      </c>
      <c r="I58" s="87">
        <f t="shared" si="10"/>
        <v>1982.6436233611441</v>
      </c>
      <c r="J58" s="512">
        <f t="shared" si="0"/>
        <v>0.14669337199542001</v>
      </c>
    </row>
    <row r="59" spans="1:10">
      <c r="A59" s="455" t="s">
        <v>281</v>
      </c>
      <c r="B59" s="295">
        <f>電輔車!E59</f>
        <v>88</v>
      </c>
      <c r="C59" s="88">
        <f>_xlfn.IFNA(VLOOKUP(A59,[1]電同!$C$3:$G$576,5,0),-[2]整車!$B$22)</f>
        <v>0</v>
      </c>
      <c r="D59" s="511">
        <f t="shared" si="1"/>
        <v>0</v>
      </c>
      <c r="E59" s="295">
        <f>電輔車!G59</f>
        <v>129938</v>
      </c>
      <c r="F59" s="89">
        <f>_xlfn.IFNA(VLOOKUP(A59,[1]電同!$C$3:$G$756,3,0),-[2]整車!$B$22)</f>
        <v>0</v>
      </c>
      <c r="G59" s="510">
        <f t="shared" si="2"/>
        <v>0</v>
      </c>
      <c r="H59" s="86">
        <f t="shared" si="9"/>
        <v>1476.5681818181818</v>
      </c>
      <c r="I59" s="87">
        <f t="shared" si="10"/>
        <v>0</v>
      </c>
      <c r="J59" s="512">
        <f t="shared" si="0"/>
        <v>0</v>
      </c>
    </row>
    <row r="60" spans="1:10">
      <c r="A60" s="455" t="s">
        <v>286</v>
      </c>
      <c r="B60" s="295">
        <f>電輔車!E60</f>
        <v>0</v>
      </c>
      <c r="C60" s="88">
        <f>_xlfn.IFNA(VLOOKUP(A60,[1]電同!$C$3:$G$576,5,0),-[2]整車!$B$22)</f>
        <v>0</v>
      </c>
      <c r="D60" s="511">
        <f t="shared" si="1"/>
        <v>0</v>
      </c>
      <c r="E60" s="295">
        <f>電輔車!G60</f>
        <v>0</v>
      </c>
      <c r="F60" s="89">
        <f>_xlfn.IFNA(VLOOKUP(A60,[1]電同!$C$3:$G$756,3,0),-[2]整車!$B$22)</f>
        <v>0</v>
      </c>
      <c r="G60" s="510">
        <f t="shared" si="2"/>
        <v>0</v>
      </c>
      <c r="H60" s="86">
        <f t="shared" si="9"/>
        <v>0</v>
      </c>
      <c r="I60" s="87">
        <f t="shared" si="10"/>
        <v>0</v>
      </c>
      <c r="J60" s="512">
        <f t="shared" si="0"/>
        <v>0</v>
      </c>
    </row>
    <row r="61" spans="1:10">
      <c r="A61" s="455" t="s">
        <v>292</v>
      </c>
      <c r="B61" s="295">
        <f>電輔車!E61</f>
        <v>13430</v>
      </c>
      <c r="C61" s="88">
        <f>_xlfn.IFNA(VLOOKUP(A61,[1]電同!$C$3:$G$576,5,0),-[2]整車!$B$22)</f>
        <v>15160</v>
      </c>
      <c r="D61" s="511">
        <f t="shared" si="1"/>
        <v>-0.11411609498680739</v>
      </c>
      <c r="E61" s="295">
        <f>電輔車!G61</f>
        <v>30805586</v>
      </c>
      <c r="F61" s="89">
        <f>_xlfn.IFNA(VLOOKUP(A61,[1]電同!$C$3:$G$756,3,0),-[2]整車!$B$22)</f>
        <v>33876263</v>
      </c>
      <c r="G61" s="510">
        <f t="shared" si="2"/>
        <v>-9.0643911933261351E-2</v>
      </c>
      <c r="H61" s="86">
        <f t="shared" si="9"/>
        <v>2293.7889798957558</v>
      </c>
      <c r="I61" s="87">
        <f t="shared" si="10"/>
        <v>2234.5819920844328</v>
      </c>
      <c r="J61" s="512">
        <f t="shared" si="0"/>
        <v>2.6495777743243284E-2</v>
      </c>
    </row>
    <row r="62" spans="1:10">
      <c r="A62" s="455" t="s">
        <v>340</v>
      </c>
      <c r="B62" s="295">
        <f>電輔車!E62</f>
        <v>3116</v>
      </c>
      <c r="C62" s="88">
        <f>_xlfn.IFNA(VLOOKUP(A62,[1]電同!$C$3:$G$576,5,0),-[2]整車!$B$22)</f>
        <v>3905</v>
      </c>
      <c r="D62" s="511">
        <f t="shared" si="1"/>
        <v>-0.20204865556978233</v>
      </c>
      <c r="E62" s="295">
        <f>電輔車!G62</f>
        <v>8297193</v>
      </c>
      <c r="F62" s="89">
        <f>_xlfn.IFNA(VLOOKUP(A62,[1]電同!$C$3:$G$756,3,0),-[2]整車!$B$22)</f>
        <v>9897631</v>
      </c>
      <c r="G62" s="510">
        <f t="shared" si="2"/>
        <v>-0.1616990974911067</v>
      </c>
      <c r="H62" s="86">
        <f t="shared" si="9"/>
        <v>2662.7705391527597</v>
      </c>
      <c r="I62" s="87">
        <f t="shared" si="10"/>
        <v>2534.6046094750318</v>
      </c>
      <c r="J62" s="512">
        <f t="shared" si="0"/>
        <v>5.0566439119778026E-2</v>
      </c>
    </row>
    <row r="63" spans="1:10">
      <c r="A63" s="296" t="s">
        <v>30</v>
      </c>
      <c r="B63" s="295">
        <f>B64-B48-B42-B13-B8</f>
        <v>3232</v>
      </c>
      <c r="C63" s="89">
        <f>C64-C48-C42-C13-C8</f>
        <v>7204</v>
      </c>
      <c r="D63" s="511">
        <f t="shared" si="1"/>
        <v>-0.55136035535813432</v>
      </c>
      <c r="E63" s="295">
        <f>E64-E48-E42-E13-E8</f>
        <v>9052312</v>
      </c>
      <c r="F63" s="89">
        <f>F64-F48-F42-F13-F8</f>
        <v>17774871</v>
      </c>
      <c r="G63" s="510">
        <f t="shared" si="2"/>
        <v>-0.49072418022049219</v>
      </c>
      <c r="H63" s="86">
        <f t="shared" si="9"/>
        <v>2800.8391089108909</v>
      </c>
      <c r="I63" s="87">
        <f t="shared" si="10"/>
        <v>2467.3613270405331</v>
      </c>
      <c r="J63" s="512">
        <f t="shared" si="0"/>
        <v>0.13515563294912564</v>
      </c>
    </row>
    <row r="64" spans="1:10">
      <c r="A64" s="297" t="s">
        <v>404</v>
      </c>
      <c r="B64" s="298">
        <f>電輔車!E64</f>
        <v>686557</v>
      </c>
      <c r="C64" s="89">
        <f>VLOOKUP(A64,[1]電同!$B$2:$H$2,6,0)</f>
        <v>1036118</v>
      </c>
      <c r="D64" s="511">
        <f t="shared" si="1"/>
        <v>-0.33737566570602961</v>
      </c>
      <c r="E64" s="295">
        <f>電輔車!G64</f>
        <v>1213279475</v>
      </c>
      <c r="F64" s="89">
        <f>VLOOKUP(A64,[1]電同!$B$2:$H$2,4,0)</f>
        <v>1553628157</v>
      </c>
      <c r="G64" s="510">
        <f t="shared" si="2"/>
        <v>-0.21906701450184904</v>
      </c>
      <c r="H64" s="86">
        <f t="shared" ref="H64" si="11">E64/B64</f>
        <v>1767.1940931342917</v>
      </c>
      <c r="I64" s="87">
        <f t="shared" ref="I64" si="12">F64/C64</f>
        <v>1499.470289098346</v>
      </c>
      <c r="J64" s="512">
        <f t="shared" si="0"/>
        <v>0.17854558772013551</v>
      </c>
    </row>
    <row r="65" spans="1:7">
      <c r="A65" s="300"/>
      <c r="B65" s="301"/>
      <c r="C65" s="302"/>
      <c r="D65" s="303"/>
      <c r="E65" s="301"/>
      <c r="F65" s="302"/>
      <c r="G65" s="303"/>
    </row>
    <row r="66" spans="1:7" ht="13.5" customHeight="1">
      <c r="A66" s="304" t="s">
        <v>60</v>
      </c>
    </row>
  </sheetData>
  <phoneticPr fontId="3" type="noConversion"/>
  <conditionalFormatting sqref="D1:D5">
    <cfRule type="cellIs" dxfId="62" priority="3" operator="greaterThanOrEqual">
      <formula>0</formula>
    </cfRule>
    <cfRule type="cellIs" dxfId="61" priority="4" operator="lessThan">
      <formula>0</formula>
    </cfRule>
  </conditionalFormatting>
  <conditionalFormatting sqref="D7:D1048576">
    <cfRule type="cellIs" dxfId="60" priority="43" operator="greaterThanOrEqual">
      <formula>0</formula>
    </cfRule>
    <cfRule type="cellIs" dxfId="59" priority="44" operator="lessThan">
      <formula>0</formula>
    </cfRule>
  </conditionalFormatting>
  <conditionalFormatting sqref="G1:G5">
    <cfRule type="cellIs" dxfId="58" priority="1" operator="greaterThanOrEqual">
      <formula>0</formula>
    </cfRule>
    <cfRule type="cellIs" dxfId="57" priority="2" operator="lessThan">
      <formula>0</formula>
    </cfRule>
  </conditionalFormatting>
  <conditionalFormatting sqref="G7:G1048576 J7:J1048576">
    <cfRule type="cellIs" dxfId="56" priority="5" operator="greaterThanOrEqual">
      <formula>0</formula>
    </cfRule>
    <cfRule type="cellIs" dxfId="55" priority="6" operator="lessThan">
      <formula>0</formula>
    </cfRule>
  </conditionalFormatting>
  <conditionalFormatting sqref="J1:J4">
    <cfRule type="cellIs" dxfId="54" priority="39" operator="greaterThanOrEqual">
      <formula>0</formula>
    </cfRule>
    <cfRule type="cellIs" dxfId="53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8" customWidth="1"/>
    <col min="4" max="4" width="10.75" style="309" customWidth="1"/>
    <col min="5" max="5" width="14.625" style="5" customWidth="1"/>
    <col min="6" max="6" width="18.75" style="308" customWidth="1"/>
    <col min="7" max="7" width="11" style="30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479</v>
      </c>
      <c r="B1" s="128"/>
      <c r="C1" s="306"/>
      <c r="D1" s="307"/>
      <c r="E1" s="128"/>
      <c r="F1" s="306"/>
      <c r="G1" s="30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423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462</v>
      </c>
      <c r="B4" s="67"/>
      <c r="C4" s="310"/>
      <c r="D4" s="311"/>
      <c r="E4" s="67"/>
      <c r="F4" s="312"/>
      <c r="G4" s="141"/>
      <c r="I4"/>
      <c r="J4"/>
      <c r="K4"/>
      <c r="L4"/>
      <c r="M4"/>
      <c r="N4"/>
      <c r="O4"/>
      <c r="P4"/>
    </row>
    <row r="5" spans="1:16" ht="18" customHeight="1">
      <c r="A5" s="76" t="s">
        <v>52</v>
      </c>
      <c r="B5" s="142" t="s">
        <v>53</v>
      </c>
      <c r="C5" s="143"/>
      <c r="D5" s="144"/>
      <c r="E5" s="145" t="s">
        <v>54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436</v>
      </c>
      <c r="C6" s="146" t="s">
        <v>437</v>
      </c>
      <c r="D6" s="313" t="s">
        <v>61</v>
      </c>
      <c r="E6" s="30" t="s">
        <v>436</v>
      </c>
      <c r="F6" s="146" t="s">
        <v>437</v>
      </c>
      <c r="G6" s="313" t="s">
        <v>61</v>
      </c>
      <c r="I6" s="489"/>
      <c r="J6" s="489"/>
      <c r="K6" s="489"/>
      <c r="L6" s="489"/>
    </row>
    <row r="7" spans="1:16" ht="18" customHeight="1">
      <c r="A7" s="31">
        <v>1</v>
      </c>
      <c r="B7" s="386">
        <v>102575</v>
      </c>
      <c r="C7" s="508">
        <v>77057</v>
      </c>
      <c r="D7" s="512">
        <f t="shared" ref="D7:D19" si="0">(B7-C7)/C7</f>
        <v>0.33115745487106946</v>
      </c>
      <c r="E7" s="386">
        <v>157168031</v>
      </c>
      <c r="F7" s="508">
        <v>109267734</v>
      </c>
      <c r="G7" s="512">
        <f t="shared" ref="G7:G19" si="1">(E7-F7)/F7</f>
        <v>0.43837549518506536</v>
      </c>
      <c r="I7" s="489"/>
      <c r="J7" s="489"/>
    </row>
    <row r="8" spans="1:16" ht="18" customHeight="1">
      <c r="A8" s="31">
        <v>2</v>
      </c>
      <c r="B8" s="386">
        <v>68335</v>
      </c>
      <c r="C8" s="508">
        <v>84202</v>
      </c>
      <c r="D8" s="512">
        <f t="shared" si="0"/>
        <v>-0.18843970452008266</v>
      </c>
      <c r="E8" s="386">
        <v>114935015</v>
      </c>
      <c r="F8" s="508">
        <v>117807310</v>
      </c>
      <c r="G8" s="512">
        <f t="shared" si="1"/>
        <v>-2.4381296882171402E-2</v>
      </c>
      <c r="I8" s="489"/>
      <c r="J8" s="489"/>
      <c r="K8" s="489"/>
      <c r="L8" s="489"/>
    </row>
    <row r="9" spans="1:16" ht="18" customHeight="1">
      <c r="A9" s="31">
        <v>3</v>
      </c>
      <c r="B9" s="386">
        <v>67324</v>
      </c>
      <c r="C9" s="508">
        <v>92187</v>
      </c>
      <c r="D9" s="512">
        <f t="shared" si="0"/>
        <v>-0.26970180177248421</v>
      </c>
      <c r="E9" s="379">
        <v>108657809</v>
      </c>
      <c r="F9" s="508">
        <v>132866407</v>
      </c>
      <c r="G9" s="512">
        <f t="shared" si="1"/>
        <v>-0.18220254876012415</v>
      </c>
      <c r="J9" s="489"/>
      <c r="K9" s="489"/>
    </row>
    <row r="10" spans="1:16" ht="18" customHeight="1">
      <c r="A10" s="31">
        <v>4</v>
      </c>
      <c r="B10" s="387">
        <v>78722</v>
      </c>
      <c r="C10" s="509">
        <v>79297</v>
      </c>
      <c r="D10" s="512">
        <f t="shared" si="0"/>
        <v>-7.2512200965988627E-3</v>
      </c>
      <c r="E10" s="387">
        <v>135497637</v>
      </c>
      <c r="F10" s="509">
        <v>114259116</v>
      </c>
      <c r="G10" s="512">
        <f t="shared" si="1"/>
        <v>0.18588031960618354</v>
      </c>
    </row>
    <row r="11" spans="1:16" ht="18" customHeight="1">
      <c r="A11" s="31">
        <v>5</v>
      </c>
      <c r="B11" s="386">
        <v>66723</v>
      </c>
      <c r="C11" s="508">
        <v>87198</v>
      </c>
      <c r="D11" s="512">
        <f t="shared" si="0"/>
        <v>-0.23481043143191357</v>
      </c>
      <c r="E11" s="386">
        <v>116784135</v>
      </c>
      <c r="F11" s="508">
        <v>130912557</v>
      </c>
      <c r="G11" s="512">
        <f t="shared" si="1"/>
        <v>-0.10792258835796784</v>
      </c>
    </row>
    <row r="12" spans="1:16" ht="18" customHeight="1">
      <c r="A12" s="31">
        <v>6</v>
      </c>
      <c r="B12" s="386">
        <v>63099</v>
      </c>
      <c r="C12" s="508">
        <v>76230</v>
      </c>
      <c r="D12" s="512">
        <f t="shared" si="0"/>
        <v>-0.17225501770956317</v>
      </c>
      <c r="E12" s="386">
        <v>106973248</v>
      </c>
      <c r="F12" s="508">
        <v>122116613</v>
      </c>
      <c r="G12" s="512">
        <f t="shared" si="1"/>
        <v>-0.12400741085080701</v>
      </c>
      <c r="J12" s="489"/>
      <c r="K12" s="489"/>
    </row>
    <row r="13" spans="1:16" ht="18" customHeight="1">
      <c r="A13" s="31">
        <v>7</v>
      </c>
      <c r="B13" s="388">
        <v>50927</v>
      </c>
      <c r="C13" s="508">
        <v>101495</v>
      </c>
      <c r="D13" s="512">
        <f t="shared" si="0"/>
        <v>-0.49823143997241243</v>
      </c>
      <c r="E13" s="388">
        <v>88792506</v>
      </c>
      <c r="F13" s="508">
        <v>159255261</v>
      </c>
      <c r="G13" s="512">
        <f t="shared" si="1"/>
        <v>-0.44245166255449481</v>
      </c>
    </row>
    <row r="14" spans="1:16" ht="18" customHeight="1">
      <c r="A14" s="31">
        <v>8</v>
      </c>
      <c r="B14" s="386">
        <v>44985</v>
      </c>
      <c r="C14" s="508">
        <v>78657</v>
      </c>
      <c r="D14" s="512">
        <f t="shared" si="0"/>
        <v>-0.42808650215492583</v>
      </c>
      <c r="E14" s="386">
        <v>90712357</v>
      </c>
      <c r="F14" s="508">
        <v>117735520</v>
      </c>
      <c r="G14" s="512">
        <f t="shared" si="1"/>
        <v>-0.22952430158715059</v>
      </c>
      <c r="J14" s="489"/>
      <c r="K14" s="489"/>
    </row>
    <row r="15" spans="1:16" ht="18" customHeight="1">
      <c r="A15" s="31">
        <v>9</v>
      </c>
      <c r="B15" s="27">
        <v>39289</v>
      </c>
      <c r="C15" s="508">
        <v>91644</v>
      </c>
      <c r="D15" s="512">
        <f t="shared" si="0"/>
        <v>-0.57128671817031118</v>
      </c>
      <c r="E15" s="27">
        <v>79224306</v>
      </c>
      <c r="F15" s="508">
        <v>133267573</v>
      </c>
      <c r="G15" s="512">
        <f t="shared" si="1"/>
        <v>-0.40552450820125613</v>
      </c>
    </row>
    <row r="16" spans="1:16" ht="18" customHeight="1">
      <c r="A16" s="31">
        <v>10</v>
      </c>
      <c r="B16" s="27">
        <v>28734</v>
      </c>
      <c r="C16" s="508">
        <v>95220</v>
      </c>
      <c r="D16" s="512">
        <f t="shared" si="0"/>
        <v>-0.6982356647763075</v>
      </c>
      <c r="E16" s="27">
        <v>58393920</v>
      </c>
      <c r="F16" s="508">
        <v>149753129</v>
      </c>
      <c r="G16" s="512">
        <f t="shared" si="1"/>
        <v>-0.6100654431067013</v>
      </c>
    </row>
    <row r="17" spans="1:18" ht="18" customHeight="1">
      <c r="A17" s="31">
        <v>11</v>
      </c>
      <c r="B17" s="27">
        <v>38247</v>
      </c>
      <c r="C17" s="89">
        <v>89156</v>
      </c>
      <c r="D17" s="512">
        <f t="shared" si="0"/>
        <v>-0.57101036385661086</v>
      </c>
      <c r="E17" s="27">
        <v>78049576</v>
      </c>
      <c r="F17" s="89">
        <v>134885692</v>
      </c>
      <c r="G17" s="512">
        <f t="shared" si="1"/>
        <v>-0.42136504737655939</v>
      </c>
    </row>
    <row r="18" spans="1:18" ht="18" customHeight="1">
      <c r="A18" s="31">
        <v>12</v>
      </c>
      <c r="B18" s="27">
        <v>37597</v>
      </c>
      <c r="C18" s="89">
        <v>83784</v>
      </c>
      <c r="D18" s="512">
        <f t="shared" si="0"/>
        <v>-0.55126277093478471</v>
      </c>
      <c r="E18" s="27">
        <v>78090935</v>
      </c>
      <c r="F18" s="89">
        <v>131501245</v>
      </c>
      <c r="G18" s="512">
        <f t="shared" si="1"/>
        <v>-0.40615820785575074</v>
      </c>
      <c r="I18" s="490"/>
      <c r="J18" s="490"/>
      <c r="K18" s="490"/>
      <c r="L18" s="490"/>
      <c r="M18"/>
      <c r="N18"/>
      <c r="O18"/>
      <c r="P18"/>
      <c r="Q18"/>
      <c r="R18"/>
    </row>
    <row r="19" spans="1:18" s="114" customFormat="1" ht="18" customHeight="1">
      <c r="A19" s="32" t="s">
        <v>51</v>
      </c>
      <c r="B19" s="33">
        <f>SUM(B7:B18)</f>
        <v>686557</v>
      </c>
      <c r="C19" s="90">
        <f>SUM(C7:C18)</f>
        <v>1036127</v>
      </c>
      <c r="D19" s="512">
        <f t="shared" si="0"/>
        <v>-0.33738142138946287</v>
      </c>
      <c r="E19" s="33">
        <f>SUM(E7:E18)</f>
        <v>1213279475</v>
      </c>
      <c r="F19" s="90">
        <f>SUM(F7:F18)</f>
        <v>1553628157</v>
      </c>
      <c r="G19" s="512">
        <f t="shared" si="1"/>
        <v>-0.21906701450184904</v>
      </c>
      <c r="H19" s="5"/>
      <c r="I19" s="490"/>
      <c r="J19" s="490"/>
      <c r="K19" s="490"/>
      <c r="L19" s="490"/>
      <c r="M19"/>
      <c r="N19"/>
      <c r="O19"/>
      <c r="P19"/>
      <c r="Q19"/>
      <c r="R19"/>
    </row>
    <row r="20" spans="1:18" s="114" customFormat="1">
      <c r="A20" s="38"/>
      <c r="B20" s="39"/>
      <c r="C20" s="491"/>
      <c r="D20" s="314"/>
      <c r="E20" s="39"/>
      <c r="F20" s="491"/>
      <c r="G20" s="314"/>
      <c r="H20" s="5"/>
      <c r="I20" s="490"/>
      <c r="J20" s="490"/>
      <c r="K20"/>
      <c r="L20"/>
      <c r="M20"/>
      <c r="N20"/>
      <c r="O20"/>
      <c r="P20"/>
      <c r="Q20"/>
      <c r="R20"/>
    </row>
    <row r="21" spans="1:18" s="114" customFormat="1">
      <c r="A21" s="38"/>
      <c r="B21" s="39"/>
      <c r="C21" s="491"/>
      <c r="D21" s="314"/>
      <c r="E21" s="39"/>
      <c r="F21" s="491"/>
      <c r="G21" s="314"/>
      <c r="H21" s="5"/>
      <c r="I21" s="490"/>
      <c r="J21" s="490"/>
      <c r="K21" s="490"/>
      <c r="L21" s="490"/>
      <c r="M21"/>
      <c r="N21"/>
      <c r="O21"/>
      <c r="P21"/>
      <c r="Q21"/>
      <c r="R21"/>
    </row>
    <row r="22" spans="1:18" ht="19.5">
      <c r="A22" s="1" t="s">
        <v>480</v>
      </c>
      <c r="B22" s="128"/>
      <c r="C22" s="306"/>
      <c r="D22" s="307"/>
      <c r="E22" s="128"/>
      <c r="F22" s="306"/>
      <c r="G22" s="307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28"/>
      <c r="C23" s="306"/>
      <c r="D23" s="307"/>
      <c r="E23" s="128"/>
      <c r="F23" s="306"/>
      <c r="G23" s="307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1" t="s">
        <v>419</v>
      </c>
      <c r="B24" s="152"/>
      <c r="C24" s="153"/>
      <c r="D24" s="154"/>
      <c r="E24" s="152"/>
      <c r="F24" s="155"/>
      <c r="G24" s="156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460</v>
      </c>
      <c r="B25" s="157"/>
      <c r="C25" s="315"/>
      <c r="D25" s="316"/>
      <c r="E25" s="157"/>
      <c r="F25" s="317"/>
      <c r="G25" s="161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52</v>
      </c>
      <c r="B26" s="162" t="s">
        <v>53</v>
      </c>
      <c r="C26" s="163"/>
      <c r="D26" s="164"/>
      <c r="E26" s="165" t="s">
        <v>54</v>
      </c>
      <c r="F26" s="163"/>
      <c r="G26" s="164"/>
    </row>
    <row r="27" spans="1:18" ht="18" customHeight="1">
      <c r="A27" s="93"/>
      <c r="B27" s="30" t="s">
        <v>436</v>
      </c>
      <c r="C27" s="146" t="s">
        <v>437</v>
      </c>
      <c r="D27" s="313" t="s">
        <v>412</v>
      </c>
      <c r="E27" s="30" t="s">
        <v>436</v>
      </c>
      <c r="F27" s="146" t="s">
        <v>437</v>
      </c>
      <c r="G27" s="313" t="s">
        <v>413</v>
      </c>
    </row>
    <row r="28" spans="1:18" ht="18" customHeight="1">
      <c r="A28" s="31">
        <v>1</v>
      </c>
      <c r="B28" s="386">
        <v>661</v>
      </c>
      <c r="C28" s="508">
        <v>1361</v>
      </c>
      <c r="D28" s="512">
        <f>(B28-C28)/C28</f>
        <v>-0.51432770022042618</v>
      </c>
      <c r="E28" s="386">
        <v>457222</v>
      </c>
      <c r="F28" s="508">
        <v>889149</v>
      </c>
      <c r="G28" s="512">
        <f>(E28-F28)/F28</f>
        <v>-0.48577572487850745</v>
      </c>
    </row>
    <row r="29" spans="1:18" ht="18" customHeight="1">
      <c r="A29" s="31">
        <v>2</v>
      </c>
      <c r="B29" s="386">
        <v>306</v>
      </c>
      <c r="C29" s="508">
        <v>1529</v>
      </c>
      <c r="D29" s="512">
        <f>(B29-C29)/C29</f>
        <v>-0.79986919555264879</v>
      </c>
      <c r="E29" s="386">
        <v>343954</v>
      </c>
      <c r="F29" s="508">
        <v>1057175</v>
      </c>
      <c r="G29" s="512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6">
        <v>1748</v>
      </c>
      <c r="C30" s="508">
        <v>2239</v>
      </c>
      <c r="D30" s="512">
        <f>(B30-C30)/C30</f>
        <v>-0.21929432782492184</v>
      </c>
      <c r="E30" s="386">
        <v>1134184</v>
      </c>
      <c r="F30" s="508">
        <v>1443327</v>
      </c>
      <c r="G30" s="512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6">
        <v>413</v>
      </c>
      <c r="C31" s="509">
        <v>161</v>
      </c>
      <c r="D31" s="512">
        <f>(B31-C31)/C31</f>
        <v>1.5652173913043479</v>
      </c>
      <c r="E31" s="387">
        <v>387680</v>
      </c>
      <c r="F31" s="509">
        <v>188582</v>
      </c>
      <c r="G31" s="512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6">
        <v>2715</v>
      </c>
      <c r="C32" s="508">
        <v>896</v>
      </c>
      <c r="D32" s="512">
        <f>(B32-C32)/C32</f>
        <v>2.0301339285714284</v>
      </c>
      <c r="E32" s="386">
        <v>1301531</v>
      </c>
      <c r="F32" s="508">
        <v>627673</v>
      </c>
      <c r="G32" s="512">
        <f>(E32-F32)/F32</f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6">
        <v>947</v>
      </c>
      <c r="C33" s="508">
        <v>1539</v>
      </c>
      <c r="D33" s="512">
        <f t="shared" ref="D33:D39" si="2">(B33-C33)/C33</f>
        <v>-0.38466536712150745</v>
      </c>
      <c r="E33" s="386">
        <v>961015</v>
      </c>
      <c r="F33" s="508">
        <v>1266801</v>
      </c>
      <c r="G33" s="512">
        <f t="shared" ref="G33:G39" si="3">(E33-F33)/F33</f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6">
        <v>670</v>
      </c>
      <c r="C34" s="508">
        <v>2783</v>
      </c>
      <c r="D34" s="512">
        <f t="shared" si="2"/>
        <v>-0.75925260510240744</v>
      </c>
      <c r="E34" s="386">
        <v>485378</v>
      </c>
      <c r="F34" s="508">
        <v>1385783</v>
      </c>
      <c r="G34" s="512">
        <f t="shared" si="3"/>
        <v>-0.64974458483038111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6">
        <v>994</v>
      </c>
      <c r="C35" s="508">
        <v>1100</v>
      </c>
      <c r="D35" s="512">
        <f t="shared" si="2"/>
        <v>-9.636363636363636E-2</v>
      </c>
      <c r="E35" s="386">
        <v>648641</v>
      </c>
      <c r="F35" s="508">
        <v>960434</v>
      </c>
      <c r="G35" s="512">
        <f t="shared" si="3"/>
        <v>-0.32463761174635636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915</v>
      </c>
      <c r="C36" s="508">
        <v>512</v>
      </c>
      <c r="D36" s="512">
        <f t="shared" si="2"/>
        <v>0.787109375</v>
      </c>
      <c r="E36" s="27">
        <v>818658</v>
      </c>
      <c r="F36" s="508">
        <v>435006</v>
      </c>
      <c r="G36" s="512">
        <f t="shared" si="3"/>
        <v>0.881946455910953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5</v>
      </c>
      <c r="C37" s="508">
        <v>1248</v>
      </c>
      <c r="D37" s="512">
        <f t="shared" si="2"/>
        <v>-0.99599358974358976</v>
      </c>
      <c r="E37" s="27">
        <v>1738</v>
      </c>
      <c r="F37" s="508">
        <v>987575</v>
      </c>
      <c r="G37" s="512">
        <f t="shared" si="3"/>
        <v>-0.99824013366073461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75</v>
      </c>
      <c r="C38" s="89">
        <v>1505</v>
      </c>
      <c r="D38" s="512">
        <f t="shared" si="2"/>
        <v>-0.95016611295681064</v>
      </c>
      <c r="E38" s="27">
        <v>68775</v>
      </c>
      <c r="F38" s="89">
        <v>902291</v>
      </c>
      <c r="G38" s="512">
        <f t="shared" si="3"/>
        <v>-0.92377736229220953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>
        <v>1123</v>
      </c>
      <c r="C39" s="89">
        <v>288</v>
      </c>
      <c r="D39" s="512">
        <f t="shared" si="2"/>
        <v>2.8993055555555554</v>
      </c>
      <c r="E39" s="27">
        <v>283211</v>
      </c>
      <c r="F39" s="89">
        <v>231386</v>
      </c>
      <c r="G39" s="512">
        <f t="shared" si="3"/>
        <v>0.22397638577960638</v>
      </c>
      <c r="I39" s="490"/>
      <c r="J39" s="490"/>
      <c r="K39"/>
      <c r="L39"/>
      <c r="M39"/>
      <c r="N39"/>
      <c r="O39"/>
      <c r="P39"/>
    </row>
    <row r="40" spans="1:16" s="114" customFormat="1" ht="18" customHeight="1">
      <c r="A40" s="32" t="s">
        <v>51</v>
      </c>
      <c r="B40" s="33">
        <f>SUM(B28:B39)</f>
        <v>10572</v>
      </c>
      <c r="C40" s="90">
        <f>SUM(C28:C39)</f>
        <v>15161</v>
      </c>
      <c r="D40" s="512">
        <f t="shared" ref="D40" si="4">(B40-C40)/C40</f>
        <v>-0.30268451949079878</v>
      </c>
      <c r="E40" s="33">
        <f>SUM(E28:E39)</f>
        <v>6891987</v>
      </c>
      <c r="F40" s="90">
        <f>SUM(F28:F39)</f>
        <v>10375182</v>
      </c>
      <c r="G40" s="512">
        <f t="shared" ref="G40" si="5">(E40-F40)/F40</f>
        <v>-0.33572374923157977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91"/>
      <c r="D41" s="314"/>
      <c r="E41" s="39"/>
      <c r="F41" s="491"/>
      <c r="G41" s="314"/>
      <c r="H41" s="5"/>
      <c r="I41" s="490"/>
      <c r="J41" s="490"/>
      <c r="K41" s="490"/>
      <c r="L41" s="490"/>
      <c r="M41"/>
      <c r="N41"/>
      <c r="O41"/>
      <c r="P41"/>
    </row>
    <row r="42" spans="1:16" s="13" customFormat="1">
      <c r="A42" s="53" t="s">
        <v>414</v>
      </c>
      <c r="C42" s="167"/>
      <c r="D42" s="168"/>
      <c r="F42" s="167"/>
      <c r="G42" s="168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31">
    <cfRule type="cellIs" dxfId="52" priority="9" operator="lessThan">
      <formula>0</formula>
    </cfRule>
  </conditionalFormatting>
  <conditionalFormatting sqref="B7:B9 E9">
    <cfRule type="cellIs" dxfId="51" priority="39" operator="lessThan">
      <formula>0</formula>
    </cfRule>
  </conditionalFormatting>
  <conditionalFormatting sqref="B11:B14">
    <cfRule type="cellIs" dxfId="50" priority="8" operator="lessThan">
      <formula>0</formula>
    </cfRule>
  </conditionalFormatting>
  <conditionalFormatting sqref="B28:C30 C36:C37">
    <cfRule type="cellIs" dxfId="49" priority="37" operator="lessThan">
      <formula>0</formula>
    </cfRule>
  </conditionalFormatting>
  <conditionalFormatting sqref="B32:C35">
    <cfRule type="cellIs" dxfId="48" priority="6" operator="lessThan">
      <formula>0</formula>
    </cfRule>
  </conditionalFormatting>
  <conditionalFormatting sqref="D7:D19">
    <cfRule type="cellIs" dxfId="46" priority="32" operator="greaterThanOrEqual">
      <formula>0</formula>
    </cfRule>
    <cfRule type="cellIs" dxfId="45" priority="33" operator="lessThan">
      <formula>0</formula>
    </cfRule>
  </conditionalFormatting>
  <conditionalFormatting sqref="D28:D40">
    <cfRule type="cellIs" dxfId="44" priority="24" operator="greaterThanOrEqual">
      <formula>0</formula>
    </cfRule>
    <cfRule type="cellIs" dxfId="43" priority="25" operator="lessThan">
      <formula>0</formula>
    </cfRule>
  </conditionalFormatting>
  <conditionalFormatting sqref="E7:E9">
    <cfRule type="cellIs" dxfId="42" priority="38" operator="lessThan">
      <formula>0</formula>
    </cfRule>
  </conditionalFormatting>
  <conditionalFormatting sqref="E11:E14">
    <cfRule type="cellIs" dxfId="41" priority="7" operator="lessThan">
      <formula>0</formula>
    </cfRule>
  </conditionalFormatting>
  <conditionalFormatting sqref="E28:F30 F36:F37">
    <cfRule type="cellIs" dxfId="40" priority="36" operator="lessThan">
      <formula>0</formula>
    </cfRule>
  </conditionalFormatting>
  <conditionalFormatting sqref="E32:F35">
    <cfRule type="cellIs" dxfId="39" priority="5" operator="lessThan">
      <formula>0</formula>
    </cfRule>
  </conditionalFormatting>
  <conditionalFormatting sqref="G7:G19">
    <cfRule type="cellIs" dxfId="37" priority="30" operator="greaterThanOrEqual">
      <formula>0</formula>
    </cfRule>
    <cfRule type="cellIs" dxfId="36" priority="31" operator="lessThan">
      <formula>0</formula>
    </cfRule>
  </conditionalFormatting>
  <conditionalFormatting sqref="G28:G40">
    <cfRule type="cellIs" dxfId="35" priority="20" operator="greaterThanOrEqual">
      <formula>0</formula>
    </cfRule>
    <cfRule type="cellIs" dxfId="34" priority="21" operator="lessThan">
      <formula>0</formula>
    </cfRule>
  </conditionalFormatting>
  <conditionalFormatting sqref="C7:C9 C15:C16">
    <cfRule type="cellIs" dxfId="3" priority="4" operator="lessThan">
      <formula>0</formula>
    </cfRule>
  </conditionalFormatting>
  <conditionalFormatting sqref="C11:C14">
    <cfRule type="cellIs" dxfId="2" priority="3" operator="lessThan">
      <formula>0</formula>
    </cfRule>
  </conditionalFormatting>
  <conditionalFormatting sqref="F7:F9 F15:F16">
    <cfRule type="cellIs" dxfId="1" priority="2" operator="lessThan">
      <formula>0</formula>
    </cfRule>
  </conditionalFormatting>
  <conditionalFormatting sqref="F11:F14">
    <cfRule type="cellIs" dxfId="0" priority="1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="102" zoomScaleNormal="102" workbookViewId="0">
      <selection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22" customWidth="1"/>
    <col min="4" max="4" width="16.625" style="322" customWidth="1"/>
    <col min="5" max="5" width="2.375" style="322" customWidth="1"/>
    <col min="6" max="6" width="17.125" style="322" customWidth="1"/>
    <col min="7" max="7" width="19" style="322" customWidth="1"/>
    <col min="8" max="8" width="2.125" style="322" customWidth="1"/>
    <col min="9" max="9" width="15.625" style="322" customWidth="1"/>
    <col min="10" max="10" width="17.875" style="322" customWidth="1"/>
    <col min="11" max="11" width="2.5" style="322" customWidth="1"/>
    <col min="12" max="12" width="17.125" style="322" customWidth="1"/>
    <col min="13" max="13" width="18.5" style="32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9" customFormat="1" ht="19.5">
      <c r="A1" s="1" t="s">
        <v>481</v>
      </c>
      <c r="B1" s="1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3" s="319" customFormat="1">
      <c r="C2" s="320"/>
      <c r="D2" s="320"/>
      <c r="E2" s="320"/>
      <c r="F2" s="320"/>
      <c r="G2" s="320"/>
      <c r="H2" s="320"/>
      <c r="I2" s="320"/>
      <c r="J2" s="320"/>
      <c r="K2" s="320"/>
      <c r="L2" s="5"/>
      <c r="M2" s="320" t="s">
        <v>62</v>
      </c>
    </row>
    <row r="3" spans="1:13" s="319" customFormat="1">
      <c r="A3" s="321"/>
      <c r="B3" s="321"/>
      <c r="C3" s="320"/>
      <c r="D3" s="320"/>
      <c r="E3" s="320"/>
      <c r="F3" s="320"/>
      <c r="G3" s="320"/>
      <c r="H3" s="320"/>
      <c r="I3" s="320"/>
      <c r="J3" s="320"/>
      <c r="K3" s="320"/>
      <c r="L3" s="5"/>
      <c r="M3" s="320" t="s">
        <v>63</v>
      </c>
    </row>
    <row r="4" spans="1:13">
      <c r="M4" s="5"/>
    </row>
    <row r="5" spans="1:13" s="319" customFormat="1">
      <c r="A5" s="323" t="s">
        <v>64</v>
      </c>
      <c r="B5" s="324"/>
      <c r="C5" s="543" t="s">
        <v>482</v>
      </c>
      <c r="D5" s="544" t="s">
        <v>483</v>
      </c>
      <c r="E5" s="324"/>
      <c r="F5" s="325" t="s">
        <v>484</v>
      </c>
      <c r="G5" s="326" t="s">
        <v>485</v>
      </c>
      <c r="H5" s="324"/>
      <c r="I5" s="543" t="s">
        <v>486</v>
      </c>
      <c r="J5" s="544" t="s">
        <v>487</v>
      </c>
      <c r="K5" s="324"/>
      <c r="L5" s="325" t="s">
        <v>488</v>
      </c>
      <c r="M5" s="326" t="s">
        <v>489</v>
      </c>
    </row>
    <row r="6" spans="1:13">
      <c r="A6" s="327">
        <v>85121010001</v>
      </c>
      <c r="B6" s="482"/>
      <c r="C6" s="481"/>
      <c r="D6" s="328"/>
      <c r="E6" s="481"/>
      <c r="F6" s="481"/>
      <c r="G6" s="328"/>
      <c r="H6" s="481"/>
      <c r="I6" s="481"/>
      <c r="J6" s="328"/>
      <c r="K6" s="481"/>
      <c r="L6" s="481"/>
      <c r="M6" s="328"/>
    </row>
    <row r="7" spans="1:13">
      <c r="A7" s="329" t="s">
        <v>65</v>
      </c>
      <c r="B7" s="319"/>
      <c r="C7" s="469">
        <f>VLOOKUP(A6,[5]出!$B$11:$G$130,5,0)</f>
        <v>13756</v>
      </c>
      <c r="D7" s="469">
        <f>VLOOKUP(A6,[5]出!$B$11:$G$340,4,0)</f>
        <v>1129762</v>
      </c>
      <c r="F7" s="469">
        <f>VLOOKUP(A6,[5]出同!$B$11:$J$310,7,0)</f>
        <v>96827</v>
      </c>
      <c r="G7" s="469">
        <f>VLOOKUP(A6,[5]出同!$B$11:$J$130,5,0)</f>
        <v>10832540</v>
      </c>
      <c r="I7" s="469">
        <f>VLOOKUP(A6,[5]進!$B$11:$G$310,5,0)</f>
        <v>3539</v>
      </c>
      <c r="J7" s="469">
        <f>VLOOKUP(A6,[5]進!$B$11:$G$310,4,0)</f>
        <v>223508</v>
      </c>
      <c r="L7" s="469">
        <f>VLOOKUP(A6,[5]進同!$B$11:$J$350,7,0)</f>
        <v>44485</v>
      </c>
      <c r="M7" s="469">
        <f>VLOOKUP(A6,[5]進同!$B$11:$J$360,5,0)</f>
        <v>2922862</v>
      </c>
    </row>
    <row r="8" spans="1:13">
      <c r="A8" s="329" t="s">
        <v>66</v>
      </c>
      <c r="B8" s="13" t="s">
        <v>67</v>
      </c>
      <c r="C8" s="469">
        <f>VLOOKUP(A6,[5]出!$B$11:$G$320,6,0)</f>
        <v>119628</v>
      </c>
      <c r="D8" s="468" t="s">
        <v>396</v>
      </c>
      <c r="E8" s="13" t="s">
        <v>67</v>
      </c>
      <c r="F8" s="469">
        <f>VLOOKUP(A6,[5]出同!$B$11:$J$310,9,0)</f>
        <v>824005</v>
      </c>
      <c r="G8" s="468" t="s">
        <v>396</v>
      </c>
      <c r="H8" s="13" t="s">
        <v>67</v>
      </c>
      <c r="I8" s="469">
        <f>VLOOKUP(A6,[5]進!$B$11:$G$310,6,0)</f>
        <v>45128</v>
      </c>
      <c r="J8" s="468" t="s">
        <v>396</v>
      </c>
      <c r="K8" s="322" t="s">
        <v>67</v>
      </c>
      <c r="L8" s="469">
        <f>VLOOKUP(A6,[5]進同!$B$11:$J$305,9,0)</f>
        <v>761556</v>
      </c>
      <c r="M8" s="468" t="s">
        <v>396</v>
      </c>
    </row>
    <row r="9" spans="1:13">
      <c r="A9" s="331">
        <v>85121020009</v>
      </c>
      <c r="B9" s="480"/>
      <c r="C9" s="478"/>
      <c r="D9" s="474"/>
      <c r="E9" s="479"/>
      <c r="F9" s="474"/>
      <c r="G9" s="470"/>
      <c r="H9" s="479"/>
      <c r="I9" s="478"/>
      <c r="J9" s="478"/>
      <c r="K9" s="479"/>
      <c r="L9" s="478"/>
      <c r="M9" s="478"/>
    </row>
    <row r="10" spans="1:13">
      <c r="A10" s="329" t="s">
        <v>68</v>
      </c>
      <c r="B10" s="319"/>
      <c r="C10" s="469">
        <f>VLOOKUP(A9,[5]出!$B$11:$G$430,5,0)</f>
        <v>2348</v>
      </c>
      <c r="D10" s="469">
        <f>VLOOKUP(A9,[5]出!$B$11:$G$340,4,0)</f>
        <v>350555</v>
      </c>
      <c r="F10" s="469">
        <f>VLOOKUP(A9,[5]出同!$B$11:$J$310,7,0)</f>
        <v>37234</v>
      </c>
      <c r="G10" s="469">
        <f>VLOOKUP(A9,[5]出同!$B$11:$J$130,5,0)</f>
        <v>6450262</v>
      </c>
      <c r="I10" s="469">
        <f>VLOOKUP(A9,[5]進!$B$11:$G$310,5,0)</f>
        <v>988</v>
      </c>
      <c r="J10" s="469">
        <f>VLOOKUP(A9,[5]進!$B$11:$G$310,4,0)</f>
        <v>54116</v>
      </c>
      <c r="L10" s="469">
        <f>VLOOKUP(A9,[5]進同!$B$11:$J$660,7,0)</f>
        <v>22426</v>
      </c>
      <c r="M10" s="469">
        <f>VLOOKUP(A9,[5]進同!$B$11:$J$350,5,0)</f>
        <v>1824531</v>
      </c>
    </row>
    <row r="11" spans="1:13">
      <c r="A11" s="329" t="s">
        <v>69</v>
      </c>
      <c r="B11" s="13" t="s">
        <v>67</v>
      </c>
      <c r="C11" s="469">
        <f>VLOOKUP(A9,[5]出!$B$11:$G$340,6,0)</f>
        <v>25032</v>
      </c>
      <c r="D11" s="468" t="s">
        <v>396</v>
      </c>
      <c r="E11" s="13" t="s">
        <v>67</v>
      </c>
      <c r="F11" s="469">
        <f>VLOOKUP(A9,[5]出同!$B$11:$J$310,9,0)</f>
        <v>424314</v>
      </c>
      <c r="G11" s="468" t="s">
        <v>396</v>
      </c>
      <c r="H11" s="13" t="s">
        <v>67</v>
      </c>
      <c r="I11" s="469">
        <f>VLOOKUP(A9,[5]進!$B$11:$G$310,6,0)</f>
        <v>27093</v>
      </c>
      <c r="J11" s="468" t="s">
        <v>395</v>
      </c>
      <c r="K11" s="322" t="s">
        <v>67</v>
      </c>
      <c r="L11" s="469">
        <f>VLOOKUP(A9,[5]進同!$B$11:$J$305,9,0)</f>
        <v>431246</v>
      </c>
      <c r="M11" s="468" t="s">
        <v>396</v>
      </c>
    </row>
    <row r="12" spans="1:13">
      <c r="A12" s="332">
        <v>87149120007</v>
      </c>
      <c r="B12" s="473"/>
      <c r="C12" s="470"/>
      <c r="D12" s="474"/>
      <c r="E12" s="472"/>
      <c r="F12" s="474"/>
      <c r="G12" s="470"/>
      <c r="H12" s="472"/>
      <c r="I12" s="474"/>
      <c r="J12" s="470"/>
      <c r="K12" s="472"/>
      <c r="L12" s="478"/>
      <c r="M12" s="478"/>
    </row>
    <row r="13" spans="1:13">
      <c r="A13" s="329" t="s">
        <v>71</v>
      </c>
      <c r="B13" s="319"/>
      <c r="C13" s="469">
        <f>VLOOKUP(A12,[5]出!$B$11:$G$430,5,0)</f>
        <v>705336</v>
      </c>
      <c r="D13" s="469">
        <f>VLOOKUP(A12,[5]出!$B$11:$G$530,4,0)</f>
        <v>48803763</v>
      </c>
      <c r="F13" s="469">
        <f>VLOOKUP(A12,[5]出同!$B$11:$J$310,7,0)</f>
        <v>10666192</v>
      </c>
      <c r="G13" s="469">
        <f>VLOOKUP(A12,[5]出同!$B$11:$J$130,5,0)</f>
        <v>698748225</v>
      </c>
      <c r="I13" s="469">
        <f>VLOOKUP(A12,[5]進!$B$11:$G$310,5,0)</f>
        <v>310593</v>
      </c>
      <c r="J13" s="469">
        <f>VLOOKUP(A12,[5]進!$B$11:$G$320,4,0)</f>
        <v>22869942</v>
      </c>
      <c r="L13" s="469">
        <f>VLOOKUP(A12,[5]進同!$B$11:$J$350,7,0)</f>
        <v>5646361</v>
      </c>
      <c r="M13" s="469">
        <f>VLOOKUP(A12,[5]進同!$B$11:$J$340,5,0)</f>
        <v>381046351</v>
      </c>
    </row>
    <row r="14" spans="1:13">
      <c r="A14" s="329" t="s">
        <v>72</v>
      </c>
      <c r="B14" s="13" t="s">
        <v>67</v>
      </c>
      <c r="C14" s="469">
        <f>VLOOKUP(A12,[5]出!$B$11:$G$350,6,0)</f>
        <v>0</v>
      </c>
      <c r="D14" s="468"/>
      <c r="E14" s="13" t="s">
        <v>67</v>
      </c>
      <c r="F14" s="469">
        <f>VLOOKUP(A12,[5]出同!$B$11:$J$301,9,0)</f>
        <v>0</v>
      </c>
      <c r="G14" s="468"/>
      <c r="I14" s="469"/>
      <c r="J14" s="468"/>
      <c r="L14" s="469"/>
      <c r="M14" s="468"/>
    </row>
    <row r="15" spans="1:13">
      <c r="A15" s="332">
        <v>87149200108</v>
      </c>
      <c r="B15" s="473"/>
      <c r="C15" s="474"/>
      <c r="D15" s="470"/>
      <c r="E15" s="472"/>
      <c r="F15" s="474"/>
      <c r="G15" s="470"/>
      <c r="H15" s="472"/>
      <c r="I15" s="474"/>
      <c r="J15" s="470"/>
      <c r="K15" s="472"/>
      <c r="L15" s="474"/>
      <c r="M15" s="470"/>
    </row>
    <row r="16" spans="1:13">
      <c r="A16" s="329" t="s">
        <v>73</v>
      </c>
      <c r="B16" s="319"/>
      <c r="C16" s="469">
        <f>VLOOKUP(A15,[5]出!$B$11:$G$430,5,0)</f>
        <v>121098</v>
      </c>
      <c r="D16" s="469">
        <f>VLOOKUP(A15,[5]出!$B$11:$G$350,4,0)</f>
        <v>2948939</v>
      </c>
      <c r="F16" s="469">
        <f>VLOOKUP(A15,[5]出同!$B$11:$J$350,7,0)</f>
        <v>1623086</v>
      </c>
      <c r="G16" s="469">
        <f>VLOOKUP(A15,[5]出同!$B$11:$J$530,5,0)</f>
        <v>35857188</v>
      </c>
      <c r="I16" s="477">
        <f>VLOOKUP(A15,[5]進!$B$11:$G$360,5,0)</f>
        <v>42431</v>
      </c>
      <c r="J16" s="469">
        <f>VLOOKUP(A15,[5]進!$B$11:$G$360,4,0)</f>
        <v>4459574</v>
      </c>
      <c r="L16" s="469">
        <f>VLOOKUP(A15,[5]進同!$B$11:$J$350,7,0)</f>
        <v>810578</v>
      </c>
      <c r="M16" s="469">
        <f>VLOOKUP(A15,[5]進同!$B$11:$J$350,5,0)</f>
        <v>59875241</v>
      </c>
    </row>
    <row r="17" spans="1:13">
      <c r="A17" s="329"/>
      <c r="B17" s="13" t="s">
        <v>67</v>
      </c>
      <c r="C17" s="469">
        <f>VLOOKUP(A15,[5]出!$B$11:$G$350,6,0)</f>
        <v>220428</v>
      </c>
      <c r="D17" s="468" t="s">
        <v>155</v>
      </c>
      <c r="E17" s="13" t="s">
        <v>67</v>
      </c>
      <c r="F17" s="469">
        <f>VLOOKUP(A15,[5]出同!$B$11:$J$340,9,0)</f>
        <v>3019340</v>
      </c>
      <c r="G17" s="468" t="s">
        <v>70</v>
      </c>
      <c r="H17" s="13" t="s">
        <v>67</v>
      </c>
      <c r="I17" s="469">
        <f>VLOOKUP(A15,[5]進!$B$11:$G$360,6,0)</f>
        <v>133953</v>
      </c>
      <c r="J17" s="468" t="s">
        <v>70</v>
      </c>
      <c r="K17" s="322" t="s">
        <v>67</v>
      </c>
      <c r="L17" s="469">
        <f>VLOOKUP(A15,[5]進同!$B$11:$J$350,9,0)</f>
        <v>1598459</v>
      </c>
      <c r="M17" s="468" t="s">
        <v>70</v>
      </c>
    </row>
    <row r="18" spans="1:13">
      <c r="A18" s="332">
        <v>87149200206</v>
      </c>
      <c r="B18" s="473"/>
      <c r="C18" s="474"/>
      <c r="D18" s="470"/>
      <c r="E18" s="472"/>
      <c r="F18" s="474"/>
      <c r="G18" s="470"/>
      <c r="H18" s="472"/>
      <c r="I18" s="471"/>
      <c r="J18" s="470"/>
      <c r="K18" s="472"/>
      <c r="L18" s="471"/>
      <c r="M18" s="470"/>
    </row>
    <row r="19" spans="1:13">
      <c r="A19" s="329" t="s">
        <v>57</v>
      </c>
      <c r="B19" s="319"/>
      <c r="C19" s="469">
        <f>VLOOKUP(A18,[5]出!$B$11:$G$530,5,0)</f>
        <v>67818</v>
      </c>
      <c r="D19" s="469">
        <f>VLOOKUP(A18,[5]出!$B$11:$G$230,4,0)</f>
        <v>1017301</v>
      </c>
      <c r="F19" s="469">
        <f>VLOOKUP(A18,[5]出同!$B$11:$J$430,7,0)</f>
        <v>797798</v>
      </c>
      <c r="G19" s="469">
        <f>VLOOKUP(A18,[5]出同!$B$11:$J$370,5,0)</f>
        <v>10433705</v>
      </c>
      <c r="I19" s="469">
        <f>VLOOKUP(A18,[5]進!$B$11:$G$360,5,0)</f>
        <v>8799</v>
      </c>
      <c r="J19" s="469">
        <f>VLOOKUP(A18,[5]進!$B$11:$G$320,4,0)</f>
        <v>487758</v>
      </c>
      <c r="L19" s="469">
        <f>VLOOKUP(A18,[5]進同!$B$11:$J$430,7,0)</f>
        <v>103940</v>
      </c>
      <c r="M19" s="469">
        <f>VLOOKUP(A18,[5]進同!$B$11:$J$350,5,0)</f>
        <v>8097060</v>
      </c>
    </row>
    <row r="20" spans="1:13">
      <c r="A20" s="329"/>
      <c r="B20" s="13" t="s">
        <v>67</v>
      </c>
      <c r="C20" s="469">
        <f>VLOOKUP(A18,[5]出!$B$11:$G$530,6,0)</f>
        <v>9175440</v>
      </c>
      <c r="D20" s="468" t="s">
        <v>155</v>
      </c>
      <c r="E20" s="13" t="s">
        <v>67</v>
      </c>
      <c r="F20" s="469">
        <f>VLOOKUP(A18,[5]出同!$B$11:$J$380,9,0)</f>
        <v>113158191</v>
      </c>
      <c r="G20" s="468" t="s">
        <v>70</v>
      </c>
      <c r="H20" s="13" t="s">
        <v>67</v>
      </c>
      <c r="I20" s="469">
        <f>VLOOKUP(A18,[5]進!$B$11:$G$360,6,0)</f>
        <v>1307336</v>
      </c>
      <c r="J20" s="468" t="s">
        <v>70</v>
      </c>
      <c r="K20" s="322" t="s">
        <v>67</v>
      </c>
      <c r="L20" s="469">
        <f>VLOOKUP(A18,[5]進同!$B$11:$J$350,9,0)</f>
        <v>17472544</v>
      </c>
      <c r="M20" s="468" t="s">
        <v>70</v>
      </c>
    </row>
    <row r="21" spans="1:13">
      <c r="A21" s="332">
        <v>87149200304</v>
      </c>
      <c r="B21" s="473"/>
      <c r="C21" s="474"/>
      <c r="D21" s="470"/>
      <c r="E21" s="472"/>
      <c r="F21" s="474"/>
      <c r="G21" s="470"/>
      <c r="H21" s="472"/>
      <c r="I21" s="471"/>
      <c r="J21" s="470"/>
      <c r="K21" s="472"/>
      <c r="L21" s="471"/>
      <c r="M21" s="470"/>
    </row>
    <row r="22" spans="1:13">
      <c r="A22" s="329" t="s">
        <v>58</v>
      </c>
      <c r="B22" s="319"/>
      <c r="C22" s="469">
        <f>VLOOKUP(A21,[5]出!$B$11:$G$530,5,0)</f>
        <v>51831</v>
      </c>
      <c r="D22" s="469">
        <f>VLOOKUP(A21,[5]出!$B$11:$G$320,4,0)</f>
        <v>6585252</v>
      </c>
      <c r="E22" s="322">
        <f>[6]二全年出口類別合計驗算!U18</f>
        <v>0</v>
      </c>
      <c r="F22" s="469">
        <f>VLOOKUP(A21,[5]出同!$B$11:$J$370,7,0)</f>
        <v>688733</v>
      </c>
      <c r="G22" s="469">
        <f>VLOOKUP(A21,[5]出同!$B$11:$J$350,5,0)</f>
        <v>82757047</v>
      </c>
      <c r="I22" s="469">
        <f>VLOOKUP(A21,[5]進!$B$11:$G$630,5,0)</f>
        <v>11215</v>
      </c>
      <c r="J22" s="469">
        <f>VLOOKUP(A21,[5]進!$B$11:$G$305,4,0)</f>
        <v>800507</v>
      </c>
      <c r="L22" s="469">
        <f>VLOOKUP(A21,[5]進同!$B$11:$J$350,7,0)</f>
        <v>216395</v>
      </c>
      <c r="M22" s="469">
        <f>VLOOKUP(A21,[5]進同!$B$11:$J$350,5,0)</f>
        <v>8835023</v>
      </c>
    </row>
    <row r="23" spans="1:13">
      <c r="A23" s="332">
        <v>87149310007</v>
      </c>
      <c r="B23" s="473"/>
      <c r="C23" s="474"/>
      <c r="D23" s="470"/>
      <c r="E23" s="472"/>
      <c r="F23" s="474"/>
      <c r="G23" s="470"/>
      <c r="H23" s="472"/>
      <c r="I23" s="471"/>
      <c r="J23" s="470"/>
      <c r="K23" s="472"/>
      <c r="L23" s="471"/>
      <c r="M23" s="470"/>
    </row>
    <row r="24" spans="1:13">
      <c r="A24" s="329" t="s">
        <v>74</v>
      </c>
      <c r="B24" s="319"/>
      <c r="C24" s="469">
        <f>VLOOKUP(A23,[5]出!$B$11:$G$305,5,0)</f>
        <v>52763</v>
      </c>
      <c r="D24" s="469">
        <f>VLOOKUP(A23,[5]出!$B$11:$G$320,4,0)</f>
        <v>3258705</v>
      </c>
      <c r="F24" s="469">
        <f>VLOOKUP(A23,[5]出同!$B$11:$J$310,7,0)</f>
        <v>862236</v>
      </c>
      <c r="G24" s="469">
        <f>VLOOKUP(A23,[5]出同!$B$11:$J$350,5,0)</f>
        <v>47102656</v>
      </c>
      <c r="I24" s="469">
        <f>VLOOKUP(A23,[5]進!$B$11:$G$360,5,0)</f>
        <v>48840</v>
      </c>
      <c r="J24" s="469">
        <f>VLOOKUP(A23,[5]進!$B$11:$G$350,4,0)</f>
        <v>1900469</v>
      </c>
      <c r="L24" s="469">
        <f>VLOOKUP(A23,[5]進同!$B$11:$J$530,7,0)</f>
        <v>1015459</v>
      </c>
      <c r="M24" s="469">
        <f>VLOOKUP(A23,[5]進同!$B$11:$J$350,5,0)</f>
        <v>39130083</v>
      </c>
    </row>
    <row r="25" spans="1:13">
      <c r="A25" s="329" t="s">
        <v>75</v>
      </c>
      <c r="B25" s="319"/>
      <c r="C25" s="469"/>
      <c r="D25" s="468"/>
      <c r="F25" s="469"/>
      <c r="G25" s="468"/>
      <c r="I25" s="469"/>
      <c r="J25" s="468"/>
      <c r="L25" s="469"/>
      <c r="M25" s="468"/>
    </row>
    <row r="26" spans="1:13">
      <c r="A26" s="329" t="s">
        <v>76</v>
      </c>
      <c r="B26" s="319"/>
      <c r="C26" s="469"/>
      <c r="D26" s="468"/>
      <c r="F26" s="469"/>
      <c r="G26" s="468"/>
      <c r="I26" s="469"/>
      <c r="J26" s="468"/>
      <c r="L26" s="469"/>
      <c r="M26" s="468"/>
    </row>
    <row r="27" spans="1:13">
      <c r="A27" s="332">
        <v>87149320103</v>
      </c>
      <c r="B27" s="473"/>
      <c r="C27" s="474"/>
      <c r="D27" s="470"/>
      <c r="E27" s="472"/>
      <c r="F27" s="474"/>
      <c r="G27" s="470"/>
      <c r="H27" s="472"/>
      <c r="I27" s="471"/>
      <c r="J27" s="470"/>
      <c r="K27" s="472"/>
      <c r="L27" s="471"/>
      <c r="M27" s="470"/>
    </row>
    <row r="28" spans="1:13">
      <c r="A28" s="329" t="s">
        <v>408</v>
      </c>
      <c r="B28" s="319"/>
      <c r="C28" s="469">
        <f>VLOOKUP(A27,[5]出!$B$11:$G$305,5,0)</f>
        <v>1076</v>
      </c>
      <c r="D28" s="469">
        <f>VLOOKUP(A27,[5]出!$B$11:$G$305,4,0)</f>
        <v>51192</v>
      </c>
      <c r="F28" s="469">
        <f>VLOOKUP(A27,[5]出同!$B$11:$J$350,7,0)</f>
        <v>20959</v>
      </c>
      <c r="G28" s="469">
        <f>VLOOKUP(A27,[5]出同!$B$11:$J$370,5,0)</f>
        <v>757241</v>
      </c>
      <c r="I28" s="469">
        <f>VLOOKUP(A27,[5]進!$B$11:$G$30,5,0)</f>
        <v>483</v>
      </c>
      <c r="J28" s="469">
        <f>VLOOKUP(A27,[5]進!$B$11:$G$350,4,0)</f>
        <v>16344</v>
      </c>
      <c r="L28" s="469">
        <f>VLOOKUP(A27,[5]進同!$B$11:$J$350,7,0)</f>
        <v>82008</v>
      </c>
      <c r="M28" s="469">
        <f>VLOOKUP(A27,[5]進同!$B$11:$J$350,5,0)</f>
        <v>4336628</v>
      </c>
    </row>
    <row r="29" spans="1:13">
      <c r="A29" s="332">
        <v>87149410006</v>
      </c>
      <c r="B29" s="473"/>
      <c r="C29" s="474"/>
      <c r="D29" s="470"/>
      <c r="E29" s="472"/>
      <c r="F29" s="474"/>
      <c r="G29" s="470"/>
      <c r="H29" s="472"/>
      <c r="I29" s="471"/>
      <c r="J29" s="470"/>
      <c r="K29" s="472"/>
      <c r="L29" s="471"/>
      <c r="M29" s="470"/>
    </row>
    <row r="30" spans="1:13">
      <c r="A30" s="329" t="s">
        <v>77</v>
      </c>
      <c r="B30" s="319"/>
      <c r="C30" s="469">
        <f>VLOOKUP(A29,[5]出!$B$11:$G$305,5,0)</f>
        <v>9808</v>
      </c>
      <c r="D30" s="469">
        <f>VLOOKUP(A29,[5]出!$B$11:$G$360,4,0)</f>
        <v>428967</v>
      </c>
      <c r="F30" s="469">
        <f>VLOOKUP(A29,[5]出同!$B$11:$J$350,7,0)</f>
        <v>180479</v>
      </c>
      <c r="G30" s="469">
        <f>VLOOKUP(A29,[5]出同!$B$11:$J$370,5,0)</f>
        <v>4985633</v>
      </c>
      <c r="I30" s="469">
        <f>VLOOKUP(A29,[5]進!$B$11:$G$360,5,0)</f>
        <v>1728</v>
      </c>
      <c r="J30" s="469">
        <f>VLOOKUP(A29,[5]進!$B$11:$G$350,4,0)</f>
        <v>198153</v>
      </c>
      <c r="L30" s="469">
        <f>VLOOKUP(A29,[5]進同!$B$11:$J$340,7,0)</f>
        <v>57626</v>
      </c>
      <c r="M30" s="469">
        <f>VLOOKUP(A29,[5]進同!$B$11:$J$350,5,0)</f>
        <v>3375865</v>
      </c>
    </row>
    <row r="31" spans="1:13">
      <c r="A31" s="329" t="s">
        <v>78</v>
      </c>
      <c r="B31" s="319"/>
      <c r="C31" s="469"/>
      <c r="D31" s="468"/>
      <c r="F31" s="469"/>
      <c r="G31" s="468"/>
      <c r="I31" s="469"/>
      <c r="J31" s="468"/>
      <c r="L31" s="469"/>
      <c r="M31" s="468"/>
    </row>
    <row r="32" spans="1:13">
      <c r="A32" s="332">
        <v>87149490009</v>
      </c>
      <c r="B32" s="473"/>
      <c r="C32" s="474"/>
      <c r="D32" s="470"/>
      <c r="E32" s="472"/>
      <c r="F32" s="474"/>
      <c r="G32" s="470"/>
      <c r="H32" s="472"/>
      <c r="I32" s="471"/>
      <c r="J32" s="470"/>
      <c r="K32" s="472"/>
      <c r="L32" s="471"/>
      <c r="M32" s="470"/>
    </row>
    <row r="33" spans="1:13">
      <c r="A33" s="329" t="s">
        <v>79</v>
      </c>
      <c r="B33" s="319"/>
      <c r="C33" s="469">
        <f>VLOOKUP(A32,[5]出!$B$11:$G$350,5,0)</f>
        <v>350096</v>
      </c>
      <c r="D33" s="469">
        <f>VLOOKUP(A32,[5]出!$B$11:$G$350,4,0)</f>
        <v>15178375</v>
      </c>
      <c r="F33" s="469">
        <f>VLOOKUP(A32,[5]出同!$B$11:$J$340,7,0)</f>
        <v>3729292</v>
      </c>
      <c r="G33" s="469">
        <f>VLOOKUP(A32,[5]出同!$B$11:$J$370,5,0)</f>
        <v>187182159</v>
      </c>
      <c r="I33" s="469">
        <f>VLOOKUP(A32,[5]進!$B$11:$G$630,5,0)</f>
        <v>99212</v>
      </c>
      <c r="J33" s="469">
        <f>VLOOKUP(A32,[5]進!$B$11:$G$340,4,0)</f>
        <v>5274783</v>
      </c>
      <c r="L33" s="469">
        <f>VLOOKUP(A32,[5]進同!$B$11:$J$530,7,0)</f>
        <v>1484956</v>
      </c>
      <c r="M33" s="469">
        <f>VLOOKUP(A32,[5]進同!$B$11:$J$350,5,0)</f>
        <v>109426346</v>
      </c>
    </row>
    <row r="34" spans="1:13">
      <c r="A34" s="329" t="s">
        <v>80</v>
      </c>
      <c r="B34" s="319"/>
      <c r="C34" s="469"/>
      <c r="D34" s="468"/>
      <c r="F34" s="469"/>
      <c r="G34" s="468"/>
      <c r="I34" s="469"/>
      <c r="J34" s="468"/>
      <c r="L34" s="469"/>
      <c r="M34" s="468"/>
    </row>
    <row r="35" spans="1:13">
      <c r="A35" s="332">
        <v>87149500007</v>
      </c>
      <c r="B35" s="473"/>
      <c r="C35" s="471"/>
      <c r="D35" s="470"/>
      <c r="E35" s="472"/>
      <c r="F35" s="471"/>
      <c r="G35" s="470"/>
      <c r="H35" s="472"/>
      <c r="I35" s="471"/>
      <c r="J35" s="470"/>
      <c r="K35" s="472"/>
      <c r="L35" s="471"/>
      <c r="M35" s="470"/>
    </row>
    <row r="36" spans="1:13">
      <c r="A36" s="329" t="s">
        <v>81</v>
      </c>
      <c r="B36" s="319"/>
      <c r="C36" s="469">
        <f>VLOOKUP(A35,[5]出!$B$11:$G$350,5,0)</f>
        <v>81861</v>
      </c>
      <c r="D36" s="469">
        <f>VLOOKUP(A35,[5]出!$B$11:$G$350,4,0)</f>
        <v>2268398</v>
      </c>
      <c r="F36" s="469">
        <f>VLOOKUP(A35,[5]出同!$B$11:$J$350,7,0)</f>
        <v>1307457</v>
      </c>
      <c r="G36" s="469">
        <f>VLOOKUP(A35,[5]出同!$B$11:$J$370,5,0)</f>
        <v>32659028</v>
      </c>
      <c r="I36" s="469">
        <f>VLOOKUP(A35,[5]進!$B$11:$G$360,5,0)</f>
        <v>44812</v>
      </c>
      <c r="J36" s="469">
        <f>VLOOKUP(A35,[5]進!$B$11:$G$340,4,0)</f>
        <v>739810</v>
      </c>
      <c r="L36" s="469">
        <f>VLOOKUP(A35,[5]進同!$B$11:$J$350,7,0)</f>
        <v>615156</v>
      </c>
      <c r="M36" s="469">
        <f>VLOOKUP(A35,[5]進同!$B$11:$J$350,5,0)</f>
        <v>10423335</v>
      </c>
    </row>
    <row r="37" spans="1:13">
      <c r="A37" s="332">
        <v>87149610004</v>
      </c>
      <c r="B37" s="473"/>
      <c r="C37" s="471"/>
      <c r="D37" s="470"/>
      <c r="E37" s="472"/>
      <c r="F37" s="471"/>
      <c r="G37" s="470"/>
      <c r="H37" s="472"/>
      <c r="I37" s="471"/>
      <c r="J37" s="470"/>
      <c r="K37" s="472"/>
      <c r="L37" s="471"/>
      <c r="M37" s="470"/>
    </row>
    <row r="38" spans="1:13">
      <c r="A38" s="329" t="s">
        <v>82</v>
      </c>
      <c r="B38" s="319"/>
      <c r="C38" s="469">
        <f>VLOOKUP(A37,[5]出!$B$11:$G$340,5,0)</f>
        <v>109739</v>
      </c>
      <c r="D38" s="469">
        <f>VLOOKUP(A37,[5]出!$B$11:$G$350,4,0)</f>
        <v>2620803</v>
      </c>
      <c r="F38" s="469">
        <f>VLOOKUP(A37,[5]出同!$B$11:$J$350,7,0)</f>
        <v>1772489</v>
      </c>
      <c r="G38" s="469">
        <f>VLOOKUP(A37,[5]出同!$B$11:$J$370,5,0)</f>
        <v>44051678</v>
      </c>
      <c r="I38" s="469">
        <f>VLOOKUP(A37,[5]進!$B$11:$G$230,5,0)</f>
        <v>23470</v>
      </c>
      <c r="J38" s="469">
        <f>VLOOKUP(A37,[5]進!$B$11:$G$340,4,0)</f>
        <v>174478</v>
      </c>
      <c r="L38" s="469">
        <f>VLOOKUP(A37,[5]進同!$B$11:$J$305,7,0)</f>
        <v>250838</v>
      </c>
      <c r="M38" s="469">
        <f>VLOOKUP(A37,[5]進同!$B$11:$J$350,5,0)</f>
        <v>4117620</v>
      </c>
    </row>
    <row r="39" spans="1:13">
      <c r="A39" s="332">
        <v>87149620002</v>
      </c>
      <c r="B39" s="473"/>
      <c r="C39" s="474"/>
      <c r="D39" s="470"/>
      <c r="E39" s="472"/>
      <c r="F39" s="474"/>
      <c r="G39" s="470"/>
      <c r="H39" s="472"/>
      <c r="I39" s="471"/>
      <c r="J39" s="470"/>
      <c r="K39" s="472"/>
      <c r="L39" s="471"/>
      <c r="M39" s="470"/>
    </row>
    <row r="40" spans="1:13">
      <c r="A40" s="329" t="s">
        <v>83</v>
      </c>
      <c r="B40" s="319"/>
      <c r="C40" s="469">
        <f>VLOOKUP(A39,[5]出!$B$11:$G$340,5,0)</f>
        <v>144820</v>
      </c>
      <c r="D40" s="469">
        <f>VLOOKUP(A39,[5]出!$B$11:$G$440,4,0)</f>
        <v>7278187</v>
      </c>
      <c r="F40" s="469">
        <f>VLOOKUP(A39,[5]出同!$B$11:$J$340,7,0)</f>
        <v>1772595</v>
      </c>
      <c r="G40" s="469">
        <f>VLOOKUP(A39,[5]出同!$B$11:$J$370,5,0)</f>
        <v>93821729</v>
      </c>
      <c r="I40" s="469">
        <f>VLOOKUP(A39,[5]進!$B$11:$G$350,5,0)</f>
        <v>60925</v>
      </c>
      <c r="J40" s="469">
        <f>VLOOKUP(A39,[5]進!$B$11:$G$340,4,0)</f>
        <v>2706443</v>
      </c>
      <c r="L40" s="469">
        <f>VLOOKUP(A39,[5]進同!$B$11:$J$530,7,0)</f>
        <v>1176994</v>
      </c>
      <c r="M40" s="469">
        <f>VLOOKUP(A39,[5]進同!$B$11:$J$350,5,0)</f>
        <v>39512760</v>
      </c>
    </row>
    <row r="41" spans="1:13">
      <c r="A41" s="329" t="s">
        <v>78</v>
      </c>
      <c r="B41" s="319"/>
      <c r="C41" s="469"/>
      <c r="D41" s="469"/>
      <c r="F41" s="469"/>
      <c r="G41" s="469"/>
      <c r="I41" s="469"/>
      <c r="J41" s="469"/>
      <c r="L41" s="469"/>
      <c r="M41" s="469"/>
    </row>
    <row r="42" spans="1:13">
      <c r="A42" s="332">
        <v>73151100209</v>
      </c>
      <c r="B42" s="473"/>
      <c r="C42" s="470"/>
      <c r="D42" s="474"/>
      <c r="E42" s="472"/>
      <c r="F42" s="471"/>
      <c r="G42" s="470"/>
      <c r="H42" s="472"/>
      <c r="I42" s="471"/>
      <c r="J42" s="470"/>
      <c r="K42" s="472"/>
      <c r="L42" s="471"/>
      <c r="M42" s="470"/>
    </row>
    <row r="43" spans="1:13">
      <c r="A43" s="329" t="s">
        <v>84</v>
      </c>
      <c r="B43" s="319"/>
      <c r="C43" s="469">
        <f>VLOOKUP(A42,[5]出!$B$11:$G$340,5,0)</f>
        <v>68860</v>
      </c>
      <c r="D43" s="469">
        <f>VLOOKUP(A42,[5]出!$B$11:$G$350,4,0)</f>
        <v>1518156</v>
      </c>
      <c r="F43" s="469">
        <f>VLOOKUP(A42,[5]出同!$B$11:$J$340,7,0)</f>
        <v>1165204</v>
      </c>
      <c r="G43" s="469">
        <f>VLOOKUP(A42,[5]出同!$B$11:$J$370,5,0)</f>
        <v>30456646</v>
      </c>
      <c r="I43" s="469">
        <f>VLOOKUP(A42,[5]進!$B$11:$G$350,5,0)</f>
        <v>49185</v>
      </c>
      <c r="J43" s="469">
        <f>VLOOKUP(A42,[5]進!$B$11:$G$340,4,0)</f>
        <v>426078</v>
      </c>
      <c r="L43" s="469">
        <f>VLOOKUP(A42,[5]進同!$B$11:$J$530,7,0)</f>
        <v>765992</v>
      </c>
      <c r="M43" s="469">
        <f>VLOOKUP(A42,[5]進同!$B$11:$J$350,5,0)</f>
        <v>9777047</v>
      </c>
    </row>
    <row r="44" spans="1:13">
      <c r="A44" s="329" t="s">
        <v>85</v>
      </c>
      <c r="B44" s="319"/>
      <c r="C44" s="469"/>
      <c r="D44" s="468"/>
      <c r="F44" s="469"/>
      <c r="G44" s="468"/>
      <c r="I44" s="469"/>
      <c r="J44" s="468"/>
      <c r="L44" s="469"/>
      <c r="M44" s="468"/>
    </row>
    <row r="45" spans="1:13">
      <c r="A45" s="332">
        <v>87149990111</v>
      </c>
      <c r="B45" s="473"/>
      <c r="C45" s="474"/>
      <c r="D45" s="470"/>
      <c r="E45" s="472"/>
      <c r="F45" s="474"/>
      <c r="G45" s="470"/>
      <c r="H45" s="472"/>
      <c r="I45" s="471"/>
      <c r="J45" s="470"/>
      <c r="K45" s="472"/>
      <c r="L45" s="471"/>
      <c r="M45" s="470"/>
    </row>
    <row r="46" spans="1:13">
      <c r="A46" s="333" t="s">
        <v>86</v>
      </c>
      <c r="B46" s="321"/>
      <c r="C46" s="469">
        <f>VLOOKUP(A45,[5]出!$B$11:$G$304,5,0)</f>
        <v>64852</v>
      </c>
      <c r="D46" s="469">
        <f>VLOOKUP(A45,[5]出!$B$11:$G$350,4,0)</f>
        <v>7168776</v>
      </c>
      <c r="F46" s="469">
        <f>VLOOKUP(A45,[5]出同!$B$11:$J$350,7,0)</f>
        <v>890186</v>
      </c>
      <c r="G46" s="469">
        <f>VLOOKUP(A45,[5]出同!$B$11:$J$380,5,0)</f>
        <v>101424525</v>
      </c>
      <c r="I46" s="469">
        <f>VLOOKUP(A45,[5]進!$B$11:$G$530,5,0)</f>
        <v>37988</v>
      </c>
      <c r="J46" s="469">
        <f>VLOOKUP(A45,[5]進!$B$11:$G$340,4,0)</f>
        <v>2534027</v>
      </c>
      <c r="L46" s="469">
        <f>VLOOKUP(A45,[5]進同!$B$11:$J$350,7,0)</f>
        <v>568195</v>
      </c>
      <c r="M46" s="469">
        <f>VLOOKUP(A45,[5]進同!$B$11:$J$540,5,0)</f>
        <v>56137619</v>
      </c>
    </row>
    <row r="47" spans="1:13">
      <c r="A47" s="329" t="s">
        <v>87</v>
      </c>
      <c r="B47" s="319"/>
      <c r="C47" s="469"/>
      <c r="D47" s="468"/>
      <c r="F47" s="469"/>
      <c r="G47" s="468"/>
      <c r="I47" s="469"/>
      <c r="J47" s="468"/>
      <c r="L47" s="469"/>
      <c r="M47" s="468"/>
    </row>
    <row r="48" spans="1:13">
      <c r="A48" s="332">
        <v>87149320906</v>
      </c>
      <c r="B48" s="473"/>
      <c r="C48" s="474"/>
      <c r="D48" s="470"/>
      <c r="E48" s="472"/>
      <c r="F48" s="474"/>
      <c r="G48" s="470"/>
      <c r="H48" s="472"/>
      <c r="I48" s="471"/>
      <c r="J48" s="470"/>
      <c r="K48" s="472"/>
      <c r="L48" s="471"/>
      <c r="M48" s="470"/>
    </row>
    <row r="49" spans="1:13">
      <c r="A49" s="329" t="s">
        <v>409</v>
      </c>
      <c r="B49" s="319"/>
      <c r="C49" s="469">
        <f>VLOOKUP(A48,[5]出!$B$11:$G$350,5,0)</f>
        <v>96195</v>
      </c>
      <c r="D49" s="469">
        <f>VLOOKUP(A48,[5]出!$B$11:$G$340,4,0)</f>
        <v>4525465</v>
      </c>
      <c r="F49" s="469">
        <f>VLOOKUP(A48,[5]出同!$B$11:$J$350,7,0)</f>
        <v>1914267</v>
      </c>
      <c r="G49" s="469">
        <f>VLOOKUP(A48,[5]出同!$B$11:$J$350,5,0)</f>
        <v>94788808</v>
      </c>
      <c r="I49" s="469">
        <f>VLOOKUP(A48,[5]進!$B$11:$G$30,5,0)</f>
        <v>18923</v>
      </c>
      <c r="J49" s="469">
        <f>VLOOKUP(A48,[5]進!$B$11:$G$530,4,0)</f>
        <v>827900</v>
      </c>
      <c r="L49" s="469">
        <f>VLOOKUP(A48,[5]進同!$B$11:$J$350,7,0)</f>
        <v>445485</v>
      </c>
      <c r="M49" s="469">
        <f>VLOOKUP(A48,[5]進同!$B$11:$J$530,5,0)</f>
        <v>17698047</v>
      </c>
    </row>
    <row r="50" spans="1:13">
      <c r="A50" s="332">
        <v>87149990139</v>
      </c>
      <c r="B50" s="473"/>
      <c r="C50" s="474"/>
      <c r="D50" s="470"/>
      <c r="E50" s="472"/>
      <c r="F50" s="474"/>
      <c r="G50" s="470"/>
      <c r="H50" s="472"/>
      <c r="I50" s="471"/>
      <c r="J50" s="470"/>
      <c r="K50" s="472"/>
      <c r="L50" s="471"/>
      <c r="M50" s="470"/>
    </row>
    <row r="51" spans="1:13">
      <c r="A51" s="329" t="s">
        <v>88</v>
      </c>
      <c r="B51" s="319"/>
      <c r="C51" s="469">
        <f>VLOOKUP(A50,[5]出!$B$11:$G$350,5,0)</f>
        <v>12300</v>
      </c>
      <c r="D51" s="469">
        <f>VLOOKUP(A50,[5]出!$B$11:$G$304,4,0)</f>
        <v>231321</v>
      </c>
      <c r="F51" s="469">
        <f>VLOOKUP(A50,[5]出同!$B$11:$J$350,7,0)</f>
        <v>211161</v>
      </c>
      <c r="G51" s="469">
        <f>VLOOKUP(A50,[5]出同!$B$11:$J$350,5,0)</f>
        <v>3895641</v>
      </c>
      <c r="I51" s="469">
        <f>VLOOKUP(A50,[5]進!$B$11:$G$350,5,0)</f>
        <v>9016</v>
      </c>
      <c r="J51" s="469">
        <f>VLOOKUP(A50,[5]進!$B$11:$G$340,4,0)</f>
        <v>85715</v>
      </c>
      <c r="L51" s="469">
        <f>VLOOKUP(A50,[5]進同!$B$11:$J$350,7,0)</f>
        <v>101782</v>
      </c>
      <c r="M51" s="469">
        <f>VLOOKUP(A50,[5]進同!$B$11:$J$350,5,0)</f>
        <v>1357339</v>
      </c>
    </row>
    <row r="52" spans="1:13">
      <c r="A52" s="332">
        <v>87149990148</v>
      </c>
      <c r="B52" s="473"/>
      <c r="C52" s="474"/>
      <c r="D52" s="470"/>
      <c r="E52" s="472"/>
      <c r="F52" s="474"/>
      <c r="G52" s="470"/>
      <c r="H52" s="472"/>
      <c r="I52" s="471"/>
      <c r="J52" s="470"/>
      <c r="K52" s="472"/>
      <c r="L52" s="471"/>
      <c r="M52" s="470"/>
    </row>
    <row r="53" spans="1:13">
      <c r="A53" s="334" t="s">
        <v>89</v>
      </c>
      <c r="B53" s="476"/>
      <c r="C53" s="469">
        <f>VLOOKUP(A52,[5]出!$B$11:$G$340,5,0)</f>
        <v>62958</v>
      </c>
      <c r="D53" s="469">
        <f>VLOOKUP(A52,[5]出!$B$11:$G$304,4,0)</f>
        <v>2385289</v>
      </c>
      <c r="F53" s="469">
        <f>VLOOKUP(A52,[5]出同!$B$11:$J$380,7,0)</f>
        <v>742684</v>
      </c>
      <c r="G53" s="469">
        <f>VLOOKUP(A52,[5]出同!$B$11:$J$350,5,0)</f>
        <v>28757953</v>
      </c>
      <c r="I53" s="469">
        <f>VLOOKUP(A52,[5]進!$B$11:$G$530,5,0)</f>
        <v>13904</v>
      </c>
      <c r="J53" s="469">
        <f>VLOOKUP(A52,[5]進!$B$11:$G$304,4,0)</f>
        <v>415134</v>
      </c>
      <c r="L53" s="469">
        <f>VLOOKUP(A52,[5]進同!$B$11:$J$530,7,0)</f>
        <v>155411</v>
      </c>
      <c r="M53" s="469">
        <f>VLOOKUP(A52,[5]進同!$B$11:$J$350,5,0)</f>
        <v>4603552</v>
      </c>
    </row>
    <row r="54" spans="1:13">
      <c r="A54" s="329" t="s">
        <v>90</v>
      </c>
      <c r="B54" s="319"/>
      <c r="C54" s="469"/>
      <c r="D54" s="468"/>
      <c r="F54" s="469"/>
      <c r="G54" s="468"/>
      <c r="I54" s="469"/>
      <c r="J54" s="475"/>
      <c r="L54" s="469"/>
      <c r="M54" s="468"/>
    </row>
    <row r="55" spans="1:13">
      <c r="A55" s="332">
        <v>87149990157</v>
      </c>
      <c r="B55" s="473"/>
      <c r="C55" s="474"/>
      <c r="D55" s="470"/>
      <c r="E55" s="472"/>
      <c r="F55" s="474"/>
      <c r="G55" s="470"/>
      <c r="H55" s="472"/>
      <c r="I55" s="471"/>
      <c r="J55" s="470"/>
      <c r="K55" s="472"/>
      <c r="L55" s="471"/>
      <c r="M55" s="470"/>
    </row>
    <row r="56" spans="1:13">
      <c r="A56" s="329" t="s">
        <v>91</v>
      </c>
      <c r="B56" s="319"/>
      <c r="C56" s="469">
        <f>VLOOKUP(A55,[5]出!$B$11:$G$340,5,0)</f>
        <v>79626</v>
      </c>
      <c r="D56" s="469">
        <f>VLOOKUP(A55,[5]出!$B$11:$G$303,4,0)</f>
        <v>3752913</v>
      </c>
      <c r="F56" s="469">
        <f>VLOOKUP(A55,[5]出同!$B$11:$J$340,7,0)</f>
        <v>1296407</v>
      </c>
      <c r="G56" s="469">
        <f>VLOOKUP(A55,[5]出同!$B$11:$J$530,5,0)</f>
        <v>57560185</v>
      </c>
      <c r="I56" s="469">
        <f>VLOOKUP(A55,[5]進!$B$11:$G$305,5,0)</f>
        <v>22321</v>
      </c>
      <c r="J56" s="469">
        <f>VLOOKUP(A55,[5]進!$B$11:$G$304,4,0)</f>
        <v>1051878</v>
      </c>
      <c r="L56" s="469">
        <f>VLOOKUP(A55,[5]進同!$B$11:$J$350,7,0)</f>
        <v>354051</v>
      </c>
      <c r="M56" s="469">
        <f>VLOOKUP(A55,[5]進同!$B$11:$J$350,5,0)</f>
        <v>13957960</v>
      </c>
    </row>
    <row r="57" spans="1:13">
      <c r="A57" s="329" t="s">
        <v>92</v>
      </c>
      <c r="B57" s="319"/>
      <c r="C57" s="469"/>
      <c r="D57" s="468"/>
      <c r="F57" s="469"/>
      <c r="G57" s="468"/>
      <c r="I57" s="469"/>
      <c r="J57" s="469"/>
      <c r="L57" s="469"/>
      <c r="M57" s="468"/>
    </row>
    <row r="58" spans="1:13">
      <c r="A58" s="332">
        <v>87149990166</v>
      </c>
      <c r="B58" s="473"/>
      <c r="C58" s="474"/>
      <c r="D58" s="470"/>
      <c r="E58" s="472"/>
      <c r="F58" s="474"/>
      <c r="G58" s="470"/>
      <c r="H58" s="472"/>
      <c r="I58" s="471"/>
      <c r="J58" s="471"/>
      <c r="K58" s="472"/>
      <c r="L58" s="471"/>
      <c r="M58" s="470"/>
    </row>
    <row r="59" spans="1:13">
      <c r="A59" s="329" t="s">
        <v>89</v>
      </c>
      <c r="B59" s="319"/>
      <c r="C59" s="469">
        <f>VLOOKUP(A58,[5]出!$B$11:$G$350,5,0)</f>
        <v>117375</v>
      </c>
      <c r="D59" s="469">
        <f>VLOOKUP(A58,[5]出!$B$11:$G$305,4,0)</f>
        <v>4365029</v>
      </c>
      <c r="F59" s="469">
        <f>VLOOKUP(A58,[5]出同!$B$11:$J$350,7,0)</f>
        <v>1455447</v>
      </c>
      <c r="G59" s="469">
        <f>VLOOKUP(A58,[5]出同!$B$11:$J$350,5,0)</f>
        <v>50937920</v>
      </c>
      <c r="I59" s="469">
        <f>VLOOKUP(A58,[5]進!$B$11:$G$340,5,0)</f>
        <v>26156</v>
      </c>
      <c r="J59" s="469">
        <f>VLOOKUP(A58,[5]進!$B$11:$G$304,4,0)</f>
        <v>2147345</v>
      </c>
      <c r="L59" s="469">
        <f>VLOOKUP(A58,[5]進同!$B$11:$J$350,7,0)</f>
        <v>396622</v>
      </c>
      <c r="M59" s="469">
        <f>VLOOKUP(A58,[5]進同!$B$11:$J$350,5,0)</f>
        <v>23250912</v>
      </c>
    </row>
    <row r="60" spans="1:13">
      <c r="A60" s="332">
        <v>40115000008</v>
      </c>
      <c r="B60" s="473"/>
      <c r="C60" s="471"/>
      <c r="D60" s="471"/>
      <c r="E60" s="472"/>
      <c r="F60" s="471"/>
      <c r="G60" s="471"/>
      <c r="H60" s="472"/>
      <c r="I60" s="471"/>
      <c r="J60" s="471"/>
      <c r="K60" s="472"/>
      <c r="L60" s="471"/>
      <c r="M60" s="470"/>
    </row>
    <row r="61" spans="1:13">
      <c r="A61" s="329" t="s">
        <v>93</v>
      </c>
      <c r="B61" s="319"/>
      <c r="C61" s="469">
        <f>VLOOKUP(A60,[5]出!$B$11:$G$350,5,0)</f>
        <v>310604</v>
      </c>
      <c r="D61" s="469">
        <f>VLOOKUP(A60,[5]出!$B$11:$G$305,4,0)</f>
        <v>5366428</v>
      </c>
      <c r="F61" s="469">
        <f>VLOOKUP(A60,[5]出同!$B$11:$J$350,7,0)</f>
        <v>4271928</v>
      </c>
      <c r="G61" s="469">
        <f>VLOOKUP(A60,[5]出同!$B$11:$J$350,5,0)</f>
        <v>75164468</v>
      </c>
      <c r="I61" s="469">
        <f>VLOOKUP(A60,[5]進!$B$11:$G$340,5,0)</f>
        <v>112196</v>
      </c>
      <c r="J61" s="469">
        <f>VLOOKUP(A60,[5]進!$B$11:$G$304,4,0)</f>
        <v>1305928</v>
      </c>
      <c r="L61" s="469">
        <f>VLOOKUP(A60,[5]進同!$B$11:$J$350,7,0)</f>
        <v>1923052</v>
      </c>
      <c r="M61" s="469">
        <f>VLOOKUP(A60,[5]進同!$B$11:$J$350,5,0)</f>
        <v>22144775</v>
      </c>
    </row>
    <row r="62" spans="1:13">
      <c r="A62" s="329" t="s">
        <v>94</v>
      </c>
      <c r="B62" s="319" t="s">
        <v>67</v>
      </c>
      <c r="C62" s="469">
        <f>VLOOKUP(A60,[5]出!$B$11:$G$350,6,0)</f>
        <v>476614</v>
      </c>
      <c r="D62" s="468" t="s">
        <v>70</v>
      </c>
      <c r="E62" s="13" t="s">
        <v>67</v>
      </c>
      <c r="F62" s="469">
        <f>VLOOKUP(A60,[5]出同!$B$11:$J$350,9,0)</f>
        <v>5871505</v>
      </c>
      <c r="G62" s="468" t="s">
        <v>70</v>
      </c>
      <c r="H62" s="13" t="s">
        <v>67</v>
      </c>
      <c r="I62" s="469">
        <f>VLOOKUP(A60,[5]進!$B$11:$G$340,6,0)</f>
        <v>165764</v>
      </c>
      <c r="J62" s="468" t="s">
        <v>70</v>
      </c>
      <c r="K62" s="322" t="s">
        <v>67</v>
      </c>
      <c r="L62" s="469">
        <f>VLOOKUP(A60,[5]進同!$B$11:$J$350,9,0)</f>
        <v>2778654</v>
      </c>
      <c r="M62" s="468" t="s">
        <v>70</v>
      </c>
    </row>
    <row r="63" spans="1:13">
      <c r="A63" s="332">
        <v>40132000003</v>
      </c>
      <c r="B63" s="473"/>
      <c r="C63" s="471"/>
      <c r="D63" s="471"/>
      <c r="E63" s="472"/>
      <c r="F63" s="471"/>
      <c r="G63" s="471"/>
      <c r="H63" s="472"/>
      <c r="I63" s="471"/>
      <c r="J63" s="471"/>
      <c r="K63" s="472"/>
      <c r="L63" s="471"/>
      <c r="M63" s="470"/>
    </row>
    <row r="64" spans="1:13">
      <c r="A64" s="329" t="s">
        <v>95</v>
      </c>
      <c r="B64" s="319"/>
      <c r="C64" s="469">
        <f>VLOOKUP(A63,[5]出!$B$11:$G$350,5,0)</f>
        <v>41357</v>
      </c>
      <c r="D64" s="469">
        <f>VLOOKUP(A63,[5]出!$B$11:$G$350,4,0)</f>
        <v>493865</v>
      </c>
      <c r="F64" s="469">
        <f>VLOOKUP(A63,[5]出同!$B$11:$J$350,7,0)</f>
        <v>574778</v>
      </c>
      <c r="G64" s="469">
        <f>VLOOKUP(A63,[5]出同!$B$11:$J$350,5,0)</f>
        <v>5967673</v>
      </c>
      <c r="I64" s="469">
        <f>VLOOKUP(A63,[5]進!$B$11:$G$340,5,0)</f>
        <v>16336</v>
      </c>
      <c r="J64" s="469">
        <f>VLOOKUP(A63,[5]進!$B$11:$G$304,4,0)</f>
        <v>104230</v>
      </c>
      <c r="L64" s="469">
        <f>VLOOKUP(A63,[5]進同!$B$11:$J$350,7,0)</f>
        <v>351580</v>
      </c>
      <c r="M64" s="469">
        <f>VLOOKUP(A63,[5]進同!$B$11:$J$350,5,0)</f>
        <v>2304976</v>
      </c>
    </row>
    <row r="65" spans="1:13">
      <c r="A65" s="329" t="s">
        <v>96</v>
      </c>
      <c r="B65" s="319" t="s">
        <v>67</v>
      </c>
      <c r="C65" s="469">
        <f>VLOOKUP(A63,[5]出!$B$11:$G$350,6,0)</f>
        <v>237461</v>
      </c>
      <c r="D65" s="468" t="s">
        <v>70</v>
      </c>
      <c r="E65" s="13" t="s">
        <v>67</v>
      </c>
      <c r="F65" s="469">
        <f>VLOOKUP(A63,[5]出同!$B$11:$J$350,9,0)</f>
        <v>3159511</v>
      </c>
      <c r="G65" s="468" t="s">
        <v>70</v>
      </c>
      <c r="H65" s="13" t="s">
        <v>67</v>
      </c>
      <c r="I65" s="469">
        <f>VLOOKUP(A63,[5]進!$B$11:$G$340,6,0)</f>
        <v>86972</v>
      </c>
      <c r="J65" s="468" t="s">
        <v>70</v>
      </c>
      <c r="K65" s="322" t="s">
        <v>67</v>
      </c>
      <c r="L65" s="469">
        <f>VLOOKUP(A63,[5]進同!$B$11:$J$350,9,0)</f>
        <v>1766539</v>
      </c>
      <c r="M65" s="468" t="s">
        <v>70</v>
      </c>
    </row>
    <row r="66" spans="1:13">
      <c r="A66" s="329"/>
      <c r="B66" s="319"/>
      <c r="D66" s="330"/>
      <c r="G66" s="330"/>
      <c r="J66" s="330"/>
      <c r="M66" s="330"/>
    </row>
    <row r="67" spans="1:13">
      <c r="A67" s="323" t="s">
        <v>97</v>
      </c>
      <c r="B67" s="335"/>
      <c r="C67" s="336">
        <f>SUM(C6:C66)-C65-C62-C20-C17-C11-C8-C14</f>
        <v>2566477</v>
      </c>
      <c r="D67" s="337">
        <f>SUM(D6:D66)</f>
        <v>121727441</v>
      </c>
      <c r="E67" s="336"/>
      <c r="F67" s="336">
        <f>SUM(F6:F66)-F65-F62-F20-F17-F11-F8-F14</f>
        <v>36077439</v>
      </c>
      <c r="G67" s="337">
        <f>SUM(G7:G66)</f>
        <v>1704592910</v>
      </c>
      <c r="H67" s="336"/>
      <c r="I67" s="336">
        <f>SUM(I6:I66)-I65-I62-I20-I17-I11-I8</f>
        <v>963060</v>
      </c>
      <c r="J67" s="337">
        <f>SUM(J6:J66)</f>
        <v>48804120</v>
      </c>
      <c r="K67" s="336"/>
      <c r="L67" s="336">
        <f>SUM(L6:L66)-L65-L62-L20-L17-L11-L8</f>
        <v>16589392</v>
      </c>
      <c r="M67" s="337">
        <f>SUM(M6:M66)</f>
        <v>824155932</v>
      </c>
    </row>
    <row r="68" spans="1:13">
      <c r="G68" s="5"/>
    </row>
    <row r="69" spans="1:13">
      <c r="A69" s="54" t="s">
        <v>32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22" customWidth="1"/>
    <col min="3" max="3" width="17.25" style="365" customWidth="1"/>
    <col min="4" max="4" width="15.75" style="366" customWidth="1"/>
    <col min="5" max="5" width="16.75" style="322" customWidth="1"/>
    <col min="6" max="6" width="16.875" style="365" customWidth="1"/>
    <col min="7" max="7" width="14.875" style="366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9" customFormat="1" ht="21">
      <c r="A1" s="338" t="s">
        <v>490</v>
      </c>
      <c r="B1" s="339"/>
      <c r="C1" s="340"/>
      <c r="D1" s="341"/>
      <c r="E1" s="339"/>
      <c r="F1" s="340"/>
      <c r="G1" s="341"/>
    </row>
    <row r="2" spans="1:7" s="319" customFormat="1">
      <c r="B2" s="320"/>
      <c r="C2" s="342"/>
      <c r="D2" s="343"/>
      <c r="E2" s="320"/>
      <c r="F2" s="342"/>
      <c r="G2" s="343"/>
    </row>
    <row r="3" spans="1:7" s="319" customFormat="1">
      <c r="A3" s="321"/>
      <c r="B3" s="320"/>
      <c r="C3" s="342"/>
      <c r="D3" s="343"/>
      <c r="E3" s="320"/>
      <c r="F3" s="342"/>
      <c r="G3" s="343"/>
    </row>
    <row r="4" spans="1:7">
      <c r="A4" s="42" t="s">
        <v>98</v>
      </c>
      <c r="B4" s="527" t="s">
        <v>424</v>
      </c>
      <c r="C4" s="70" t="s">
        <v>425</v>
      </c>
      <c r="D4" s="344" t="s">
        <v>37</v>
      </c>
      <c r="E4" s="72" t="s">
        <v>424</v>
      </c>
      <c r="F4" s="70" t="s">
        <v>425</v>
      </c>
      <c r="G4" s="205" t="s">
        <v>37</v>
      </c>
    </row>
    <row r="5" spans="1:7" s="319" customFormat="1" ht="18" customHeight="1">
      <c r="A5" s="45"/>
      <c r="B5" s="76" t="s">
        <v>99</v>
      </c>
      <c r="C5" s="75" t="s">
        <v>99</v>
      </c>
      <c r="D5" s="206" t="s">
        <v>2</v>
      </c>
      <c r="E5" s="76" t="s">
        <v>34</v>
      </c>
      <c r="F5" s="75" t="s">
        <v>100</v>
      </c>
      <c r="G5" s="206" t="s">
        <v>2</v>
      </c>
    </row>
    <row r="6" spans="1:7">
      <c r="A6" s="345">
        <v>85121010001</v>
      </c>
      <c r="B6" s="346"/>
      <c r="C6" s="347"/>
      <c r="D6" s="348"/>
      <c r="E6" s="346"/>
      <c r="F6" s="347"/>
      <c r="G6" s="349"/>
    </row>
    <row r="7" spans="1:7">
      <c r="A7" s="329" t="s">
        <v>65</v>
      </c>
      <c r="B7" s="350">
        <f>零件!F7</f>
        <v>96827</v>
      </c>
      <c r="C7" s="351">
        <f>VLOOKUP(A6,[5]出同!$B$11:$J$310,6,0)</f>
        <v>205101</v>
      </c>
      <c r="D7" s="513">
        <f>(B7-C7)/C7</f>
        <v>-0.52790576350188445</v>
      </c>
      <c r="E7" s="350">
        <f>零件!G7</f>
        <v>10832540</v>
      </c>
      <c r="F7" s="351">
        <f>VLOOKUP(A6,[5]出同!$B$11:$J$130,4,0)</f>
        <v>25741049</v>
      </c>
      <c r="G7" s="513">
        <f>(E7-F7)/F7</f>
        <v>-0.57917255042714066</v>
      </c>
    </row>
    <row r="8" spans="1:7">
      <c r="A8" s="329" t="s">
        <v>66</v>
      </c>
      <c r="B8" s="350"/>
      <c r="C8" s="354"/>
      <c r="D8" s="353"/>
      <c r="E8" s="354"/>
      <c r="F8" s="351"/>
      <c r="G8" s="354"/>
    </row>
    <row r="9" spans="1:7">
      <c r="A9" s="331">
        <v>85121020009</v>
      </c>
      <c r="B9" s="355"/>
      <c r="C9" s="355"/>
      <c r="D9" s="356"/>
      <c r="E9" s="355"/>
      <c r="F9" s="355"/>
      <c r="G9" s="355"/>
    </row>
    <row r="10" spans="1:7">
      <c r="A10" s="329" t="s">
        <v>68</v>
      </c>
      <c r="B10" s="350">
        <f>零件!F10</f>
        <v>37234</v>
      </c>
      <c r="C10" s="351">
        <f>VLOOKUP(A9,[5]出同!$B$11:$J$310,6,0)</f>
        <v>80824</v>
      </c>
      <c r="D10" s="514">
        <f>(B10-C10)/C10</f>
        <v>-0.53932000395922008</v>
      </c>
      <c r="E10" s="350">
        <f>零件!G10</f>
        <v>6450262</v>
      </c>
      <c r="F10" s="351">
        <f>VLOOKUP(A9,[5]出同!$B$11:$J$130,4,0)</f>
        <v>11844965</v>
      </c>
      <c r="G10" s="514">
        <f>(E10-F10)/F10</f>
        <v>-0.45544271342296072</v>
      </c>
    </row>
    <row r="11" spans="1:7">
      <c r="A11" s="329" t="s">
        <v>69</v>
      </c>
      <c r="B11" s="350"/>
      <c r="C11" s="354"/>
      <c r="D11" s="357"/>
      <c r="E11" s="354"/>
      <c r="F11" s="351"/>
      <c r="G11" s="354"/>
    </row>
    <row r="12" spans="1:7">
      <c r="A12" s="332">
        <v>87149120007</v>
      </c>
      <c r="B12" s="355"/>
      <c r="C12" s="355"/>
      <c r="D12" s="359"/>
      <c r="E12" s="360"/>
      <c r="F12" s="355"/>
      <c r="G12" s="360"/>
    </row>
    <row r="13" spans="1:7">
      <c r="A13" s="329" t="s">
        <v>71</v>
      </c>
      <c r="B13" s="350">
        <f>零件!F13</f>
        <v>10666192</v>
      </c>
      <c r="C13" s="351">
        <f>VLOOKUP(A12,[5]出同!$B$11:$J$310,6,0)</f>
        <v>20221716</v>
      </c>
      <c r="D13" s="513">
        <f>(B13-C13)/C13</f>
        <v>-0.47253774110960711</v>
      </c>
      <c r="E13" s="350">
        <f>零件!G13</f>
        <v>698748225</v>
      </c>
      <c r="F13" s="351">
        <f>VLOOKUP(A12,[5]出同!$B$11:$J$130,4,0)</f>
        <v>1143061198</v>
      </c>
      <c r="G13" s="514">
        <f>(E13-F13)/F13</f>
        <v>-0.38870444887588601</v>
      </c>
    </row>
    <row r="14" spans="1:7">
      <c r="A14" s="329" t="s">
        <v>72</v>
      </c>
      <c r="B14" s="357"/>
      <c r="C14" s="352"/>
      <c r="D14" s="350"/>
      <c r="E14" s="354"/>
      <c r="F14" s="351"/>
      <c r="G14" s="354"/>
    </row>
    <row r="15" spans="1:7">
      <c r="A15" s="332">
        <v>87149200108</v>
      </c>
      <c r="B15" s="355"/>
      <c r="C15" s="358"/>
      <c r="D15" s="359"/>
      <c r="E15" s="360"/>
      <c r="F15" s="361"/>
      <c r="G15" s="360"/>
    </row>
    <row r="16" spans="1:7">
      <c r="A16" s="329" t="s">
        <v>73</v>
      </c>
      <c r="B16" s="350">
        <f>零件!F16</f>
        <v>1623086</v>
      </c>
      <c r="C16" s="351">
        <f>VLOOKUP(A15,[5]出同!$B$11:$J$305,6,0)</f>
        <v>2485837</v>
      </c>
      <c r="D16" s="514">
        <f>(B16-C16)/C16</f>
        <v>-0.34706660171201892</v>
      </c>
      <c r="E16" s="350">
        <f>零件!G16</f>
        <v>35857188</v>
      </c>
      <c r="F16" s="351">
        <f>VLOOKUP(A15,[5]出同!$B$11:$J$305,4,0)</f>
        <v>53237420</v>
      </c>
      <c r="G16" s="513">
        <f>(E16-F16)/F16</f>
        <v>-0.3264664591184171</v>
      </c>
    </row>
    <row r="17" spans="1:7">
      <c r="A17" s="329"/>
      <c r="B17" s="350"/>
      <c r="C17" s="352"/>
      <c r="D17" s="350"/>
      <c r="E17" s="354"/>
      <c r="F17" s="351"/>
      <c r="G17" s="354"/>
    </row>
    <row r="18" spans="1:7">
      <c r="A18" s="332">
        <v>87149200206</v>
      </c>
      <c r="B18" s="355"/>
      <c r="C18" s="358"/>
      <c r="D18" s="359"/>
      <c r="E18" s="360"/>
      <c r="F18" s="361"/>
      <c r="G18" s="360"/>
    </row>
    <row r="19" spans="1:7">
      <c r="A19" s="329" t="s">
        <v>57</v>
      </c>
      <c r="B19" s="350">
        <f>零件!F19</f>
        <v>797798</v>
      </c>
      <c r="C19" s="351">
        <f>VLOOKUP(A18,[5]出同!$B$11:$J$340,6,0)</f>
        <v>1870265</v>
      </c>
      <c r="D19" s="514">
        <f>(B19-C19)/C19</f>
        <v>-0.57343050316399014</v>
      </c>
      <c r="E19" s="350">
        <f>零件!G19</f>
        <v>10433705</v>
      </c>
      <c r="F19" s="351">
        <f>VLOOKUP(A18,[5]出同!$B$11:$J$350,4,0)</f>
        <v>20417670</v>
      </c>
      <c r="G19" s="514">
        <f>(E19-F19)/F19</f>
        <v>-0.48898650041851005</v>
      </c>
    </row>
    <row r="20" spans="1:7">
      <c r="A20" s="329"/>
      <c r="B20" s="350"/>
      <c r="C20" s="352"/>
      <c r="D20" s="350"/>
      <c r="E20" s="354"/>
      <c r="F20" s="351"/>
      <c r="G20" s="354"/>
    </row>
    <row r="21" spans="1:7">
      <c r="A21" s="332">
        <v>87149200304</v>
      </c>
      <c r="B21" s="355"/>
      <c r="C21" s="358"/>
      <c r="D21" s="359"/>
      <c r="E21" s="360"/>
      <c r="F21" s="361"/>
      <c r="G21" s="360"/>
    </row>
    <row r="22" spans="1:7">
      <c r="A22" s="329" t="s">
        <v>58</v>
      </c>
      <c r="B22" s="350">
        <f>零件!F22</f>
        <v>688733</v>
      </c>
      <c r="C22" s="351">
        <f>VLOOKUP(A21,[5]出同!$B$11:$J$350,6,0)</f>
        <v>1076744</v>
      </c>
      <c r="D22" s="513">
        <f>(B22-C22)/C22</f>
        <v>-0.36035585060144287</v>
      </c>
      <c r="E22" s="350">
        <f>零件!G22</f>
        <v>82757047</v>
      </c>
      <c r="F22" s="351">
        <f>VLOOKUP(A21,[5]出同!$B$11:$J$350,4,0)</f>
        <v>101817130</v>
      </c>
      <c r="G22" s="514">
        <f>(E22-F22)/F22</f>
        <v>-0.1871991775843613</v>
      </c>
    </row>
    <row r="23" spans="1:7">
      <c r="A23" s="332">
        <v>87149310007</v>
      </c>
      <c r="B23" s="355"/>
      <c r="C23" s="358"/>
      <c r="D23" s="359"/>
      <c r="E23" s="360"/>
      <c r="F23" s="361"/>
      <c r="G23" s="360"/>
    </row>
    <row r="24" spans="1:7">
      <c r="A24" s="329" t="s">
        <v>74</v>
      </c>
      <c r="B24" s="350">
        <f>零件!F24</f>
        <v>862236</v>
      </c>
      <c r="C24" s="351">
        <f>VLOOKUP(A23,[5]出同!$B$11:$J$350,6,0)</f>
        <v>1779438</v>
      </c>
      <c r="D24" s="514">
        <f>(B24-C24)/C24</f>
        <v>-0.51544476402099992</v>
      </c>
      <c r="E24" s="350">
        <f>零件!G24</f>
        <v>47102656</v>
      </c>
      <c r="F24" s="351">
        <f>VLOOKUP(A23,[5]出同!$B$11:$J$340,4,0)</f>
        <v>99083454</v>
      </c>
      <c r="G24" s="514">
        <f>(E24-F24)/F24</f>
        <v>-0.52461632998785046</v>
      </c>
    </row>
    <row r="25" spans="1:7">
      <c r="A25" s="329" t="s">
        <v>101</v>
      </c>
      <c r="B25" s="350"/>
      <c r="C25" s="352"/>
      <c r="D25" s="514"/>
      <c r="E25" s="354"/>
      <c r="F25" s="351"/>
      <c r="G25" s="514"/>
    </row>
    <row r="26" spans="1:7">
      <c r="A26" s="332">
        <v>87149320103</v>
      </c>
      <c r="B26" s="355"/>
      <c r="C26" s="545"/>
      <c r="D26" s="549"/>
      <c r="E26" s="547"/>
      <c r="F26" s="548"/>
      <c r="G26" s="549"/>
    </row>
    <row r="27" spans="1:7">
      <c r="A27" s="329" t="s">
        <v>408</v>
      </c>
      <c r="B27" s="350">
        <f>零件!F28</f>
        <v>20959</v>
      </c>
      <c r="C27" s="351">
        <f>VLOOKUP(A26,[5]出同!$B$11:$J$350,6,0)</f>
        <v>41439</v>
      </c>
      <c r="D27" s="514">
        <f t="shared" ref="D27" si="0">(B27-C27)/C27</f>
        <v>-0.49422042037693958</v>
      </c>
      <c r="E27" s="350">
        <f>零件!G28</f>
        <v>757241</v>
      </c>
      <c r="F27" s="351">
        <f>VLOOKUP(A26,[5]出同!$B$11:$J$350,4,0)</f>
        <v>1444712</v>
      </c>
      <c r="G27" s="514">
        <f t="shared" ref="G27" si="1">(E27-F27)/F27</f>
        <v>-0.4758533188621677</v>
      </c>
    </row>
    <row r="28" spans="1:7">
      <c r="A28" s="332">
        <v>87149410006</v>
      </c>
      <c r="B28" s="355"/>
      <c r="C28" s="358"/>
      <c r="D28" s="359"/>
      <c r="E28" s="360"/>
      <c r="F28" s="361"/>
      <c r="G28" s="360"/>
    </row>
    <row r="29" spans="1:7">
      <c r="A29" s="329" t="s">
        <v>77</v>
      </c>
      <c r="B29" s="350">
        <f>零件!F30</f>
        <v>180479</v>
      </c>
      <c r="C29" s="351">
        <f>VLOOKUP(A28,[5]出同!$B$11:$J$305,6,0)</f>
        <v>369580</v>
      </c>
      <c r="D29" s="514">
        <f>(B29-C29)/C29</f>
        <v>-0.51166459223983984</v>
      </c>
      <c r="E29" s="350">
        <f>零件!G30</f>
        <v>4985633</v>
      </c>
      <c r="F29" s="351">
        <f>VLOOKUP(A28,[5]出同!$B$11:$J$350,4,0)</f>
        <v>9131210</v>
      </c>
      <c r="G29" s="513">
        <f>(E29-F29)/F29</f>
        <v>-0.45400083888115594</v>
      </c>
    </row>
    <row r="30" spans="1:7">
      <c r="A30" s="329" t="s">
        <v>78</v>
      </c>
      <c r="B30" s="350"/>
      <c r="C30" s="352"/>
      <c r="D30" s="350"/>
      <c r="E30" s="354"/>
      <c r="F30" s="351"/>
      <c r="G30" s="354"/>
    </row>
    <row r="31" spans="1:7">
      <c r="A31" s="332">
        <v>87149490009</v>
      </c>
      <c r="B31" s="355"/>
      <c r="C31" s="358"/>
      <c r="D31" s="359"/>
      <c r="E31" s="360"/>
      <c r="F31" s="361"/>
      <c r="G31" s="360"/>
    </row>
    <row r="32" spans="1:7">
      <c r="A32" s="329" t="s">
        <v>79</v>
      </c>
      <c r="B32" s="350">
        <f>零件!F33</f>
        <v>3729292</v>
      </c>
      <c r="C32" s="351">
        <f>VLOOKUP(A31,[5]出同!$B$11:$J$350,6,0)</f>
        <v>9939030</v>
      </c>
      <c r="D32" s="513">
        <f>(B32-C32)/C32</f>
        <v>-0.62478310257640834</v>
      </c>
      <c r="E32" s="350">
        <f>零件!G33</f>
        <v>187182159</v>
      </c>
      <c r="F32" s="351">
        <f>VLOOKUP(A31,[5]出同!$B$11:$J$305,4,0)</f>
        <v>426602618</v>
      </c>
      <c r="G32" s="514">
        <f>(E32-F32)/F32</f>
        <v>-0.56122594868838804</v>
      </c>
    </row>
    <row r="33" spans="1:7">
      <c r="A33" s="329" t="s">
        <v>80</v>
      </c>
      <c r="B33" s="350"/>
      <c r="C33" s="352"/>
      <c r="D33" s="350"/>
      <c r="E33" s="354"/>
      <c r="F33" s="351"/>
      <c r="G33" s="354"/>
    </row>
    <row r="34" spans="1:7">
      <c r="A34" s="332">
        <v>87149500007</v>
      </c>
      <c r="B34" s="359"/>
      <c r="C34" s="358"/>
      <c r="D34" s="359"/>
      <c r="E34" s="360"/>
      <c r="F34" s="361"/>
      <c r="G34" s="360"/>
    </row>
    <row r="35" spans="1:7">
      <c r="A35" s="329" t="s">
        <v>81</v>
      </c>
      <c r="B35" s="350">
        <f>零件!F36</f>
        <v>1307457</v>
      </c>
      <c r="C35" s="351">
        <f>VLOOKUP(A34,[5]出同!$B$11:$J$350,6,0)</f>
        <v>2509982</v>
      </c>
      <c r="D35" s="514">
        <f>(B35-C35)/C35</f>
        <v>-0.47909706125382573</v>
      </c>
      <c r="E35" s="350">
        <f>零件!G36</f>
        <v>32659028</v>
      </c>
      <c r="F35" s="351">
        <f>VLOOKUP(A34,[5]出同!$B$11:$J$350,4,0)</f>
        <v>59021350</v>
      </c>
      <c r="G35" s="514">
        <f>(E35-F35)/F35</f>
        <v>-0.44665738753857714</v>
      </c>
    </row>
    <row r="36" spans="1:7">
      <c r="A36" s="332">
        <v>87149610004</v>
      </c>
      <c r="B36" s="359"/>
      <c r="C36" s="358"/>
      <c r="D36" s="359"/>
      <c r="E36" s="360"/>
      <c r="F36" s="361"/>
      <c r="G36" s="360"/>
    </row>
    <row r="37" spans="1:7">
      <c r="A37" s="329" t="s">
        <v>82</v>
      </c>
      <c r="B37" s="350">
        <f>零件!F38</f>
        <v>1772489</v>
      </c>
      <c r="C37" s="351">
        <f>VLOOKUP(A36,[5]出同!$B$11:$J$340,6,0)</f>
        <v>4407479</v>
      </c>
      <c r="D37" s="514">
        <f>(B37-C37)/C37</f>
        <v>-0.5978451627336171</v>
      </c>
      <c r="E37" s="350">
        <f>零件!G38</f>
        <v>44051678</v>
      </c>
      <c r="F37" s="351">
        <f>VLOOKUP(A36,[5]出同!$B$11:$J$350,4,0)</f>
        <v>99931735</v>
      </c>
      <c r="G37" s="514">
        <f>(E37-F37)/F37</f>
        <v>-0.55918229579422396</v>
      </c>
    </row>
    <row r="38" spans="1:7">
      <c r="A38" s="332">
        <v>87149620002</v>
      </c>
      <c r="B38" s="355"/>
      <c r="C38" s="358"/>
      <c r="D38" s="359"/>
      <c r="E38" s="360"/>
      <c r="F38" s="361"/>
      <c r="G38" s="360"/>
    </row>
    <row r="39" spans="1:7">
      <c r="A39" s="329" t="s">
        <v>83</v>
      </c>
      <c r="B39" s="350">
        <f>零件!F40</f>
        <v>1772595</v>
      </c>
      <c r="C39" s="351">
        <f>VLOOKUP(A38,[5]出同!$B$11:$J$430,6,0)</f>
        <v>3733703</v>
      </c>
      <c r="D39" s="513">
        <f>(B39-C39)/C39</f>
        <v>-0.52524477710198159</v>
      </c>
      <c r="E39" s="350">
        <f>零件!G40</f>
        <v>93821729</v>
      </c>
      <c r="F39" s="351">
        <f>VLOOKUP(A38,[5]出同!$B$11:$J$305,4,0)</f>
        <v>155436261</v>
      </c>
      <c r="G39" s="513">
        <f>(E39-F39)/F39</f>
        <v>-0.3963974146290099</v>
      </c>
    </row>
    <row r="40" spans="1:7">
      <c r="A40" s="329" t="s">
        <v>78</v>
      </c>
      <c r="B40" s="350"/>
      <c r="C40" s="354"/>
      <c r="D40" s="350"/>
      <c r="E40" s="354"/>
      <c r="F40" s="351"/>
      <c r="G40" s="354"/>
    </row>
    <row r="41" spans="1:7">
      <c r="A41" s="332">
        <v>73151100209</v>
      </c>
      <c r="B41" s="355"/>
      <c r="C41" s="359"/>
      <c r="D41" s="359"/>
      <c r="E41" s="360"/>
      <c r="F41" s="360"/>
      <c r="G41" s="360"/>
    </row>
    <row r="42" spans="1:7">
      <c r="A42" s="329" t="s">
        <v>84</v>
      </c>
      <c r="B42" s="350">
        <f>零件!F43</f>
        <v>1165204</v>
      </c>
      <c r="C42" s="351">
        <f>VLOOKUP(A41,[5]出同!$B$11:$J$430,6,0)</f>
        <v>2744468</v>
      </c>
      <c r="D42" s="514">
        <f>(B42-C42)/C42</f>
        <v>-0.57543538492706059</v>
      </c>
      <c r="E42" s="350">
        <f>零件!G43</f>
        <v>30456646</v>
      </c>
      <c r="F42" s="351">
        <f>VLOOKUP(A41,[5]出同!$B$11:$J$305,4,0)</f>
        <v>63913441</v>
      </c>
      <c r="G42" s="514">
        <f>(E42-F42)/F42</f>
        <v>-0.52347040742181283</v>
      </c>
    </row>
    <row r="43" spans="1:7">
      <c r="A43" s="329" t="s">
        <v>85</v>
      </c>
      <c r="B43" s="350"/>
      <c r="C43" s="352"/>
      <c r="D43" s="350"/>
      <c r="E43" s="354"/>
      <c r="F43" s="351"/>
      <c r="G43" s="354"/>
    </row>
    <row r="44" spans="1:7">
      <c r="A44" s="332">
        <v>87149990111</v>
      </c>
      <c r="B44" s="355"/>
      <c r="C44" s="358"/>
      <c r="D44" s="359"/>
      <c r="E44" s="360"/>
      <c r="F44" s="361"/>
      <c r="G44" s="360"/>
    </row>
    <row r="45" spans="1:7">
      <c r="A45" s="333" t="s">
        <v>86</v>
      </c>
      <c r="B45" s="350">
        <f>零件!F46</f>
        <v>890186</v>
      </c>
      <c r="C45" s="351">
        <f>VLOOKUP(A44,[5]出同!$B$11:$J$305,6,0)</f>
        <v>2190514</v>
      </c>
      <c r="D45" s="513">
        <f>(B45-C45)/C45</f>
        <v>-0.59361775364138281</v>
      </c>
      <c r="E45" s="350">
        <f>零件!G46</f>
        <v>101424525</v>
      </c>
      <c r="F45" s="351">
        <f>VLOOKUP(A44,[5]出同!$B$11:$J$305,4,0)</f>
        <v>179628182</v>
      </c>
      <c r="G45" s="513">
        <f>(E45-F45)/F45</f>
        <v>-0.43536407332787014</v>
      </c>
    </row>
    <row r="46" spans="1:7">
      <c r="A46" s="329" t="s">
        <v>87</v>
      </c>
      <c r="B46" s="350"/>
      <c r="C46" s="352"/>
      <c r="D46" s="513"/>
      <c r="E46" s="354"/>
      <c r="F46" s="351"/>
      <c r="G46" s="354"/>
    </row>
    <row r="47" spans="1:7">
      <c r="A47" s="332">
        <v>87149320906</v>
      </c>
      <c r="B47" s="355"/>
      <c r="C47" s="545"/>
      <c r="D47" s="546"/>
      <c r="E47" s="547"/>
      <c r="F47" s="548"/>
      <c r="G47" s="360"/>
    </row>
    <row r="48" spans="1:7">
      <c r="A48" s="329" t="s">
        <v>411</v>
      </c>
      <c r="B48" s="350">
        <f>零件!F49</f>
        <v>1914267</v>
      </c>
      <c r="C48" s="351">
        <f>VLOOKUP(A47,[5]出同!$B$11:$J$355,6,0)</f>
        <v>3044667</v>
      </c>
      <c r="D48" s="513">
        <f t="shared" ref="D48" si="2">(B48-C48)/C48</f>
        <v>-0.3712721292673386</v>
      </c>
      <c r="E48" s="350">
        <f>零件!G49</f>
        <v>94788808</v>
      </c>
      <c r="F48" s="351">
        <f>VLOOKUP(A47,[5]出同!$B$11:$J$305,4,0)</f>
        <v>127068555</v>
      </c>
      <c r="G48" s="514">
        <f t="shared" ref="G48" si="3">(E48-F48)/F48</f>
        <v>-0.25403410780896973</v>
      </c>
    </row>
    <row r="49" spans="1:7">
      <c r="A49" s="332">
        <v>87149990139</v>
      </c>
      <c r="B49" s="355"/>
      <c r="C49" s="358"/>
      <c r="D49" s="359"/>
      <c r="E49" s="360"/>
      <c r="F49" s="361"/>
      <c r="G49" s="549"/>
    </row>
    <row r="50" spans="1:7">
      <c r="A50" s="329" t="s">
        <v>88</v>
      </c>
      <c r="B50" s="350">
        <f>零件!F51</f>
        <v>211161</v>
      </c>
      <c r="C50" s="351">
        <f>VLOOKUP(A49,[5]出同!$B$11:$J$350,6,0)</f>
        <v>334403</v>
      </c>
      <c r="D50" s="514">
        <f>(B50-C50)/C50</f>
        <v>-0.3685433444077954</v>
      </c>
      <c r="E50" s="350">
        <f>零件!G51</f>
        <v>3895641</v>
      </c>
      <c r="F50" s="351">
        <f>VLOOKUP(A49,[5]出同!$B$11:$J$550,4,0)</f>
        <v>7864910</v>
      </c>
      <c r="G50" s="514">
        <f>(E50-F50)/F50</f>
        <v>-0.50468079100714436</v>
      </c>
    </row>
    <row r="51" spans="1:7">
      <c r="A51" s="332">
        <v>87149990148</v>
      </c>
      <c r="B51" s="355"/>
      <c r="C51" s="358"/>
      <c r="D51" s="359"/>
      <c r="E51" s="360"/>
      <c r="F51" s="361"/>
      <c r="G51" s="360"/>
    </row>
    <row r="52" spans="1:7">
      <c r="A52" s="334" t="s">
        <v>89</v>
      </c>
      <c r="B52" s="350">
        <f>零件!F53</f>
        <v>742684</v>
      </c>
      <c r="C52" s="351">
        <f>VLOOKUP(A51,[5]出同!$B$11:$J$350,6,0)</f>
        <v>1497058</v>
      </c>
      <c r="D52" s="514">
        <f>(B52-C52)/C52</f>
        <v>-0.5039043243481548</v>
      </c>
      <c r="E52" s="350">
        <f>零件!G53</f>
        <v>28757953</v>
      </c>
      <c r="F52" s="351">
        <f>VLOOKUP(A51,[5]出同!$B$11:$J$305,4,0)</f>
        <v>51414424</v>
      </c>
      <c r="G52" s="514">
        <f>(E52-F52)/F52</f>
        <v>-0.44066371335794796</v>
      </c>
    </row>
    <row r="53" spans="1:7">
      <c r="A53" s="329" t="s">
        <v>90</v>
      </c>
      <c r="B53" s="350"/>
      <c r="C53" s="352"/>
      <c r="D53" s="350"/>
      <c r="E53" s="354"/>
      <c r="F53" s="351"/>
      <c r="G53" s="354"/>
    </row>
    <row r="54" spans="1:7">
      <c r="A54" s="332">
        <v>87149990157</v>
      </c>
      <c r="B54" s="355"/>
      <c r="C54" s="358"/>
      <c r="D54" s="359"/>
      <c r="E54" s="360"/>
      <c r="F54" s="361"/>
      <c r="G54" s="360"/>
    </row>
    <row r="55" spans="1:7">
      <c r="A55" s="329" t="s">
        <v>91</v>
      </c>
      <c r="B55" s="350">
        <f>零件!F56</f>
        <v>1296407</v>
      </c>
      <c r="C55" s="351">
        <f>VLOOKUP(A54,[5]出同!$B$11:$J$305,6,0)</f>
        <v>2778347</v>
      </c>
      <c r="D55" s="514">
        <f>(B55-C55)/C55</f>
        <v>-0.53338909790605704</v>
      </c>
      <c r="E55" s="350">
        <f>零件!G56</f>
        <v>57560185</v>
      </c>
      <c r="F55" s="351">
        <f>VLOOKUP(A54,[5]出同!$B$11:$J$305,4,0)</f>
        <v>124750657</v>
      </c>
      <c r="G55" s="514">
        <f>(E55-F55)/F55</f>
        <v>-0.53859814141099072</v>
      </c>
    </row>
    <row r="56" spans="1:7">
      <c r="A56" s="329" t="s">
        <v>92</v>
      </c>
      <c r="B56" s="350"/>
      <c r="C56" s="352"/>
      <c r="D56" s="350"/>
      <c r="E56" s="354"/>
      <c r="F56" s="351"/>
      <c r="G56" s="354"/>
    </row>
    <row r="57" spans="1:7">
      <c r="A57" s="332">
        <v>87149990166</v>
      </c>
      <c r="B57" s="355"/>
      <c r="C57" s="358"/>
      <c r="D57" s="359"/>
      <c r="E57" s="360"/>
      <c r="F57" s="361"/>
      <c r="G57" s="360"/>
    </row>
    <row r="58" spans="1:7">
      <c r="A58" s="329" t="s">
        <v>89</v>
      </c>
      <c r="B58" s="350">
        <f>零件!F59</f>
        <v>1455447</v>
      </c>
      <c r="C58" s="351">
        <f>VLOOKUP(A57,[5]出同!$B$11:$J$350,6,0)</f>
        <v>2594642</v>
      </c>
      <c r="D58" s="514">
        <f>(B58-C58)/C58</f>
        <v>-0.43905671765122123</v>
      </c>
      <c r="E58" s="350">
        <f>零件!G59</f>
        <v>50937920</v>
      </c>
      <c r="F58" s="351">
        <f>VLOOKUP(A57,[5]出同!$B$11:$J$340,4,0)</f>
        <v>79159645</v>
      </c>
      <c r="G58" s="514">
        <f>(E58-F58)/F58</f>
        <v>-0.35651656851164504</v>
      </c>
    </row>
    <row r="59" spans="1:7">
      <c r="A59" s="332">
        <v>40115000008</v>
      </c>
      <c r="B59" s="359"/>
      <c r="C59" s="359"/>
      <c r="D59" s="359"/>
      <c r="E59" s="360"/>
      <c r="F59" s="360"/>
      <c r="G59" s="360"/>
    </row>
    <row r="60" spans="1:7">
      <c r="A60" s="329" t="s">
        <v>93</v>
      </c>
      <c r="B60" s="350">
        <f>零件!F61</f>
        <v>4271928</v>
      </c>
      <c r="C60" s="351">
        <f>VLOOKUP(A59,[5]出同!$B$11:$J$350,6,0)</f>
        <v>8579404</v>
      </c>
      <c r="D60" s="514">
        <f>(B60-C60)/C60</f>
        <v>-0.50207170568025472</v>
      </c>
      <c r="E60" s="350">
        <f>零件!G61</f>
        <v>75164468</v>
      </c>
      <c r="F60" s="351">
        <f>VLOOKUP(A59,[5]出同!$B$11:$J$340,4,0)</f>
        <v>148655901</v>
      </c>
      <c r="G60" s="514">
        <f>(E60-F60)/F60</f>
        <v>-0.49437279317959937</v>
      </c>
    </row>
    <row r="61" spans="1:7">
      <c r="A61" s="329" t="s">
        <v>94</v>
      </c>
      <c r="B61" s="350"/>
      <c r="C61" s="350"/>
      <c r="D61" s="353"/>
      <c r="E61" s="354"/>
      <c r="F61" s="351"/>
      <c r="G61" s="354"/>
    </row>
    <row r="62" spans="1:7">
      <c r="A62" s="332">
        <v>40132000003</v>
      </c>
      <c r="B62" s="542"/>
      <c r="C62" s="359"/>
      <c r="D62" s="359"/>
      <c r="E62" s="360"/>
      <c r="F62" s="360"/>
      <c r="G62" s="360"/>
    </row>
    <row r="63" spans="1:7">
      <c r="A63" s="329" t="s">
        <v>95</v>
      </c>
      <c r="B63" s="350">
        <f>零件!F64</f>
        <v>574778</v>
      </c>
      <c r="C63" s="351">
        <f>VLOOKUP(A62,[5]出同!$B$11:$J$350,6,0)</f>
        <v>2091617</v>
      </c>
      <c r="D63" s="514">
        <f>(B63-C63)/C63</f>
        <v>-0.7251992119016053</v>
      </c>
      <c r="E63" s="350">
        <f>零件!G64</f>
        <v>5967673</v>
      </c>
      <c r="F63" s="351">
        <f>VLOOKUP(A62,[5]出同!$B$11:$J$340,4,0)</f>
        <v>22567174</v>
      </c>
      <c r="G63" s="514">
        <f>(E63-F63)/F63</f>
        <v>-0.7355595787048923</v>
      </c>
    </row>
    <row r="64" spans="1:7">
      <c r="A64" s="329" t="s">
        <v>96</v>
      </c>
      <c r="B64" s="350"/>
      <c r="C64" s="352"/>
      <c r="D64" s="353"/>
      <c r="E64" s="354"/>
      <c r="F64" s="351"/>
      <c r="G64" s="354"/>
    </row>
    <row r="65" spans="1:7">
      <c r="A65" s="363" t="s">
        <v>97</v>
      </c>
      <c r="B65" s="364">
        <f>SUM(B6:B64)-B64-B61-B20-B17-B11-B8</f>
        <v>36077439</v>
      </c>
      <c r="C65" s="453">
        <f>SUM(C6:C64)</f>
        <v>74576258</v>
      </c>
      <c r="D65" s="512">
        <f>(B65-C65)/C65</f>
        <v>-0.51623425514323873</v>
      </c>
      <c r="E65" s="452">
        <f>SUM(E7:E64)</f>
        <v>1704592910</v>
      </c>
      <c r="F65" s="214">
        <f>SUM(F6:F64)</f>
        <v>3011793661</v>
      </c>
      <c r="G65" s="515">
        <f>(E65-F65)/F65</f>
        <v>-0.43402732661505528</v>
      </c>
    </row>
    <row r="66" spans="1:7">
      <c r="E66" s="5"/>
    </row>
    <row r="67" spans="1:7">
      <c r="A67" s="54" t="s">
        <v>32</v>
      </c>
    </row>
  </sheetData>
  <phoneticPr fontId="3" type="noConversion"/>
  <conditionalFormatting sqref="C41">
    <cfRule type="cellIs" dxfId="33" priority="11" operator="greaterThanOrEqual">
      <formula>0</formula>
    </cfRule>
    <cfRule type="cellIs" dxfId="32" priority="12" operator="lessThan">
      <formula>0</formula>
    </cfRule>
  </conditionalFormatting>
  <conditionalFormatting sqref="C59">
    <cfRule type="cellIs" dxfId="31" priority="9" operator="greaterThanOrEqual">
      <formula>0</formula>
    </cfRule>
    <cfRule type="cellIs" dxfId="30" priority="10" operator="lessThan">
      <formula>0</formula>
    </cfRule>
  </conditionalFormatting>
  <conditionalFormatting sqref="C62">
    <cfRule type="cellIs" dxfId="29" priority="7" operator="greaterThanOrEqual">
      <formula>0</formula>
    </cfRule>
    <cfRule type="cellIs" dxfId="28" priority="8" operator="lessThan">
      <formula>0</formula>
    </cfRule>
  </conditionalFormatting>
  <conditionalFormatting sqref="D1:D3 D6:D7 D9:D1048576">
    <cfRule type="cellIs" dxfId="27" priority="15" operator="greaterThanOrEqual">
      <formula>0</formula>
    </cfRule>
    <cfRule type="cellIs" dxfId="26" priority="16" operator="lessThan">
      <formula>0</formula>
    </cfRule>
  </conditionalFormatting>
  <conditionalFormatting sqref="F41">
    <cfRule type="cellIs" dxfId="25" priority="5" operator="greaterThanOrEqual">
      <formula>0</formula>
    </cfRule>
    <cfRule type="cellIs" dxfId="24" priority="6" operator="lessThan">
      <formula>0</formula>
    </cfRule>
  </conditionalFormatting>
  <conditionalFormatting sqref="F59">
    <cfRule type="cellIs" dxfId="23" priority="3" operator="greaterThanOrEqual">
      <formula>0</formula>
    </cfRule>
    <cfRule type="cellIs" dxfId="22" priority="4" operator="lessThan">
      <formula>0</formula>
    </cfRule>
  </conditionalFormatting>
  <conditionalFormatting sqref="F62">
    <cfRule type="cellIs" dxfId="21" priority="1" operator="greaterThanOrEqual">
      <formula>0</formula>
    </cfRule>
    <cfRule type="cellIs" dxfId="20" priority="2" operator="lessThan">
      <formula>0</formula>
    </cfRule>
  </conditionalFormatting>
  <conditionalFormatting sqref="G1:G3 G6:G1048576">
    <cfRule type="cellIs" dxfId="19" priority="13" operator="greaterThanOrEqual">
      <formula>0</formula>
    </cfRule>
    <cfRule type="cellIs" dxfId="18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67"/>
  <sheetViews>
    <sheetView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22" customWidth="1"/>
    <col min="3" max="3" width="17.25" style="365" customWidth="1"/>
    <col min="4" max="4" width="15.75" style="366" customWidth="1"/>
    <col min="5" max="5" width="16.75" style="322" customWidth="1"/>
    <col min="6" max="6" width="16.875" style="365" customWidth="1"/>
    <col min="7" max="7" width="14.875" style="366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9" customFormat="1" ht="21">
      <c r="A1" s="338" t="s">
        <v>491</v>
      </c>
      <c r="B1" s="339"/>
      <c r="C1" s="340"/>
      <c r="D1" s="341"/>
      <c r="E1" s="339"/>
      <c r="F1" s="340"/>
      <c r="G1" s="341"/>
    </row>
    <row r="2" spans="1:7" s="319" customFormat="1">
      <c r="B2" s="320"/>
      <c r="C2" s="342"/>
      <c r="D2" s="343"/>
      <c r="E2" s="320"/>
      <c r="F2" s="342"/>
      <c r="G2" s="343"/>
    </row>
    <row r="3" spans="1:7" s="319" customFormat="1">
      <c r="A3" s="321"/>
      <c r="B3" s="320"/>
      <c r="C3" s="342"/>
      <c r="D3" s="343"/>
      <c r="E3" s="320"/>
      <c r="F3" s="342"/>
      <c r="G3" s="343"/>
    </row>
    <row r="4" spans="1:7">
      <c r="A4" s="525" t="s">
        <v>98</v>
      </c>
      <c r="B4" s="527" t="s">
        <v>424</v>
      </c>
      <c r="C4" s="70" t="s">
        <v>425</v>
      </c>
      <c r="D4" s="529" t="s">
        <v>37</v>
      </c>
      <c r="E4" s="528" t="s">
        <v>424</v>
      </c>
      <c r="F4" s="526" t="s">
        <v>425</v>
      </c>
      <c r="G4" s="205" t="s">
        <v>37</v>
      </c>
    </row>
    <row r="5" spans="1:7" s="319" customFormat="1" ht="18" customHeight="1">
      <c r="A5" s="45"/>
      <c r="B5" s="76" t="s">
        <v>99</v>
      </c>
      <c r="C5" s="75" t="s">
        <v>99</v>
      </c>
      <c r="D5" s="206" t="s">
        <v>2</v>
      </c>
      <c r="E5" s="76" t="s">
        <v>34</v>
      </c>
      <c r="F5" s="75" t="s">
        <v>34</v>
      </c>
      <c r="G5" s="206" t="s">
        <v>2</v>
      </c>
    </row>
    <row r="6" spans="1:7">
      <c r="A6" s="345">
        <v>85121010001</v>
      </c>
      <c r="B6" s="346"/>
      <c r="C6" s="347"/>
      <c r="D6" s="348"/>
      <c r="E6" s="346"/>
      <c r="F6" s="347"/>
      <c r="G6" s="349"/>
    </row>
    <row r="7" spans="1:7">
      <c r="A7" s="329" t="s">
        <v>65</v>
      </c>
      <c r="B7" s="350">
        <f>零件!L7</f>
        <v>44485</v>
      </c>
      <c r="C7" s="351">
        <f>VLOOKUP(A6,[5]進同!$B$11:$J$130,6,0)</f>
        <v>80483</v>
      </c>
      <c r="D7" s="513">
        <f>(B7-C7)/C7</f>
        <v>-0.44727457972491086</v>
      </c>
      <c r="E7" s="350">
        <f>零件!M7</f>
        <v>2922862</v>
      </c>
      <c r="F7" s="351">
        <f>VLOOKUP(A6,[5]進同!$B$11:$J$350,4,0)</f>
        <v>4812690</v>
      </c>
      <c r="G7" s="513">
        <f>(E7-F7)/F7</f>
        <v>-0.39267602941390367</v>
      </c>
    </row>
    <row r="8" spans="1:7">
      <c r="A8" s="329" t="s">
        <v>66</v>
      </c>
      <c r="B8" s="350"/>
      <c r="C8" s="354"/>
      <c r="D8" s="353"/>
      <c r="E8" s="354"/>
      <c r="F8" s="351"/>
      <c r="G8" s="354"/>
    </row>
    <row r="9" spans="1:7">
      <c r="A9" s="331">
        <v>85121020009</v>
      </c>
      <c r="B9" s="355"/>
      <c r="C9" s="356"/>
      <c r="D9" s="356"/>
      <c r="E9" s="355"/>
      <c r="F9" s="355"/>
      <c r="G9" s="355"/>
    </row>
    <row r="10" spans="1:7">
      <c r="A10" s="329" t="s">
        <v>68</v>
      </c>
      <c r="B10" s="350">
        <f>零件!L10</f>
        <v>22426</v>
      </c>
      <c r="C10" s="351">
        <f>VLOOKUP(A9,[5]進同!$B$11:$J$130,6,0)</f>
        <v>38999</v>
      </c>
      <c r="D10" s="513">
        <f>(B10-C10)/C10</f>
        <v>-0.42495961434908586</v>
      </c>
      <c r="E10" s="350">
        <f>零件!M10</f>
        <v>1824531</v>
      </c>
      <c r="F10" s="351">
        <f>VLOOKUP(A9,[5]進同!$B$11:$J$350,4,0)</f>
        <v>2937674</v>
      </c>
      <c r="G10" s="514">
        <f>(E10-F10)/F10</f>
        <v>-0.37891985291764846</v>
      </c>
    </row>
    <row r="11" spans="1:7">
      <c r="A11" s="329" t="s">
        <v>69</v>
      </c>
      <c r="B11" s="350"/>
      <c r="C11" s="354"/>
      <c r="D11" s="357"/>
      <c r="E11" s="354"/>
      <c r="F11" s="351"/>
      <c r="G11" s="354"/>
    </row>
    <row r="12" spans="1:7">
      <c r="A12" s="332">
        <v>87149120007</v>
      </c>
      <c r="B12" s="355"/>
      <c r="C12" s="356"/>
      <c r="D12" s="359"/>
      <c r="E12" s="360"/>
      <c r="F12" s="355"/>
      <c r="G12" s="360"/>
    </row>
    <row r="13" spans="1:7">
      <c r="A13" s="329" t="s">
        <v>71</v>
      </c>
      <c r="B13" s="350">
        <f>零件!L13</f>
        <v>5646361</v>
      </c>
      <c r="C13" s="351">
        <f>VLOOKUP(A12,[5]進同!$B$11:$J$130,6,0)</f>
        <v>11519253</v>
      </c>
      <c r="D13" s="513">
        <f>(B13-C13)/C13</f>
        <v>-0.50983271224271232</v>
      </c>
      <c r="E13" s="350">
        <f>零件!M13</f>
        <v>381046351</v>
      </c>
      <c r="F13" s="351">
        <f>VLOOKUP(A12,[5]進同!$B$11:$J$350,4,0)</f>
        <v>527627735</v>
      </c>
      <c r="G13" s="513">
        <f>(E13-F13)/F13</f>
        <v>-0.27781212828017843</v>
      </c>
    </row>
    <row r="14" spans="1:7">
      <c r="A14" s="329" t="s">
        <v>72</v>
      </c>
      <c r="B14" s="357"/>
      <c r="C14" s="483"/>
      <c r="D14" s="350"/>
      <c r="E14" s="354"/>
      <c r="F14" s="351"/>
      <c r="G14" s="354"/>
    </row>
    <row r="15" spans="1:7">
      <c r="A15" s="332">
        <v>87149200108</v>
      </c>
      <c r="B15" s="355"/>
      <c r="C15" s="358"/>
      <c r="D15" s="359"/>
      <c r="E15" s="360"/>
      <c r="F15" s="361"/>
      <c r="G15" s="360"/>
    </row>
    <row r="16" spans="1:7">
      <c r="A16" s="329" t="s">
        <v>73</v>
      </c>
      <c r="B16" s="350">
        <f>零件!L16</f>
        <v>810578</v>
      </c>
      <c r="C16" s="351">
        <f>VLOOKUP(A15,[5]進同!$B$11:$J$350,6,0)</f>
        <v>1580030</v>
      </c>
      <c r="D16" s="513">
        <f>(B16-C16)/C16</f>
        <v>-0.48698569014512383</v>
      </c>
      <c r="E16" s="350">
        <f>零件!M16</f>
        <v>59875241</v>
      </c>
      <c r="F16" s="351">
        <f>VLOOKUP(A15,[5]進同!$B$11:$J$304,4,0)</f>
        <v>88015940</v>
      </c>
      <c r="G16" s="513">
        <f>(E16-F16)/F16</f>
        <v>-0.31972275703696401</v>
      </c>
    </row>
    <row r="17" spans="1:71">
      <c r="A17" s="329"/>
      <c r="B17" s="350"/>
      <c r="C17" s="352"/>
      <c r="D17" s="350"/>
      <c r="E17" s="354"/>
      <c r="F17" s="351"/>
      <c r="G17" s="354"/>
    </row>
    <row r="18" spans="1:71">
      <c r="A18" s="332">
        <v>87149200206</v>
      </c>
      <c r="B18" s="355"/>
      <c r="C18" s="358"/>
      <c r="D18" s="359"/>
      <c r="E18" s="360"/>
      <c r="F18" s="361"/>
      <c r="G18" s="360"/>
    </row>
    <row r="19" spans="1:71">
      <c r="A19" s="329" t="s">
        <v>57</v>
      </c>
      <c r="B19" s="350">
        <f>零件!L19</f>
        <v>103940</v>
      </c>
      <c r="C19" s="351">
        <f>VLOOKUP(A18,[5]進同!$B$11:$J$350,6,0)</f>
        <v>201777</v>
      </c>
      <c r="D19" s="513">
        <f>(B19-C19)/C19</f>
        <v>-0.48487686901876825</v>
      </c>
      <c r="E19" s="350">
        <f>零件!M19</f>
        <v>8097060</v>
      </c>
      <c r="F19" s="351">
        <f>VLOOKUP(A18,[5]進同!$B$11:$J$380,4,0)</f>
        <v>13614396</v>
      </c>
      <c r="G19" s="514">
        <f>(E19-F19)/F19</f>
        <v>-0.40525749361190905</v>
      </c>
    </row>
    <row r="20" spans="1:71">
      <c r="A20" s="329"/>
      <c r="B20" s="350"/>
      <c r="C20" s="352"/>
      <c r="D20" s="350"/>
      <c r="E20" s="354"/>
      <c r="F20" s="351"/>
      <c r="G20" s="354"/>
    </row>
    <row r="21" spans="1:71">
      <c r="A21" s="332">
        <v>87149200304</v>
      </c>
      <c r="B21" s="355"/>
      <c r="C21" s="358"/>
      <c r="D21" s="359"/>
      <c r="E21" s="360"/>
      <c r="F21" s="361"/>
      <c r="G21" s="360"/>
    </row>
    <row r="22" spans="1:71">
      <c r="A22" s="329" t="s">
        <v>58</v>
      </c>
      <c r="B22" s="350">
        <f>零件!L22</f>
        <v>216395</v>
      </c>
      <c r="C22" s="351">
        <f>VLOOKUP(A21,[5]進同!$B$11:$J$350,6,0)</f>
        <v>315405</v>
      </c>
      <c r="D22" s="514">
        <f>(B22-C22)/C22</f>
        <v>-0.31391385678730521</v>
      </c>
      <c r="E22" s="350">
        <f>零件!M22</f>
        <v>8835023</v>
      </c>
      <c r="F22" s="351">
        <f>VLOOKUP(A21,[5]進同!$B$11:$J$308,4,0)</f>
        <v>11457126</v>
      </c>
      <c r="G22" s="513">
        <f>(E22-F22)/F22</f>
        <v>-0.22886219458527382</v>
      </c>
    </row>
    <row r="23" spans="1:71">
      <c r="A23" s="332">
        <v>87149310007</v>
      </c>
      <c r="B23" s="355"/>
      <c r="C23" s="358"/>
      <c r="D23" s="359"/>
      <c r="E23" s="360"/>
      <c r="F23" s="361"/>
      <c r="G23" s="360"/>
    </row>
    <row r="24" spans="1:71">
      <c r="A24" s="329" t="s">
        <v>74</v>
      </c>
      <c r="B24" s="350">
        <f>零件!L24</f>
        <v>1015459</v>
      </c>
      <c r="C24" s="351">
        <f>VLOOKUP(A23,[5]進同!$B$11:$J$340,6,0)</f>
        <v>2284409</v>
      </c>
      <c r="D24" s="514">
        <f>(B24-C24)/C24</f>
        <v>-0.55548284041955709</v>
      </c>
      <c r="E24" s="350">
        <f>零件!M24</f>
        <v>39130083</v>
      </c>
      <c r="F24" s="351">
        <f>VLOOKUP(A23,[5]進同!$B$11:$J$350,4,0)</f>
        <v>69290626</v>
      </c>
      <c r="G24" s="514">
        <f>(E24-F24)/F24</f>
        <v>-0.43527594915941442</v>
      </c>
    </row>
    <row r="25" spans="1:71">
      <c r="A25" s="329" t="s">
        <v>101</v>
      </c>
      <c r="B25" s="350"/>
      <c r="C25" s="352"/>
      <c r="D25" s="350"/>
      <c r="E25" s="354"/>
      <c r="F25" s="351"/>
      <c r="G25" s="354"/>
    </row>
    <row r="26" spans="1:71">
      <c r="A26" s="332">
        <v>87149320103</v>
      </c>
      <c r="B26" s="355"/>
      <c r="C26" s="358"/>
      <c r="D26" s="359"/>
      <c r="E26" s="360"/>
      <c r="F26" s="361"/>
      <c r="G26" s="360"/>
    </row>
    <row r="27" spans="1:71">
      <c r="A27" s="329" t="s">
        <v>408</v>
      </c>
      <c r="B27" s="350">
        <f>零件!L28</f>
        <v>82008</v>
      </c>
      <c r="C27" s="351">
        <f>VLOOKUP(A26,[5]進同!$B$11:$J$380,6,0)</f>
        <v>143577</v>
      </c>
      <c r="D27" s="513">
        <f t="shared" ref="D27" si="0">(B27-C27)/C27</f>
        <v>-0.42882216511001064</v>
      </c>
      <c r="E27" s="350">
        <f>零件!M28</f>
        <v>4336628</v>
      </c>
      <c r="F27" s="351">
        <f>VLOOKUP(A26,[5]進同!$B$11:$J$355,4,0)</f>
        <v>6709975</v>
      </c>
      <c r="G27" s="513">
        <f t="shared" ref="G27" si="1">(E27-F27)/F27</f>
        <v>-0.35370429845118651</v>
      </c>
    </row>
    <row r="28" spans="1:71" s="552" customFormat="1">
      <c r="A28" s="550">
        <v>87149410006</v>
      </c>
      <c r="B28" s="551"/>
      <c r="C28" s="545"/>
      <c r="D28" s="546"/>
      <c r="E28" s="547"/>
      <c r="F28" s="548"/>
      <c r="G28" s="54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1:71">
      <c r="A29" s="329" t="s">
        <v>77</v>
      </c>
      <c r="B29" s="350">
        <f>零件!L30</f>
        <v>57626</v>
      </c>
      <c r="C29" s="351">
        <f>VLOOKUP(A28,[5]進同!$B$11:$J$230,6,0)</f>
        <v>171108</v>
      </c>
      <c r="D29" s="513">
        <f>(B29-C29)/C29</f>
        <v>-0.6632185520256213</v>
      </c>
      <c r="E29" s="350">
        <f>零件!M30</f>
        <v>3375865</v>
      </c>
      <c r="F29" s="351">
        <f>VLOOKUP(A28,[5]進同!$B$11:$J$3440,4,0)</f>
        <v>11214266</v>
      </c>
      <c r="G29" s="513">
        <f>(E29-F29)/F29</f>
        <v>-0.69896692302465446</v>
      </c>
    </row>
    <row r="30" spans="1:71">
      <c r="A30" s="329" t="s">
        <v>78</v>
      </c>
      <c r="B30" s="350"/>
      <c r="C30" s="352"/>
      <c r="D30" s="350"/>
      <c r="E30" s="354"/>
      <c r="F30" s="351"/>
      <c r="G30" s="354"/>
    </row>
    <row r="31" spans="1:71">
      <c r="A31" s="332">
        <v>87149490009</v>
      </c>
      <c r="B31" s="355"/>
      <c r="C31" s="358"/>
      <c r="D31" s="359"/>
      <c r="E31" s="360"/>
      <c r="F31" s="361"/>
      <c r="G31" s="360"/>
    </row>
    <row r="32" spans="1:71">
      <c r="A32" s="329" t="s">
        <v>79</v>
      </c>
      <c r="B32" s="350">
        <f>零件!L33</f>
        <v>1484956</v>
      </c>
      <c r="C32" s="351">
        <f>VLOOKUP(A31,[5]進同!$B$11:$J$350,6,0)</f>
        <v>4258721</v>
      </c>
      <c r="D32" s="513">
        <f>(B32-C32)/C32</f>
        <v>-0.65131409171908661</v>
      </c>
      <c r="E32" s="350">
        <f>零件!M33</f>
        <v>109426346</v>
      </c>
      <c r="F32" s="351">
        <f>VLOOKUP(A31,[5]進同!$B$11:$J$304,4,0)</f>
        <v>170014454</v>
      </c>
      <c r="G32" s="513">
        <f>(E32-F32)/F32</f>
        <v>-0.35637033543042168</v>
      </c>
    </row>
    <row r="33" spans="1:7">
      <c r="A33" s="329" t="s">
        <v>80</v>
      </c>
      <c r="B33" s="350"/>
      <c r="C33" s="352"/>
      <c r="D33" s="350"/>
      <c r="E33" s="354"/>
      <c r="F33" s="351"/>
      <c r="G33" s="354"/>
    </row>
    <row r="34" spans="1:7">
      <c r="A34" s="332">
        <v>87149500007</v>
      </c>
      <c r="B34" s="359"/>
      <c r="C34" s="358"/>
      <c r="D34" s="359"/>
      <c r="E34" s="360"/>
      <c r="F34" s="361"/>
      <c r="G34" s="360"/>
    </row>
    <row r="35" spans="1:7">
      <c r="A35" s="329" t="s">
        <v>81</v>
      </c>
      <c r="B35" s="350">
        <f>零件!L36</f>
        <v>615156</v>
      </c>
      <c r="C35" s="351">
        <f>VLOOKUP(A34,[5]進同!$B$11:$J$300,6,0)</f>
        <v>1846504</v>
      </c>
      <c r="D35" s="513">
        <f>(B35-C35)/C35</f>
        <v>-0.6668536867507463</v>
      </c>
      <c r="E35" s="350">
        <f>零件!M36</f>
        <v>10423335</v>
      </c>
      <c r="F35" s="351">
        <f>VLOOKUP(A34,[5]進同!$B$11:$J$340,4,0)</f>
        <v>29156207</v>
      </c>
      <c r="G35" s="513">
        <f>(E35-F35)/F35</f>
        <v>-0.64250030876787234</v>
      </c>
    </row>
    <row r="36" spans="1:7">
      <c r="A36" s="332">
        <v>87149610004</v>
      </c>
      <c r="B36" s="359"/>
      <c r="C36" s="358"/>
      <c r="D36" s="359"/>
      <c r="E36" s="360"/>
      <c r="F36" s="361"/>
      <c r="G36" s="360"/>
    </row>
    <row r="37" spans="1:7">
      <c r="A37" s="329" t="s">
        <v>82</v>
      </c>
      <c r="B37" s="350">
        <f>零件!L38</f>
        <v>250838</v>
      </c>
      <c r="C37" s="351">
        <f>VLOOKUP(A36,[5]進同!$B$11:$J$320,6,0)</f>
        <v>797866</v>
      </c>
      <c r="D37" s="514">
        <f>(B37-C37)/C37</f>
        <v>-0.68561387501159343</v>
      </c>
      <c r="E37" s="350">
        <f>零件!M38</f>
        <v>4117620</v>
      </c>
      <c r="F37" s="351">
        <f>VLOOKUP(A36,[5]進同!$B$11:$J$340,4,0)</f>
        <v>8952506</v>
      </c>
      <c r="G37" s="514">
        <f>(E37-F37)/F37</f>
        <v>-0.54005950959429683</v>
      </c>
    </row>
    <row r="38" spans="1:7">
      <c r="A38" s="332">
        <v>87149620002</v>
      </c>
      <c r="B38" s="355"/>
      <c r="C38" s="358"/>
      <c r="D38" s="359"/>
      <c r="E38" s="360"/>
      <c r="F38" s="361"/>
      <c r="G38" s="360"/>
    </row>
    <row r="39" spans="1:7">
      <c r="A39" s="329" t="s">
        <v>83</v>
      </c>
      <c r="B39" s="350">
        <f>零件!L40</f>
        <v>1176994</v>
      </c>
      <c r="C39" s="351">
        <f>VLOOKUP(A38,[5]進同!$B$11:$J$330,6,0)</f>
        <v>2573895</v>
      </c>
      <c r="D39" s="514">
        <f>(B39-C39)/C39</f>
        <v>-0.54271872007210864</v>
      </c>
      <c r="E39" s="350">
        <f>零件!M40</f>
        <v>39512760</v>
      </c>
      <c r="F39" s="351">
        <f>VLOOKUP(A38,[5]進同!$B$11:$J$301,4,0)</f>
        <v>56718697</v>
      </c>
      <c r="G39" s="514">
        <f>(E39-F39)/F39</f>
        <v>-0.3033556465516124</v>
      </c>
    </row>
    <row r="40" spans="1:7">
      <c r="A40" s="329" t="s">
        <v>78</v>
      </c>
      <c r="B40" s="350"/>
      <c r="C40" s="350"/>
      <c r="D40" s="350"/>
      <c r="E40" s="354"/>
      <c r="F40" s="351"/>
      <c r="G40" s="354"/>
    </row>
    <row r="41" spans="1:7">
      <c r="A41" s="332">
        <v>73151100209</v>
      </c>
      <c r="B41" s="355"/>
      <c r="C41" s="355"/>
      <c r="D41" s="359"/>
      <c r="E41" s="360"/>
      <c r="F41" s="360"/>
      <c r="G41" s="360"/>
    </row>
    <row r="42" spans="1:7">
      <c r="A42" s="329" t="s">
        <v>84</v>
      </c>
      <c r="B42" s="350">
        <f>零件!L43</f>
        <v>765992</v>
      </c>
      <c r="C42" s="351">
        <f>VLOOKUP(A41,[5]進同!$B$11:$J$330,6,0)</f>
        <v>2026041</v>
      </c>
      <c r="D42" s="514">
        <f>(B42-C42)/C42</f>
        <v>-0.6219267033589152</v>
      </c>
      <c r="E42" s="350">
        <f>零件!M43</f>
        <v>9777047</v>
      </c>
      <c r="F42" s="351">
        <f>VLOOKUP(A41,[5]進同!$B$11:$J$301,4,0)</f>
        <v>19093286</v>
      </c>
      <c r="G42" s="514">
        <f>(E42-F42)/F42</f>
        <v>-0.48793272148125788</v>
      </c>
    </row>
    <row r="43" spans="1:7">
      <c r="A43" s="329" t="s">
        <v>85</v>
      </c>
      <c r="B43" s="350"/>
      <c r="C43" s="352"/>
      <c r="D43" s="350"/>
      <c r="E43" s="354"/>
      <c r="F43" s="351"/>
      <c r="G43" s="354"/>
    </row>
    <row r="44" spans="1:7">
      <c r="A44" s="332">
        <v>87149990111</v>
      </c>
      <c r="B44" s="355"/>
      <c r="C44" s="358"/>
      <c r="D44" s="359"/>
      <c r="E44" s="360"/>
      <c r="F44" s="361"/>
      <c r="G44" s="360"/>
    </row>
    <row r="45" spans="1:7">
      <c r="A45" s="333" t="s">
        <v>86</v>
      </c>
      <c r="B45" s="350">
        <f>零件!L46</f>
        <v>568195</v>
      </c>
      <c r="C45" s="351">
        <f>VLOOKUP(A44,[5]進同!$B$11:$J$350,6,0)</f>
        <v>1527002</v>
      </c>
      <c r="D45" s="513">
        <f>(B45-C45)/C45</f>
        <v>-0.62790160065278233</v>
      </c>
      <c r="E45" s="350">
        <f>零件!M46</f>
        <v>56137619</v>
      </c>
      <c r="F45" s="351">
        <f>VLOOKUP(A44,[5]進同!$B$11:$J$310,4,0)</f>
        <v>80305477</v>
      </c>
      <c r="G45" s="513">
        <f>(E45-F45)/F45</f>
        <v>-0.30094906229123075</v>
      </c>
    </row>
    <row r="46" spans="1:7">
      <c r="A46" s="329" t="s">
        <v>87</v>
      </c>
      <c r="B46" s="350"/>
      <c r="C46" s="352"/>
      <c r="D46" s="350"/>
      <c r="E46" s="354"/>
      <c r="F46" s="351"/>
      <c r="G46" s="354"/>
    </row>
    <row r="47" spans="1:7">
      <c r="A47" s="332">
        <v>87149320906</v>
      </c>
      <c r="B47" s="355"/>
      <c r="C47" s="358"/>
      <c r="D47" s="359"/>
      <c r="E47" s="360"/>
      <c r="F47" s="361"/>
      <c r="G47" s="360"/>
    </row>
    <row r="48" spans="1:7">
      <c r="A48" s="329" t="s">
        <v>410</v>
      </c>
      <c r="B48" s="350">
        <f>零件!L49</f>
        <v>445485</v>
      </c>
      <c r="C48" s="351">
        <f>VLOOKUP(A47,[5]進同!$B$11:$J$330,6,0)</f>
        <v>635697</v>
      </c>
      <c r="D48" s="514">
        <f t="shared" ref="D48" si="2">(B48-C48)/C48</f>
        <v>-0.29921802368109335</v>
      </c>
      <c r="E48" s="350">
        <f>零件!M49</f>
        <v>17698047</v>
      </c>
      <c r="F48" s="351">
        <f>VLOOKUP(A47,[5]進同!$B$11:$J$310,4,0)</f>
        <v>16977943</v>
      </c>
      <c r="G48" s="514">
        <f t="shared" ref="G48" si="3">(E48-F48)/F48</f>
        <v>4.2414089857646477E-2</v>
      </c>
    </row>
    <row r="49" spans="1:7">
      <c r="A49" s="332">
        <v>87149990139</v>
      </c>
      <c r="B49" s="355"/>
      <c r="C49" s="358"/>
      <c r="D49" s="361"/>
      <c r="E49" s="360"/>
      <c r="F49" s="361"/>
      <c r="G49" s="361"/>
    </row>
    <row r="50" spans="1:7">
      <c r="A50" s="329" t="s">
        <v>88</v>
      </c>
      <c r="B50" s="350">
        <f>零件!L51</f>
        <v>101782</v>
      </c>
      <c r="C50" s="351">
        <f>VLOOKUP(A49,[5]進同!$B$11:$J$305,6,0)</f>
        <v>204631</v>
      </c>
      <c r="D50" s="514">
        <f>(B50-C50)/C50</f>
        <v>-0.50260713186174133</v>
      </c>
      <c r="E50" s="350">
        <f>零件!M51</f>
        <v>1357339</v>
      </c>
      <c r="F50" s="351">
        <f>VLOOKUP(A49,[5]進同!$B$11:$J$350,4,0)</f>
        <v>2150076</v>
      </c>
      <c r="G50" s="514">
        <f>(E50-F50)/F50</f>
        <v>-0.36870185053923676</v>
      </c>
    </row>
    <row r="51" spans="1:7">
      <c r="A51" s="332">
        <v>87149990148</v>
      </c>
      <c r="B51" s="355"/>
      <c r="C51" s="358"/>
      <c r="D51" s="359"/>
      <c r="E51" s="360"/>
      <c r="F51" s="361"/>
      <c r="G51" s="360"/>
    </row>
    <row r="52" spans="1:7">
      <c r="A52" s="334" t="s">
        <v>89</v>
      </c>
      <c r="B52" s="350">
        <f>零件!L53</f>
        <v>155411</v>
      </c>
      <c r="C52" s="351">
        <f>VLOOKUP(A51,[5]進同!$B$11:$J$301,6,0)</f>
        <v>484955</v>
      </c>
      <c r="D52" s="513">
        <f>(B52-C52)/C52</f>
        <v>-0.67953521460754096</v>
      </c>
      <c r="E52" s="350">
        <f>零件!M53</f>
        <v>4603552</v>
      </c>
      <c r="F52" s="351">
        <f>VLOOKUP(A51,[5]進同!$B$11:$J$350,4,0)</f>
        <v>9018310</v>
      </c>
      <c r="G52" s="513">
        <f>(E52-F52)/F52</f>
        <v>-0.48953273950440823</v>
      </c>
    </row>
    <row r="53" spans="1:7">
      <c r="A53" s="329" t="s">
        <v>90</v>
      </c>
      <c r="B53" s="350"/>
      <c r="C53" s="352"/>
      <c r="D53" s="350"/>
      <c r="E53" s="354"/>
      <c r="F53" s="351"/>
      <c r="G53" s="354"/>
    </row>
    <row r="54" spans="1:7">
      <c r="A54" s="332">
        <v>87149990157</v>
      </c>
      <c r="B54" s="355"/>
      <c r="C54" s="358"/>
      <c r="D54" s="359"/>
      <c r="E54" s="360"/>
      <c r="F54" s="361"/>
      <c r="G54" s="360"/>
    </row>
    <row r="55" spans="1:7">
      <c r="A55" s="329" t="s">
        <v>91</v>
      </c>
      <c r="B55" s="350">
        <f>零件!L56</f>
        <v>354051</v>
      </c>
      <c r="C55" s="351">
        <f>VLOOKUP(A54,[5]進同!$B$11:$J$304,6,0)</f>
        <v>823683</v>
      </c>
      <c r="D55" s="514">
        <f>(B55-C55)/C55</f>
        <v>-0.57016109352748567</v>
      </c>
      <c r="E55" s="350">
        <f>零件!M56</f>
        <v>13957960</v>
      </c>
      <c r="F55" s="351">
        <f>VLOOKUP(A54,[5]進同!$B$11:$J$360,4,0)</f>
        <v>18127046</v>
      </c>
      <c r="G55" s="514">
        <f>(E55-F55)/F55</f>
        <v>-0.22999257573462328</v>
      </c>
    </row>
    <row r="56" spans="1:7">
      <c r="A56" s="329" t="s">
        <v>92</v>
      </c>
      <c r="B56" s="350"/>
      <c r="C56" s="352"/>
      <c r="D56" s="350"/>
      <c r="E56" s="354"/>
      <c r="F56" s="351"/>
      <c r="G56" s="354"/>
    </row>
    <row r="57" spans="1:7">
      <c r="A57" s="332">
        <v>87149990166</v>
      </c>
      <c r="B57" s="355"/>
      <c r="C57" s="358"/>
      <c r="D57" s="359"/>
      <c r="E57" s="360"/>
      <c r="F57" s="361"/>
      <c r="G57" s="360"/>
    </row>
    <row r="58" spans="1:7">
      <c r="A58" s="329" t="s">
        <v>89</v>
      </c>
      <c r="B58" s="350">
        <f>零件!L59</f>
        <v>396622</v>
      </c>
      <c r="C58" s="351">
        <f>VLOOKUP(A57,[5]進同!$B$11:$J$344,6,0)</f>
        <v>918368</v>
      </c>
      <c r="D58" s="513">
        <f>(B58-C58)/C58</f>
        <v>-0.56812301822363154</v>
      </c>
      <c r="E58" s="350">
        <f>零件!M59</f>
        <v>23250912</v>
      </c>
      <c r="F58" s="351">
        <f>VLOOKUP(A57,[5]進同!$B$11:$J$350,4,0)</f>
        <v>31793406</v>
      </c>
      <c r="G58" s="513">
        <f>(E58-F58)/F58</f>
        <v>-0.26868760144792286</v>
      </c>
    </row>
    <row r="59" spans="1:7">
      <c r="A59" s="332">
        <v>40115000008</v>
      </c>
      <c r="B59" s="359"/>
      <c r="C59" s="359"/>
      <c r="D59" s="362"/>
      <c r="E59" s="360"/>
      <c r="F59" s="360"/>
      <c r="G59" s="360"/>
    </row>
    <row r="60" spans="1:7">
      <c r="A60" s="329" t="s">
        <v>93</v>
      </c>
      <c r="B60" s="350">
        <f>零件!L61</f>
        <v>1923052</v>
      </c>
      <c r="C60" s="351">
        <f>VLOOKUP(A59,[5]進同!$B$11:$J$344,6,0)</f>
        <v>3477108</v>
      </c>
      <c r="D60" s="513">
        <f>(B60-C60)/C60</f>
        <v>-0.44693923801043856</v>
      </c>
      <c r="E60" s="350">
        <f>零件!M61</f>
        <v>22144775</v>
      </c>
      <c r="F60" s="351">
        <f>VLOOKUP(A59,[5]進同!$B$11:$J$350,4,0)</f>
        <v>35826077</v>
      </c>
      <c r="G60" s="513">
        <f>(E60-F60)/F60</f>
        <v>-0.38188110855676438</v>
      </c>
    </row>
    <row r="61" spans="1:7">
      <c r="A61" s="329" t="s">
        <v>94</v>
      </c>
      <c r="B61" s="350"/>
      <c r="C61" s="351"/>
      <c r="D61" s="353"/>
      <c r="E61" s="354"/>
      <c r="F61" s="351"/>
      <c r="G61" s="516"/>
    </row>
    <row r="62" spans="1:7">
      <c r="A62" s="332">
        <v>40132000003</v>
      </c>
      <c r="B62" s="359"/>
      <c r="C62" s="359"/>
      <c r="D62" s="359"/>
      <c r="E62" s="360"/>
      <c r="F62" s="360"/>
      <c r="G62" s="360"/>
    </row>
    <row r="63" spans="1:7">
      <c r="A63" s="329" t="s">
        <v>95</v>
      </c>
      <c r="B63" s="350">
        <f>零件!L64</f>
        <v>351580</v>
      </c>
      <c r="C63" s="351">
        <f>VLOOKUP(A62,[5]進同!$B$11:$J$344,6,0)</f>
        <v>570093</v>
      </c>
      <c r="D63" s="514">
        <f>(B63-C63)/C63</f>
        <v>-0.38329360297354992</v>
      </c>
      <c r="E63" s="350">
        <f>零件!M64</f>
        <v>2304976</v>
      </c>
      <c r="F63" s="351">
        <f>VLOOKUP(A62,[5]進同!$B$11:$J$350,4,0)</f>
        <v>3383252</v>
      </c>
      <c r="G63" s="513">
        <f>(E63-F63)/F63</f>
        <v>-0.31870992760811195</v>
      </c>
    </row>
    <row r="64" spans="1:7">
      <c r="A64" s="329" t="s">
        <v>96</v>
      </c>
      <c r="B64" s="350"/>
      <c r="C64" s="352"/>
      <c r="D64" s="353"/>
      <c r="E64" s="354"/>
      <c r="F64" s="351"/>
      <c r="G64" s="354"/>
    </row>
    <row r="65" spans="1:7">
      <c r="A65" s="363" t="s">
        <v>97</v>
      </c>
      <c r="B65" s="364">
        <f>SUM(B6:B64)-B64-B61-B20-B17-B11-B8</f>
        <v>16589392</v>
      </c>
      <c r="C65" s="453">
        <f>SUM(C6:C64)</f>
        <v>36479605</v>
      </c>
      <c r="D65" s="512">
        <f>(B65-C65)/C65</f>
        <v>-0.54524200577281468</v>
      </c>
      <c r="E65" s="452">
        <f>SUM(E7:E64)</f>
        <v>824155932</v>
      </c>
      <c r="F65" s="214">
        <f>SUM(F6:F64)</f>
        <v>1217197165</v>
      </c>
      <c r="G65" s="512">
        <f>(E65-F65)/F65</f>
        <v>-0.32290679300095149</v>
      </c>
    </row>
    <row r="66" spans="1:7">
      <c r="E66" s="5"/>
      <c r="G66" s="322"/>
    </row>
    <row r="67" spans="1:7">
      <c r="A67" s="54" t="s">
        <v>32</v>
      </c>
    </row>
  </sheetData>
  <phoneticPr fontId="3" type="noConversion"/>
  <conditionalFormatting sqref="C9">
    <cfRule type="cellIs" dxfId="17" priority="9" operator="greaterThanOrEqual">
      <formula>0</formula>
    </cfRule>
    <cfRule type="cellIs" dxfId="16" priority="10" operator="lessThan">
      <formula>0</formula>
    </cfRule>
  </conditionalFormatting>
  <conditionalFormatting sqref="C12">
    <cfRule type="cellIs" dxfId="15" priority="7" operator="greaterThanOrEqual">
      <formula>0</formula>
    </cfRule>
    <cfRule type="cellIs" dxfId="14" priority="8" operator="lessThan">
      <formula>0</formula>
    </cfRule>
  </conditionalFormatting>
  <conditionalFormatting sqref="D1:D3 D6:D48 D50:D1048576">
    <cfRule type="cellIs" dxfId="13" priority="13" operator="greaterThanOrEqual">
      <formula>0</formula>
    </cfRule>
    <cfRule type="cellIs" dxfId="12" priority="14" operator="lessThan">
      <formula>0</formula>
    </cfRule>
  </conditionalFormatting>
  <conditionalFormatting sqref="F41">
    <cfRule type="cellIs" dxfId="11" priority="5" operator="greaterThanOrEqual">
      <formula>0</formula>
    </cfRule>
    <cfRule type="cellIs" dxfId="10" priority="6" operator="lessThan">
      <formula>0</formula>
    </cfRule>
  </conditionalFormatting>
  <conditionalFormatting sqref="F59">
    <cfRule type="cellIs" dxfId="9" priority="3" operator="greaterThanOrEqual">
      <formula>0</formula>
    </cfRule>
    <cfRule type="cellIs" dxfId="8" priority="4" operator="lessThan">
      <formula>0</formula>
    </cfRule>
  </conditionalFormatting>
  <conditionalFormatting sqref="F62">
    <cfRule type="cellIs" dxfId="7" priority="1" operator="greaterThanOrEqual">
      <formula>0</formula>
    </cfRule>
    <cfRule type="cellIs" dxfId="6" priority="2" operator="lessThan">
      <formula>0</formula>
    </cfRule>
  </conditionalFormatting>
  <conditionalFormatting sqref="G1:G3 G6:G48 G50:G1048576">
    <cfRule type="cellIs" dxfId="5" priority="11" operator="greaterThanOrEqual">
      <formula>0</formula>
    </cfRule>
    <cfRule type="cellIs" dxfId="4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B2" sqref="B2"/>
    </sheetView>
  </sheetViews>
  <sheetFormatPr defaultColWidth="10" defaultRowHeight="16.5"/>
  <cols>
    <col min="1" max="1" width="3.75" style="13" customWidth="1"/>
    <col min="2" max="2" width="10" style="13"/>
    <col min="3" max="3" width="17.75" style="322" customWidth="1"/>
    <col min="4" max="4" width="12.875" style="13" bestFit="1" customWidth="1"/>
    <col min="5" max="5" width="17.875" style="322" customWidth="1"/>
    <col min="6" max="6" width="2.125" style="13" customWidth="1"/>
    <col min="7" max="7" width="10" style="13"/>
    <col min="8" max="8" width="15.75" style="322" customWidth="1"/>
    <col min="9" max="9" width="12.875" style="13" bestFit="1" customWidth="1"/>
    <col min="10" max="10" width="17.875" style="322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7" t="s">
        <v>492</v>
      </c>
      <c r="C1" s="368"/>
      <c r="D1" s="369"/>
      <c r="E1" s="368"/>
      <c r="F1" s="369"/>
      <c r="G1" s="369"/>
      <c r="H1" s="368"/>
      <c r="I1" s="369"/>
      <c r="J1" s="368"/>
    </row>
    <row r="2" spans="1:10">
      <c r="B2" s="369"/>
      <c r="C2" s="368"/>
      <c r="D2" s="369"/>
      <c r="E2" s="368"/>
      <c r="F2" s="369"/>
      <c r="G2" s="369"/>
      <c r="H2" s="368"/>
      <c r="I2" s="369"/>
      <c r="J2" s="368"/>
    </row>
    <row r="3" spans="1:10">
      <c r="B3" s="484" t="s">
        <v>439</v>
      </c>
      <c r="G3" s="484" t="s">
        <v>440</v>
      </c>
    </row>
    <row r="4" spans="1:10">
      <c r="B4" s="30" t="s">
        <v>102</v>
      </c>
      <c r="C4" s="370" t="s">
        <v>103</v>
      </c>
      <c r="D4" s="30" t="s">
        <v>104</v>
      </c>
      <c r="E4" s="370" t="s">
        <v>105</v>
      </c>
      <c r="F4" s="371"/>
      <c r="G4" s="30" t="s">
        <v>102</v>
      </c>
      <c r="H4" s="370" t="s">
        <v>103</v>
      </c>
      <c r="I4" s="30" t="s">
        <v>104</v>
      </c>
      <c r="J4" s="370" t="s">
        <v>105</v>
      </c>
    </row>
    <row r="5" spans="1:10">
      <c r="A5" s="13">
        <v>1</v>
      </c>
      <c r="B5" s="372" t="str">
        <f>_xlfn.IFNA(VLOOKUP(A5,'[7]85121010001出'!$A$11:$E$30,3,0),-Q5)</f>
        <v>美國</v>
      </c>
      <c r="C5" s="373">
        <f>_xlfn.IFNA(VLOOKUP(A5,'[7]85121010001出'!$A$11:$E$30,5,0),-N3)</f>
        <v>279620</v>
      </c>
      <c r="D5" s="372" t="str">
        <f>_xlfn.IFNA(VLOOKUP(A5,'[7]85121010001進'!$A$11:$E$21,3,0),-M6)</f>
        <v>中國大陸</v>
      </c>
      <c r="E5" s="374">
        <f>_xlfn.IFNA(VLOOKUP(A5,'[7]85121010001進'!$A$11:$E$21,5,0),-L2)</f>
        <v>144494</v>
      </c>
      <c r="G5" s="372" t="str">
        <f>_xlfn.IFNA(VLOOKUP(A5,'[7]85121020009出'!$A$11:$E$30,3,0),-Q5)</f>
        <v>瑞士</v>
      </c>
      <c r="H5" s="374">
        <f>_xlfn.IFNA(VLOOKUP(A5,'[7]85121020009出'!$A$11:$E$30,5,0),-N3)</f>
        <v>85151</v>
      </c>
      <c r="I5" s="372" t="str">
        <f>_xlfn.IFNA(VLOOKUP(A5,'[7]85121020009進'!$A$11:$E$30,3,0),-Q5)</f>
        <v>中國大陸</v>
      </c>
      <c r="J5" s="374">
        <f>_xlfn.IFNA(VLOOKUP(A5,'[7]85121020009進'!$A$11:$E$30,5,0),-Q5)</f>
        <v>44548</v>
      </c>
    </row>
    <row r="6" spans="1:10">
      <c r="A6" s="13">
        <v>2</v>
      </c>
      <c r="B6" s="372" t="str">
        <f>_xlfn.IFNA(VLOOKUP(A6,'[7]85121010001出'!$A$11:$E$30,3,0),-Q6)</f>
        <v>瑞士</v>
      </c>
      <c r="C6" s="373">
        <f>_xlfn.IFNA(VLOOKUP(A6,'[7]85121010001出'!$A$11:$E$30,5,0),-N4)</f>
        <v>176344</v>
      </c>
      <c r="D6" s="372" t="str">
        <f>_xlfn.IFNA(VLOOKUP(A6,'[7]85121010001進'!$A$11:$E$21,3,0),-M7)</f>
        <v>法國</v>
      </c>
      <c r="E6" s="374">
        <f>_xlfn.IFNA(VLOOKUP(A6,'[7]85121010001進'!$A$11:$E$21,5,0),-L3)</f>
        <v>65914</v>
      </c>
      <c r="G6" s="372" t="str">
        <f>_xlfn.IFNA(VLOOKUP(A6,'[7]85121020009出'!$A$11:$E$30,3,0),-Q6)</f>
        <v>法國</v>
      </c>
      <c r="H6" s="374">
        <f>_xlfn.IFNA(VLOOKUP(A6,'[7]85121020009出'!$A$11:$E$30,5,0),-N4)</f>
        <v>64611</v>
      </c>
      <c r="I6" s="372" t="str">
        <f>_xlfn.IFNA(VLOOKUP(A6,'[7]85121020009進'!$A$11:$E$30,3,0),-Q6)</f>
        <v>德國</v>
      </c>
      <c r="J6" s="374">
        <f>_xlfn.IFNA(VLOOKUP(A6,'[7]85121020009進'!$A$11:$E$30,5,0),-Q6)</f>
        <v>6802</v>
      </c>
    </row>
    <row r="7" spans="1:10">
      <c r="A7" s="13">
        <v>3</v>
      </c>
      <c r="B7" s="372" t="str">
        <f>_xlfn.IFNA(VLOOKUP(A7,'[7]85121010001出'!$A$11:$E$30,3,0),-Q7)</f>
        <v>荷蘭</v>
      </c>
      <c r="C7" s="373">
        <f>_xlfn.IFNA(VLOOKUP(A7,'[7]85121010001出'!$A$11:$E$30,5,0),-N5)</f>
        <v>168775</v>
      </c>
      <c r="D7" s="372" t="str">
        <f>_xlfn.IFNA(VLOOKUP(A7,'[7]85121010001進'!$A$11:$E$21,3,0),-M8)</f>
        <v>德國</v>
      </c>
      <c r="E7" s="374">
        <f>_xlfn.IFNA(VLOOKUP(A7,'[7]85121010001進'!$A$11:$E$21,5,0),-L4)</f>
        <v>12019</v>
      </c>
      <c r="G7" s="372" t="str">
        <f>_xlfn.IFNA(VLOOKUP(A7,'[7]85121020009出'!$A$11:$E$30,3,0),-Q7)</f>
        <v>美國</v>
      </c>
      <c r="H7" s="374">
        <f>_xlfn.IFNA(VLOOKUP(A7,'[7]85121020009出'!$A$11:$E$30,5,0),-N5)</f>
        <v>55421</v>
      </c>
      <c r="I7" s="372" t="str">
        <f>_xlfn.IFNA(VLOOKUP(A7,'[7]85121020009進'!$A$11:$E$30,3,0),-Q7)</f>
        <v>中華民國</v>
      </c>
      <c r="J7" s="374">
        <f>_xlfn.IFNA(VLOOKUP(A7,'[7]85121020009進'!$A$11:$E$30,5,0),-Q7)</f>
        <v>2766</v>
      </c>
    </row>
    <row r="8" spans="1:10">
      <c r="A8" s="13">
        <v>4</v>
      </c>
      <c r="B8" s="372" t="str">
        <f>_xlfn.IFNA(VLOOKUP(A8,'[7]85121010001出'!$A$11:$E$30,3,0),-Q8)</f>
        <v>英國</v>
      </c>
      <c r="C8" s="373">
        <f>_xlfn.IFNA(VLOOKUP(A8,'[7]85121010001出'!$A$11:$E$30,5,0),-N6)</f>
        <v>138092</v>
      </c>
      <c r="D8" s="372" t="str">
        <f>_xlfn.IFNA(VLOOKUP(A8,'[7]85121010001進'!$A$11:$E$21,3,0),-M9)</f>
        <v>日本</v>
      </c>
      <c r="E8" s="374">
        <f>_xlfn.IFNA(VLOOKUP(A8,'[7]85121010001進'!$A$11:$E$21,5,0),-L5)</f>
        <v>1081</v>
      </c>
      <c r="G8" s="372" t="str">
        <f>_xlfn.IFNA(VLOOKUP(A8,'[7]85121020009出'!$A$11:$E$30,3,0),-Q8)</f>
        <v>德國</v>
      </c>
      <c r="H8" s="374">
        <f>_xlfn.IFNA(VLOOKUP(A8,'[7]85121020009出'!$A$11:$E$30,5,0),-N6)</f>
        <v>39205</v>
      </c>
      <c r="I8" s="372"/>
      <c r="J8" s="374"/>
    </row>
    <row r="9" spans="1:10">
      <c r="A9" s="13">
        <v>5</v>
      </c>
      <c r="B9" s="372" t="str">
        <f>_xlfn.IFNA(VLOOKUP(A9,'[7]85121010001出'!$A$11:$E$30,3,0),-Q9)</f>
        <v>越南</v>
      </c>
      <c r="C9" s="373">
        <f>_xlfn.IFNA(VLOOKUP(A9,'[7]85121010001出'!$A$11:$E$30,5,0),-N7)</f>
        <v>81017</v>
      </c>
      <c r="D9" s="372"/>
      <c r="E9" s="374"/>
      <c r="G9" s="372" t="str">
        <f>_xlfn.IFNA(VLOOKUP(A9,'[7]85121020009出'!$A$11:$E$30,3,0),-Q9)</f>
        <v>荷蘭</v>
      </c>
      <c r="H9" s="374">
        <f>_xlfn.IFNA(VLOOKUP(A9,'[7]85121020009出'!$A$11:$E$30,5,0),-N7)</f>
        <v>36057</v>
      </c>
      <c r="I9" s="372"/>
      <c r="J9" s="374"/>
    </row>
    <row r="10" spans="1:10">
      <c r="A10" s="13">
        <v>6</v>
      </c>
      <c r="B10" s="372" t="str">
        <f>_xlfn.IFNA(VLOOKUP(A10,'[7]85121010001出'!$A$11:$E$30,3,0),-Q10)</f>
        <v>波蘭</v>
      </c>
      <c r="C10" s="373">
        <f>_xlfn.IFNA(VLOOKUP(A10,'[7]85121010001出'!$A$11:$E$30,5,0),-N8)</f>
        <v>74785</v>
      </c>
      <c r="D10" s="372"/>
      <c r="E10" s="374"/>
      <c r="G10" s="372" t="str">
        <f>_xlfn.IFNA(VLOOKUP(A10,'[7]85121020009出'!$A$11:$E$30,3,0),-Q10)</f>
        <v>日本</v>
      </c>
      <c r="H10" s="374">
        <f>_xlfn.IFNA(VLOOKUP(A10,'[7]85121020009出'!$A$11:$E$30,5,0),-N8)</f>
        <v>26773</v>
      </c>
      <c r="I10" s="372"/>
      <c r="J10" s="374"/>
    </row>
    <row r="11" spans="1:10">
      <c r="A11" s="13">
        <v>7</v>
      </c>
      <c r="B11" s="372" t="str">
        <f>_xlfn.IFNA(VLOOKUP(A11,'[7]85121010001出'!$A$11:$E$30,3,0),-Q11)</f>
        <v>德國</v>
      </c>
      <c r="C11" s="373">
        <f>_xlfn.IFNA(VLOOKUP(A11,'[7]85121010001出'!$A$11:$E$30,5,0),-N9)</f>
        <v>37043</v>
      </c>
      <c r="D11" s="372"/>
      <c r="E11" s="374"/>
      <c r="G11" s="372" t="str">
        <f>_xlfn.IFNA(VLOOKUP(A11,'[7]85121020009出'!$A$11:$E$30,3,0),-Q11)</f>
        <v>波蘭</v>
      </c>
      <c r="H11" s="374">
        <f>_xlfn.IFNA(VLOOKUP(A11,'[7]85121020009出'!$A$11:$E$30,5,0),-N9)</f>
        <v>17170</v>
      </c>
      <c r="I11" s="372"/>
      <c r="J11" s="374"/>
    </row>
    <row r="12" spans="1:10">
      <c r="A12" s="13">
        <v>8</v>
      </c>
      <c r="B12" s="372" t="str">
        <f>_xlfn.IFNA(VLOOKUP(A12,'[7]85121010001出'!$A$11:$E$30,3,0),-Q12)</f>
        <v>丹麥</v>
      </c>
      <c r="C12" s="373">
        <f>_xlfn.IFNA(VLOOKUP(A12,'[7]85121010001出'!$A$11:$E$30,5,0),-N10)</f>
        <v>35008</v>
      </c>
      <c r="D12" s="372"/>
      <c r="E12" s="374"/>
      <c r="G12" s="372" t="str">
        <f>_xlfn.IFNA(VLOOKUP(A12,'[7]85121020009出'!$A$11:$E$30,3,0),-Q12)</f>
        <v>柬埔寨</v>
      </c>
      <c r="H12" s="374">
        <f>_xlfn.IFNA(VLOOKUP(A12,'[7]85121020009出'!$A$11:$E$30,5,0),-N10)</f>
        <v>6518</v>
      </c>
      <c r="I12" s="372"/>
      <c r="J12" s="374"/>
    </row>
    <row r="13" spans="1:10">
      <c r="A13" s="13">
        <v>9</v>
      </c>
      <c r="B13" s="372" t="str">
        <f>_xlfn.IFNA(VLOOKUP(A13,'[7]85121010001出'!$A$11:$E$30,3,0),-Q13)</f>
        <v>柬埔寨</v>
      </c>
      <c r="C13" s="373">
        <f>_xlfn.IFNA(VLOOKUP(A13,'[7]85121010001出'!$A$11:$E$30,5,0),-N11)</f>
        <v>30302</v>
      </c>
      <c r="D13" s="372"/>
      <c r="E13" s="374"/>
      <c r="G13" s="372" t="str">
        <f>_xlfn.IFNA(VLOOKUP(A13,'[7]85121020009出'!$A$11:$E$30,3,0),-Q13)</f>
        <v>比利時</v>
      </c>
      <c r="H13" s="374">
        <f>_xlfn.IFNA(VLOOKUP(A13,'[7]85121020009出'!$A$11:$E$30,5,0),-N11)</f>
        <v>5755</v>
      </c>
      <c r="I13" s="372"/>
      <c r="J13" s="374"/>
    </row>
    <row r="14" spans="1:10">
      <c r="A14" s="13">
        <v>10</v>
      </c>
      <c r="B14" s="372" t="str">
        <f>_xlfn.IFNA(VLOOKUP(A14,'[7]85121010001出'!$A$11:$E$30,3,0),-Q14)</f>
        <v>阿拉伯聯合大公國</v>
      </c>
      <c r="C14" s="373">
        <f>_xlfn.IFNA(VLOOKUP(A14,'[7]85121010001出'!$A$11:$E$30,5,0),-N12)</f>
        <v>28680</v>
      </c>
      <c r="D14" s="372"/>
      <c r="E14" s="374"/>
      <c r="G14" s="372" t="str">
        <f>_xlfn.IFNA(VLOOKUP(A14,'[7]85121020009出'!$A$11:$E$30,3,0),-Q14)</f>
        <v>葡萄牙</v>
      </c>
      <c r="H14" s="374">
        <f>_xlfn.IFNA(VLOOKUP(A14,'[7]85121020009出'!$A$11:$E$30,5,0),-N12)</f>
        <v>3593</v>
      </c>
      <c r="I14" s="372"/>
      <c r="J14" s="374"/>
    </row>
    <row r="15" spans="1:10">
      <c r="B15" s="372" t="s">
        <v>106</v>
      </c>
      <c r="C15" s="374">
        <f>C16-SUM(C5:C14)</f>
        <v>80096</v>
      </c>
      <c r="D15" s="372" t="s">
        <v>106</v>
      </c>
      <c r="E15" s="374">
        <f>E16-SUM(E5:E14)</f>
        <v>0</v>
      </c>
      <c r="G15" s="485" t="s">
        <v>426</v>
      </c>
      <c r="H15" s="374">
        <f>H16-SUM(H5:H14)</f>
        <v>10301</v>
      </c>
      <c r="I15" s="372" t="s">
        <v>106</v>
      </c>
      <c r="J15" s="374">
        <f>J16-SUM(J5:J14)</f>
        <v>0</v>
      </c>
    </row>
    <row r="16" spans="1:10">
      <c r="B16" s="372" t="s">
        <v>107</v>
      </c>
      <c r="C16" s="374">
        <f>VLOOKUP(B16,'[7]85121010001出'!$B$10:$E$10,4,0)</f>
        <v>1129762</v>
      </c>
      <c r="D16" s="372" t="s">
        <v>107</v>
      </c>
      <c r="E16" s="374">
        <f>VLOOKUP(B16,'[7]85121010001進'!$B$10:$E$10,4,0)</f>
        <v>223508</v>
      </c>
      <c r="G16" s="372" t="s">
        <v>107</v>
      </c>
      <c r="H16" s="374">
        <f>VLOOKUP(B16,'[7]85121020009出'!$B$10:$E$10,4,0)</f>
        <v>350555</v>
      </c>
      <c r="I16" s="372" t="s">
        <v>107</v>
      </c>
      <c r="J16" s="374">
        <f>VLOOKUP(B16,'[7]85121020009進'!$B$10:$E$10,4,0)</f>
        <v>54116</v>
      </c>
    </row>
    <row r="18" spans="1:10">
      <c r="B18" s="484" t="s">
        <v>427</v>
      </c>
      <c r="G18" s="54" t="s">
        <v>428</v>
      </c>
    </row>
    <row r="19" spans="1:10">
      <c r="B19" s="30" t="s">
        <v>102</v>
      </c>
      <c r="C19" s="370" t="s">
        <v>103</v>
      </c>
      <c r="D19" s="30" t="s">
        <v>104</v>
      </c>
      <c r="E19" s="370" t="s">
        <v>105</v>
      </c>
      <c r="G19" s="30" t="s">
        <v>102</v>
      </c>
      <c r="H19" s="370" t="s">
        <v>103</v>
      </c>
      <c r="I19" s="30" t="s">
        <v>104</v>
      </c>
      <c r="J19" s="370" t="s">
        <v>105</v>
      </c>
    </row>
    <row r="20" spans="1:10">
      <c r="A20" s="13">
        <v>1</v>
      </c>
      <c r="B20" s="486" t="str">
        <f>_xlfn.IFNA(VLOOKUP(A5,'[7]87149120007出'!$A$11:$E$30,3,0),-Q5)</f>
        <v>德國</v>
      </c>
      <c r="C20" s="374">
        <f>_xlfn.IFNA(VLOOKUP(A5,'[7]87149120007出'!$A$11:$E$30,5,0),-Q5)</f>
        <v>10253872</v>
      </c>
      <c r="D20" s="372" t="str">
        <f>_xlfn.IFNA(VLOOKUP(A5,'[7]87149120007進'!$A$11:$E$30,3,0),-Q5)</f>
        <v>中國大陸</v>
      </c>
      <c r="E20" s="374">
        <f>_xlfn.IFNA(VLOOKUP(A5,'[7]87149120007進'!$A$11:$E$30,5,0),-Q5)</f>
        <v>17921487</v>
      </c>
      <c r="G20" s="372" t="str">
        <f>_xlfn.IFNA(VLOOKUP(A5,'[7]87149200108出'!$A$11:$E$30,3,0),-Q5)</f>
        <v>德國</v>
      </c>
      <c r="H20" s="374">
        <f>_xlfn.IFNA(VLOOKUP(A5,'[7]87149200108出'!$A$11:$E$30,5,0),-Q5)</f>
        <v>518824</v>
      </c>
      <c r="I20" s="372" t="str">
        <f>_xlfn.IFNA(VLOOKUP(A5,'[7]87149200108進'!$A$11:$E$30,3,0),-Q5)</f>
        <v>中國大陸</v>
      </c>
      <c r="J20" s="374">
        <f>_xlfn.IFNA(VLOOKUP(A5,'[7]87149200108進'!$A$11:$E$30,5,0),-Q5)</f>
        <v>4250875</v>
      </c>
    </row>
    <row r="21" spans="1:10">
      <c r="A21" s="13">
        <v>2</v>
      </c>
      <c r="B21" s="486" t="str">
        <f>_xlfn.IFNA(VLOOKUP(A6,'[7]87149120007出'!$A$11:$E$30,3,0),-Q6)</f>
        <v>荷蘭</v>
      </c>
      <c r="C21" s="374">
        <f>_xlfn.IFNA(VLOOKUP(A6,'[7]87149120007出'!$A$11:$E$30,5,0),-Q6)</f>
        <v>7920506</v>
      </c>
      <c r="D21" s="372" t="str">
        <f>_xlfn.IFNA(VLOOKUP(A6,'[7]87149120007進'!$A$11:$E$30,3,0),-Q6)</f>
        <v>越南</v>
      </c>
      <c r="E21" s="374">
        <f>_xlfn.IFNA(VLOOKUP(A6,'[7]87149120007進'!$A$11:$E$30,5,0),-Q6)</f>
        <v>3689984</v>
      </c>
      <c r="G21" s="372" t="str">
        <f>_xlfn.IFNA(VLOOKUP(A6,'[7]87149200108出'!$A$11:$E$30,3,0),-Q6)</f>
        <v>荷蘭</v>
      </c>
      <c r="H21" s="374">
        <f>_xlfn.IFNA(VLOOKUP(A6,'[7]87149200108出'!$A$11:$E$30,5,0),-Q6)</f>
        <v>439173</v>
      </c>
      <c r="I21" s="372" t="str">
        <f>_xlfn.IFNA(VLOOKUP(A6,'[7]87149200108進'!$A$11:$E$30,3,0),-Q6)</f>
        <v>越南</v>
      </c>
      <c r="J21" s="374">
        <f>_xlfn.IFNA(VLOOKUP(A6,'[7]87149200108進'!$A$11:$E$30,5,0),-Q6)</f>
        <v>124547</v>
      </c>
    </row>
    <row r="22" spans="1:10">
      <c r="A22" s="13">
        <v>3</v>
      </c>
      <c r="B22" s="486" t="str">
        <f>_xlfn.IFNA(VLOOKUP(A7,'[7]87149120007出'!$A$11:$E$30,3,0),-Q7)</f>
        <v>中國大陸</v>
      </c>
      <c r="C22" s="374">
        <f>_xlfn.IFNA(VLOOKUP(A7,'[7]87149120007出'!$A$11:$E$30,5,0),-Q7)</f>
        <v>5424548</v>
      </c>
      <c r="D22" s="372" t="str">
        <f>_xlfn.IFNA(VLOOKUP(A7,'[7]87149120007進'!$A$11:$E$30,3,0),-Q7)</f>
        <v>柬埔寨</v>
      </c>
      <c r="E22" s="374">
        <f>_xlfn.IFNA(VLOOKUP(A7,'[7]87149120007進'!$A$11:$E$30,5,0),-Q7)</f>
        <v>635771</v>
      </c>
      <c r="G22" s="372" t="str">
        <f>_xlfn.IFNA(VLOOKUP(A7,'[7]87149200108出'!$A$11:$E$30,3,0),-Q7)</f>
        <v>西班牙</v>
      </c>
      <c r="H22" s="374">
        <f>_xlfn.IFNA(VLOOKUP(A7,'[7]87149200108出'!$A$11:$E$30,5,0),-Q7)</f>
        <v>435072</v>
      </c>
      <c r="I22" s="372" t="str">
        <f>_xlfn.IFNA(VLOOKUP(A7,'[7]87149200108進'!$A$11:$E$30,3,0),-Q7)</f>
        <v>瑞士</v>
      </c>
      <c r="J22" s="374">
        <f>_xlfn.IFNA(VLOOKUP(A7,'[7]87149200108進'!$A$11:$E$30,5,0),-Q7)</f>
        <v>24706</v>
      </c>
    </row>
    <row r="23" spans="1:10">
      <c r="A23" s="13">
        <v>4</v>
      </c>
      <c r="B23" s="486" t="str">
        <f>_xlfn.IFNA(VLOOKUP(A8,'[7]87149120007出'!$A$11:$E$30,3,0),-Q8)</f>
        <v>美國</v>
      </c>
      <c r="C23" s="374">
        <f>_xlfn.IFNA(VLOOKUP(A8,'[7]87149120007出'!$A$11:$E$30,5,0),-Q8)</f>
        <v>3810176</v>
      </c>
      <c r="D23" s="372" t="str">
        <f>_xlfn.IFNA(VLOOKUP(A8,'[7]87149120007進'!$A$11:$E$30,3,0),-Q8)</f>
        <v>中華民國</v>
      </c>
      <c r="E23" s="374">
        <f>_xlfn.IFNA(VLOOKUP(A8,'[7]87149120007進'!$A$11:$E$30,5,0),-Q8)</f>
        <v>344579</v>
      </c>
      <c r="G23" s="372" t="str">
        <f>_xlfn.IFNA(VLOOKUP(A8,'[7]87149200108出'!$A$11:$E$30,3,0),-Q8)</f>
        <v>美國</v>
      </c>
      <c r="H23" s="374">
        <f>_xlfn.IFNA(VLOOKUP(A8,'[7]87149200108出'!$A$11:$E$30,5,0),-Q8)</f>
        <v>423914</v>
      </c>
      <c r="I23" s="372" t="str">
        <f>_xlfn.IFNA(VLOOKUP(A8,'[7]87149200108進'!$A$11:$E$30,3,0),-Q8)</f>
        <v>義大利</v>
      </c>
      <c r="J23" s="374">
        <f>_xlfn.IFNA(VLOOKUP(A8,'[7]87149200108進'!$A$11:$E$30,5,0),-Q8)</f>
        <v>19015</v>
      </c>
    </row>
    <row r="24" spans="1:10">
      <c r="A24" s="13">
        <v>5</v>
      </c>
      <c r="B24" s="486" t="str">
        <f>_xlfn.IFNA(VLOOKUP(A9,'[7]87149120007出'!$A$11:$E$30,3,0),-Q9)</f>
        <v>匈牙利</v>
      </c>
      <c r="C24" s="374">
        <f>_xlfn.IFNA(VLOOKUP(A9,'[7]87149120007出'!$A$11:$E$30,5,0),-Q9)</f>
        <v>3610841</v>
      </c>
      <c r="D24" s="372" t="str">
        <f>_xlfn.IFNA(VLOOKUP(A9,'[7]87149120007進'!$A$11:$E$30,3,0),-Q9)</f>
        <v>緬甸</v>
      </c>
      <c r="E24" s="374">
        <f>_xlfn.IFNA(VLOOKUP(A9,'[7]87149120007進'!$A$11:$E$30,5,0),-Q9)</f>
        <v>148522</v>
      </c>
      <c r="G24" s="372" t="str">
        <f>_xlfn.IFNA(VLOOKUP(A9,'[7]87149200108出'!$A$11:$E$30,3,0),-Q9)</f>
        <v>義大利</v>
      </c>
      <c r="H24" s="374">
        <f>_xlfn.IFNA(VLOOKUP(A9,'[7]87149200108出'!$A$11:$E$30,5,0),-Q9)</f>
        <v>262227</v>
      </c>
      <c r="I24" s="372" t="str">
        <f>_xlfn.IFNA(VLOOKUP(A9,'[7]87149200108進'!$A$11:$E$30,3,0),-Q9)</f>
        <v>德國</v>
      </c>
      <c r="J24" s="374">
        <f>_xlfn.IFNA(VLOOKUP(A9,'[7]87149200108進'!$A$11:$E$30,5,0),-Q9)</f>
        <v>11637</v>
      </c>
    </row>
    <row r="25" spans="1:10">
      <c r="A25" s="13">
        <v>6</v>
      </c>
      <c r="B25" s="486" t="str">
        <f>_xlfn.IFNA(VLOOKUP(A10,'[7]87149120007出'!$A$11:$E$30,3,0),-Q10)</f>
        <v>西班牙</v>
      </c>
      <c r="C25" s="374">
        <f>_xlfn.IFNA(VLOOKUP(A10,'[7]87149120007出'!$A$11:$E$30,5,0),-Q10)</f>
        <v>2769411</v>
      </c>
      <c r="D25" s="372" t="str">
        <f>_xlfn.IFNA(VLOOKUP(A10,'[7]87149120007進'!$A$11:$E$30,3,0),-Q10)</f>
        <v>義大利</v>
      </c>
      <c r="E25" s="374">
        <f>_xlfn.IFNA(VLOOKUP(A10,'[7]87149120007進'!$A$11:$E$30,5,0),-Q10)</f>
        <v>78092</v>
      </c>
      <c r="G25" s="372" t="str">
        <f>_xlfn.IFNA(VLOOKUP(A10,'[7]87149200108出'!$A$11:$E$30,3,0),-Q10)</f>
        <v>中國大陸</v>
      </c>
      <c r="H25" s="374">
        <f>_xlfn.IFNA(VLOOKUP(A10,'[7]87149200108出'!$A$11:$E$30,5,0),-Q10)</f>
        <v>261972</v>
      </c>
      <c r="I25" s="372" t="str">
        <f>_xlfn.IFNA(VLOOKUP(A10,'[7]87149200108進'!$A$11:$E$30,3,0),-Q10)</f>
        <v>中華民國</v>
      </c>
      <c r="J25" s="374">
        <f>_xlfn.IFNA(VLOOKUP(A10,'[7]87149200108進'!$A$11:$E$30,5,0),-Q10)</f>
        <v>9443</v>
      </c>
    </row>
    <row r="26" spans="1:10">
      <c r="A26" s="13">
        <v>7</v>
      </c>
      <c r="B26" s="486" t="str">
        <f>_xlfn.IFNA(VLOOKUP(A11,'[7]87149120007出'!$A$11:$E$30,3,0),-Q11)</f>
        <v>巴西</v>
      </c>
      <c r="C26" s="374">
        <f>_xlfn.IFNA(VLOOKUP(A11,'[7]87149120007出'!$A$11:$E$30,5,0),-Q11)</f>
        <v>1831988</v>
      </c>
      <c r="D26" s="372" t="str">
        <f>_xlfn.IFNA(VLOOKUP(A11,'[7]87149120007進'!$A$11:$E$30,3,0),-Q11)</f>
        <v>葡萄牙</v>
      </c>
      <c r="E26" s="374">
        <f>_xlfn.IFNA(VLOOKUP(A11,'[7]87149120007進'!$A$11:$E$30,5,0),-Q11)</f>
        <v>33990</v>
      </c>
      <c r="G26" s="372" t="str">
        <f>_xlfn.IFNA(VLOOKUP(A11,'[7]87149200108出'!$A$11:$E$30,3,0),-Q11)</f>
        <v>越南</v>
      </c>
      <c r="H26" s="374">
        <f>_xlfn.IFNA(VLOOKUP(A11,'[7]87149200108出'!$A$11:$E$30,5,0),-Q11)</f>
        <v>171859</v>
      </c>
      <c r="I26" s="372" t="str">
        <f>_xlfn.IFNA(VLOOKUP(A11,'[7]87149200108進'!$A$11:$E$30,3,0),-Q11)</f>
        <v>馬來西亞</v>
      </c>
      <c r="J26" s="374">
        <f>_xlfn.IFNA(VLOOKUP(A11,'[7]87149200108進'!$A$11:$E$30,5,0),-Q11)</f>
        <v>5374</v>
      </c>
    </row>
    <row r="27" spans="1:10">
      <c r="A27" s="13">
        <v>8</v>
      </c>
      <c r="B27" s="486" t="str">
        <f>_xlfn.IFNA(VLOOKUP(A12,'[7]87149120007出'!$A$11:$E$30,3,0),-Q12)</f>
        <v>義大利</v>
      </c>
      <c r="C27" s="374">
        <f>_xlfn.IFNA(VLOOKUP(A12,'[7]87149120007出'!$A$11:$E$30,5,0),-Q12)</f>
        <v>1343975</v>
      </c>
      <c r="D27" s="372" t="str">
        <f>_xlfn.IFNA(VLOOKUP(A12,'[7]87149120007進'!$A$11:$E$30,3,0),-Q12)</f>
        <v>日本</v>
      </c>
      <c r="E27" s="374">
        <f>_xlfn.IFNA(VLOOKUP(A12,'[7]87149120007進'!$A$11:$E$30,5,0),-Q12)</f>
        <v>7887</v>
      </c>
      <c r="G27" s="372" t="str">
        <f>_xlfn.IFNA(VLOOKUP(A12,'[7]87149200108出'!$A$11:$E$30,3,0),-Q12)</f>
        <v>波蘭</v>
      </c>
      <c r="H27" s="374">
        <f>_xlfn.IFNA(VLOOKUP(A12,'[7]87149200108出'!$A$11:$E$30,5,0),-Q12)</f>
        <v>103402</v>
      </c>
      <c r="I27" s="372" t="str">
        <f>_xlfn.IFNA(VLOOKUP(A12,'[7]87149200108進'!$A$11:$E$30,3,0),-Q12)</f>
        <v>日本</v>
      </c>
      <c r="J27" s="374">
        <f>_xlfn.IFNA(VLOOKUP(A12,'[7]87149200108進'!$A$11:$E$30,5,0),-Q12)</f>
        <v>4442</v>
      </c>
    </row>
    <row r="28" spans="1:10">
      <c r="A28" s="13">
        <v>9</v>
      </c>
      <c r="B28" s="486" t="str">
        <f>_xlfn.IFNA(VLOOKUP(A13,'[7]87149120007出'!$A$11:$E$30,3,0),-Q13)</f>
        <v>越南</v>
      </c>
      <c r="C28" s="374">
        <f>_xlfn.IFNA(VLOOKUP(A13,'[7]87149120007出'!$A$11:$E$30,5,0),-Q13)</f>
        <v>1264451</v>
      </c>
      <c r="D28" s="372" t="str">
        <f>_xlfn.IFNA(VLOOKUP(A13,'[7]87149120007進'!$A$11:$E$30,3,0),-Q13)</f>
        <v>美國</v>
      </c>
      <c r="E28" s="374">
        <f>_xlfn.IFNA(VLOOKUP(A13,'[7]87149120007進'!$A$11:$E$30,5,0),-Q13)</f>
        <v>7280</v>
      </c>
      <c r="G28" s="372" t="str">
        <f>_xlfn.IFNA(VLOOKUP(A13,'[7]87149200108出'!$A$11:$E$30,3,0),-Q13)</f>
        <v>澳大利亞</v>
      </c>
      <c r="H28" s="374">
        <f>_xlfn.IFNA(VLOOKUP(A13,'[7]87149200108出'!$A$11:$E$30,5,0),-Q13)</f>
        <v>71606</v>
      </c>
      <c r="I28" s="372" t="str">
        <f>_xlfn.IFNA(VLOOKUP(A13,'[7]87149200108進'!$A$11:$E$30,3,0),-Q13)</f>
        <v>葡萄牙</v>
      </c>
      <c r="J28" s="374">
        <f>_xlfn.IFNA(VLOOKUP(A13,'[7]87149200108進'!$A$11:$E$30,5,0),-Q13)</f>
        <v>3879</v>
      </c>
    </row>
    <row r="29" spans="1:10">
      <c r="A29" s="13">
        <v>10</v>
      </c>
      <c r="B29" s="486" t="str">
        <f>_xlfn.IFNA(VLOOKUP(A14,'[7]87149120007出'!$A$11:$E$30,3,0),-Q14)</f>
        <v>法國</v>
      </c>
      <c r="C29" s="374">
        <f>_xlfn.IFNA(VLOOKUP(A14,'[7]87149120007出'!$A$11:$E$30,5,0),-Q14)</f>
        <v>1238028</v>
      </c>
      <c r="D29" s="372" t="str">
        <f>_xlfn.IFNA(VLOOKUP(A14,'[7]87149120007進'!$A$11:$E$30,3,0),-Q14)</f>
        <v>德國</v>
      </c>
      <c r="E29" s="374">
        <f>_xlfn.IFNA(VLOOKUP(A14,'[7]87149120007進'!$A$11:$E$30,5,0),-Q14)</f>
        <v>1555</v>
      </c>
      <c r="G29" s="372" t="str">
        <f>_xlfn.IFNA(VLOOKUP(A14,'[7]87149200108出'!$A$11:$E$30,3,0),-Q14)</f>
        <v>英國</v>
      </c>
      <c r="H29" s="374">
        <f>_xlfn.IFNA(VLOOKUP(A14,'[7]87149200108出'!$A$11:$E$30,5,0),-Q14)</f>
        <v>68776</v>
      </c>
      <c r="I29" s="372" t="str">
        <f>_xlfn.IFNA(VLOOKUP(A14,'[7]87149200108進'!$A$11:$E$30,3,0),-Q14)</f>
        <v>泰國</v>
      </c>
      <c r="J29" s="374">
        <f>_xlfn.IFNA(VLOOKUP(A14,'[7]87149200108進'!$A$11:$E$30,5,0),-Q14)</f>
        <v>3529</v>
      </c>
    </row>
    <row r="30" spans="1:10">
      <c r="B30" s="372" t="s">
        <v>106</v>
      </c>
      <c r="C30" s="374">
        <f>C31-SUM(C20:C29)</f>
        <v>9335967</v>
      </c>
      <c r="D30" s="372" t="s">
        <v>441</v>
      </c>
      <c r="E30" s="374">
        <f>E31-SUM(E20:E29)</f>
        <v>795</v>
      </c>
      <c r="G30" s="372" t="s">
        <v>442</v>
      </c>
      <c r="H30" s="374">
        <f>H31-SUM(H20:H29)</f>
        <v>192114</v>
      </c>
      <c r="I30" s="372" t="s">
        <v>106</v>
      </c>
      <c r="J30" s="374">
        <f>J31-SUM(J20:J29)</f>
        <v>2127</v>
      </c>
    </row>
    <row r="31" spans="1:10">
      <c r="B31" s="372" t="s">
        <v>107</v>
      </c>
      <c r="C31" s="374">
        <f>VLOOKUP(B16,'[7]87149120007出'!$B$10:$E$10,4,0)</f>
        <v>48803763</v>
      </c>
      <c r="D31" s="372" t="s">
        <v>107</v>
      </c>
      <c r="E31" s="374">
        <f>VLOOKUP(B16,'[7]87149120007進'!$B$10:$E$10,4,0)</f>
        <v>22869942</v>
      </c>
      <c r="G31" s="372" t="s">
        <v>107</v>
      </c>
      <c r="H31" s="374">
        <f>VLOOKUP(B16,'[7]87149200108出'!$B$10:$E$10,4,0)</f>
        <v>2948939</v>
      </c>
      <c r="I31" s="372" t="s">
        <v>107</v>
      </c>
      <c r="J31" s="374">
        <f>VLOOKUP(B16,'[7]87149200108進'!$B$10:$E$10,4,0)</f>
        <v>4459574</v>
      </c>
    </row>
    <row r="32" spans="1:10">
      <c r="B32" s="377"/>
      <c r="D32" s="377"/>
      <c r="G32" s="377"/>
      <c r="I32" s="377"/>
    </row>
    <row r="33" spans="1:10">
      <c r="B33" s="54" t="s">
        <v>430</v>
      </c>
      <c r="D33" s="377"/>
      <c r="G33" s="54" t="s">
        <v>431</v>
      </c>
      <c r="I33" s="377"/>
    </row>
    <row r="34" spans="1:10">
      <c r="B34" s="372" t="s">
        <v>102</v>
      </c>
      <c r="C34" s="374" t="s">
        <v>103</v>
      </c>
      <c r="D34" s="372" t="s">
        <v>104</v>
      </c>
      <c r="E34" s="370" t="s">
        <v>105</v>
      </c>
      <c r="G34" s="372" t="s">
        <v>102</v>
      </c>
      <c r="H34" s="374" t="s">
        <v>103</v>
      </c>
      <c r="I34" s="372" t="s">
        <v>104</v>
      </c>
      <c r="J34" s="370" t="s">
        <v>105</v>
      </c>
    </row>
    <row r="35" spans="1:10">
      <c r="A35" s="13">
        <v>1</v>
      </c>
      <c r="B35" s="372" t="str">
        <f>_xlfn.IFNA(VLOOKUP(A5,'[7]87149200206出'!$A$11:$E$30,3,0),-Q5)</f>
        <v>中國大陸</v>
      </c>
      <c r="C35" s="374">
        <f>_xlfn.IFNA(VLOOKUP(A5,'[7]87149200206出'!$A$11:$E$30,5,0),-Q5)</f>
        <v>490747</v>
      </c>
      <c r="D35" s="372" t="str">
        <f>_xlfn.IFNA(VLOOKUP(A5,'[7]87149200206進'!$A$11:$E$30,3,0),-Q5)</f>
        <v>瑞士</v>
      </c>
      <c r="E35" s="374">
        <f>_xlfn.IFNA(VLOOKUP(A5,'[7]87149200206進'!$A$11:$E$30,5,0),-Q5)</f>
        <v>226710</v>
      </c>
      <c r="G35" s="372" t="str">
        <f>_xlfn.IFNA(VLOOKUP(A35,'[8]87149200304出'!$A$11:$E$23,3,0),-L33)</f>
        <v>荷蘭</v>
      </c>
      <c r="H35" s="374">
        <f>_xlfn.IFNA(VLOOKUP(A35,'[8]87149200304出'!$A$11:$E$23,5,0),-L33)</f>
        <v>1414375</v>
      </c>
      <c r="I35" s="372" t="str">
        <f>_xlfn.IFNA(VLOOKUP(A35,'[8]87149200304進'!$A$11:$E$23,3,0),-L33)</f>
        <v>中華民國</v>
      </c>
      <c r="J35" s="374">
        <f>_xlfn.IFNA(VLOOKUP(A35,'[8]87149200304進'!$A$11:$E$23,5,0),-L33)</f>
        <v>338664</v>
      </c>
    </row>
    <row r="36" spans="1:10">
      <c r="A36" s="13">
        <v>2</v>
      </c>
      <c r="B36" s="372" t="str">
        <f>_xlfn.IFNA(VLOOKUP(A6,'[7]87149200206出'!$A$11:$E$30,3,0),-Q6)</f>
        <v>巴西</v>
      </c>
      <c r="C36" s="374">
        <f>_xlfn.IFNA(VLOOKUP(A6,'[7]87149200206出'!$A$11:$E$30,5,0),-Q6)</f>
        <v>134468</v>
      </c>
      <c r="D36" s="372" t="str">
        <f>_xlfn.IFNA(VLOOKUP(A6,'[7]87149200206進'!$A$11:$E$30,3,0),-Q6)</f>
        <v>比利時</v>
      </c>
      <c r="E36" s="374">
        <f>_xlfn.IFNA(VLOOKUP(A6,'[7]87149200206進'!$A$11:$E$30,5,0),-Q6)</f>
        <v>139618</v>
      </c>
      <c r="G36" s="372" t="str">
        <f>_xlfn.IFNA(VLOOKUP(A36,'[8]87149200304出'!$A$11:$E$23,3,0),-L34)</f>
        <v>德國</v>
      </c>
      <c r="H36" s="374">
        <f>_xlfn.IFNA(VLOOKUP(A36,'[8]87149200304出'!$A$11:$E$23,5,0),-L34)</f>
        <v>1240065</v>
      </c>
      <c r="I36" s="372" t="str">
        <f>_xlfn.IFNA(VLOOKUP(A36,'[8]87149200304進'!$A$11:$E$23,3,0),-L34)</f>
        <v>中國大陸</v>
      </c>
      <c r="J36" s="374">
        <f>_xlfn.IFNA(VLOOKUP(A36,'[8]87149200304進'!$A$11:$E$23,5,0),-L34)</f>
        <v>303402</v>
      </c>
    </row>
    <row r="37" spans="1:10">
      <c r="A37" s="13">
        <v>3</v>
      </c>
      <c r="B37" s="372" t="str">
        <f>_xlfn.IFNA(VLOOKUP(A7,'[7]87149200206出'!$A$11:$E$30,3,0),-Q7)</f>
        <v>德國</v>
      </c>
      <c r="C37" s="374">
        <f>_xlfn.IFNA(VLOOKUP(A7,'[7]87149200206出'!$A$11:$E$30,5,0),-Q7)</f>
        <v>89921</v>
      </c>
      <c r="D37" s="372" t="str">
        <f>_xlfn.IFNA(VLOOKUP(A7,'[7]87149200206進'!$A$11:$E$30,3,0),-Q7)</f>
        <v>中國大陸</v>
      </c>
      <c r="E37" s="374">
        <f>_xlfn.IFNA(VLOOKUP(A7,'[7]87149200206進'!$A$11:$E$30,5,0),-Q7)</f>
        <v>120794</v>
      </c>
      <c r="G37" s="372" t="str">
        <f>_xlfn.IFNA(VLOOKUP(A37,'[8]87149200304出'!$A$11:$E$23,3,0),-L35)</f>
        <v>英國</v>
      </c>
      <c r="H37" s="374">
        <f>_xlfn.IFNA(VLOOKUP(A37,'[8]87149200304出'!$A$11:$E$23,5,0),-L35)</f>
        <v>899461</v>
      </c>
      <c r="I37" s="372" t="str">
        <f>_xlfn.IFNA(VLOOKUP(A37,'[8]87149200304進'!$A$11:$E$23,3,0),-L35)</f>
        <v>馬來西亞</v>
      </c>
      <c r="J37" s="374">
        <f>_xlfn.IFNA(VLOOKUP(A37,'[8]87149200304進'!$A$11:$E$23,5,0),-L35)</f>
        <v>63497</v>
      </c>
    </row>
    <row r="38" spans="1:10">
      <c r="A38" s="13">
        <v>4</v>
      </c>
      <c r="B38" s="372" t="str">
        <f>_xlfn.IFNA(VLOOKUP(A8,'[7]87149200206出'!$A$11:$E$30,3,0),-Q8)</f>
        <v>柬埔寨</v>
      </c>
      <c r="C38" s="374">
        <f>_xlfn.IFNA(VLOOKUP(A8,'[7]87149200206出'!$A$11:$E$30,5,0),-Q8)</f>
        <v>88458</v>
      </c>
      <c r="D38" s="372" t="str">
        <f>_xlfn.IFNA(VLOOKUP(A8,'[7]87149200206進'!$A$11:$E$30,3,0),-Q8)</f>
        <v>中華民國</v>
      </c>
      <c r="E38" s="374">
        <f>_xlfn.IFNA(VLOOKUP(A8,'[7]87149200206進'!$A$11:$E$30,5,0),-Q8)</f>
        <v>509</v>
      </c>
      <c r="G38" s="372" t="str">
        <f>_xlfn.IFNA(VLOOKUP(A38,'[8]87149200304出'!$A$11:$E$23,3,0),-L36)</f>
        <v>中國大陸</v>
      </c>
      <c r="H38" s="374">
        <f>_xlfn.IFNA(VLOOKUP(A38,'[8]87149200304出'!$A$11:$E$23,5,0),-L36)</f>
        <v>885976</v>
      </c>
      <c r="I38" s="372" t="str">
        <f>_xlfn.IFNA(VLOOKUP(A38,'[8]87149200304進'!$A$11:$E$23,3,0),-L36)</f>
        <v>葡萄牙</v>
      </c>
      <c r="J38" s="374">
        <f>_xlfn.IFNA(VLOOKUP(A38,'[8]87149200304進'!$A$11:$E$23,5,0),-L36)</f>
        <v>39650</v>
      </c>
    </row>
    <row r="39" spans="1:10">
      <c r="A39" s="13">
        <v>5</v>
      </c>
      <c r="B39" s="372" t="str">
        <f>_xlfn.IFNA(VLOOKUP(A9,'[7]87149200206出'!$A$11:$E$30,3,0),-Q9)</f>
        <v>越南</v>
      </c>
      <c r="C39" s="374">
        <f>_xlfn.IFNA(VLOOKUP(A9,'[7]87149200206出'!$A$11:$E$30,5,0),-Q9)</f>
        <v>43498</v>
      </c>
      <c r="D39" s="372" t="str">
        <f>_xlfn.IFNA(VLOOKUP(A9,'[7]87149200206進'!$A$11:$E$30,3,0),-Q9)</f>
        <v>法國</v>
      </c>
      <c r="E39" s="374">
        <f>_xlfn.IFNA(VLOOKUP(A9,'[7]87149200206進'!$A$11:$E$30,5,0),-Q9)</f>
        <v>127</v>
      </c>
      <c r="G39" s="372" t="str">
        <f>_xlfn.IFNA(VLOOKUP(A39,'[8]87149200304出'!$A$11:$E$23,3,0),-L37)</f>
        <v>美國</v>
      </c>
      <c r="H39" s="374">
        <f>_xlfn.IFNA(VLOOKUP(A39,'[8]87149200304出'!$A$11:$E$23,5,0),-L37)</f>
        <v>702672</v>
      </c>
      <c r="I39" s="372" t="str">
        <f>_xlfn.IFNA(VLOOKUP(A39,'[8]87149200304進'!$A$11:$E$23,3,0),-L37)</f>
        <v>日本</v>
      </c>
      <c r="J39" s="374">
        <f>_xlfn.IFNA(VLOOKUP(A39,'[8]87149200304進'!$A$11:$E$23,5,0),-L37)</f>
        <v>26677</v>
      </c>
    </row>
    <row r="40" spans="1:10">
      <c r="A40" s="13">
        <v>6</v>
      </c>
      <c r="B40" s="372" t="str">
        <f>_xlfn.IFNA(VLOOKUP(A10,'[7]87149200206出'!$A$11:$E$30,3,0),-Q10)</f>
        <v>波蘭</v>
      </c>
      <c r="C40" s="374">
        <f>_xlfn.IFNA(VLOOKUP(A10,'[7]87149200206出'!$A$11:$E$30,5,0),-Q10)</f>
        <v>29920</v>
      </c>
      <c r="D40" s="372"/>
      <c r="E40" s="374"/>
      <c r="G40" s="372" t="str">
        <f>_xlfn.IFNA(VLOOKUP(A40,'[8]87149200304出'!$A$11:$E$23,3,0),-L38)</f>
        <v>越南</v>
      </c>
      <c r="H40" s="374">
        <f>_xlfn.IFNA(VLOOKUP(A40,'[8]87149200304出'!$A$11:$E$23,5,0),-L38)</f>
        <v>246868</v>
      </c>
      <c r="I40" s="372" t="str">
        <f>_xlfn.IFNA(VLOOKUP(A40,'[8]87149200304進'!$A$11:$E$23,3,0),-L38)</f>
        <v>比利時</v>
      </c>
      <c r="J40" s="374">
        <f>_xlfn.IFNA(VLOOKUP(A40,'[8]87149200304進'!$A$11:$E$23,5,0),-L38)</f>
        <v>10716</v>
      </c>
    </row>
    <row r="41" spans="1:10">
      <c r="A41" s="13">
        <v>7</v>
      </c>
      <c r="B41" s="372" t="str">
        <f>_xlfn.IFNA(VLOOKUP(A11,'[7]87149200206出'!$A$11:$E$30,3,0),-Q11)</f>
        <v>荷蘭</v>
      </c>
      <c r="C41" s="374">
        <f>_xlfn.IFNA(VLOOKUP(A11,'[7]87149200206出'!$A$11:$E$30,5,0),-Q11)</f>
        <v>26391</v>
      </c>
      <c r="D41" s="372"/>
      <c r="E41" s="374"/>
      <c r="G41" s="372" t="str">
        <f>_xlfn.IFNA(VLOOKUP(A41,'[8]87149200304出'!$A$11:$E$23,3,0),-L39)</f>
        <v>韓國</v>
      </c>
      <c r="H41" s="374">
        <f>_xlfn.IFNA(VLOOKUP(A41,'[8]87149200304出'!$A$11:$E$23,5,0),-L39)</f>
        <v>230811</v>
      </c>
      <c r="I41" s="372" t="str">
        <f>_xlfn.IFNA(VLOOKUP(A41,'[8]87149200304進'!$A$11:$E$23,3,0),-L39)</f>
        <v>法國</v>
      </c>
      <c r="J41" s="374">
        <f>_xlfn.IFNA(VLOOKUP(A41,'[8]87149200304進'!$A$11:$E$23,5,0),-L39)</f>
        <v>6804</v>
      </c>
    </row>
    <row r="42" spans="1:10">
      <c r="A42" s="13">
        <v>8</v>
      </c>
      <c r="B42" s="372" t="str">
        <f>_xlfn.IFNA(VLOOKUP(A12,'[7]87149200206出'!$A$11:$E$30,3,0),-Q12)</f>
        <v>美國</v>
      </c>
      <c r="C42" s="374">
        <f>_xlfn.IFNA(VLOOKUP(A12,'[7]87149200206出'!$A$11:$E$30,5,0),-Q12)</f>
        <v>18793</v>
      </c>
      <c r="D42" s="372"/>
      <c r="E42" s="374"/>
      <c r="G42" s="372" t="str">
        <f>_xlfn.IFNA(VLOOKUP(A42,'[8]87149200304出'!$A$11:$E$23,3,0),-L40)</f>
        <v>柬埔寨</v>
      </c>
      <c r="H42" s="374">
        <f>_xlfn.IFNA(VLOOKUP(A42,'[8]87149200304出'!$A$11:$E$23,5,0),-L40)</f>
        <v>148140</v>
      </c>
      <c r="I42" s="372" t="str">
        <f>_xlfn.IFNA(VLOOKUP(A42,'[8]87149200304進'!$A$11:$E$23,3,0),-L40)</f>
        <v>義大利</v>
      </c>
      <c r="J42" s="374">
        <f>_xlfn.IFNA(VLOOKUP(A42,'[8]87149200304進'!$A$11:$E$23,5,0),-L40)</f>
        <v>4484</v>
      </c>
    </row>
    <row r="43" spans="1:10">
      <c r="A43" s="13">
        <v>9</v>
      </c>
      <c r="B43" s="372" t="str">
        <f>_xlfn.IFNA(VLOOKUP(A13,'[7]87149200206出'!$A$11:$E$30,3,0),-Q13)</f>
        <v>羅馬尼亞</v>
      </c>
      <c r="C43" s="374">
        <f>_xlfn.IFNA(VLOOKUP(A13,'[7]87149200206出'!$A$11:$E$30,5,0),-Q13)</f>
        <v>18792</v>
      </c>
      <c r="D43" s="372"/>
      <c r="E43" s="374"/>
      <c r="G43" s="372" t="str">
        <f>_xlfn.IFNA(VLOOKUP(A43,'[8]87149200304出'!$A$11:$E$23,3,0),-L41)</f>
        <v>西班牙</v>
      </c>
      <c r="H43" s="374">
        <f>_xlfn.IFNA(VLOOKUP(A43,'[8]87149200304出'!$A$11:$E$23,5,0),-L41)</f>
        <v>115994</v>
      </c>
      <c r="I43" s="372" t="str">
        <f>_xlfn.IFNA(VLOOKUP(A43,'[8]87149200304進'!$A$11:$E$23,3,0),-L41)</f>
        <v>美國</v>
      </c>
      <c r="J43" s="374">
        <f>_xlfn.IFNA(VLOOKUP(A43,'[8]87149200304進'!$A$11:$E$23,5,0),-L41)</f>
        <v>4006</v>
      </c>
    </row>
    <row r="44" spans="1:10">
      <c r="A44" s="13">
        <v>10</v>
      </c>
      <c r="B44" s="372" t="str">
        <f>_xlfn.IFNA(VLOOKUP(A14,'[7]87149200206出'!$A$11:$E$30,3,0),-Q14)</f>
        <v>白俄羅斯</v>
      </c>
      <c r="C44" s="374">
        <f>_xlfn.IFNA(VLOOKUP(A14,'[7]87149200206出'!$A$11:$E$30,5,0),-Q14)</f>
        <v>17234</v>
      </c>
      <c r="D44" s="372"/>
      <c r="E44" s="374"/>
      <c r="G44" s="372" t="str">
        <f>_xlfn.IFNA(VLOOKUP(A44,'[8]87149200304出'!$A$11:$E$23,3,0),-L42)</f>
        <v>法國</v>
      </c>
      <c r="H44" s="374">
        <f>_xlfn.IFNA(VLOOKUP(A44,'[8]87149200304出'!$A$11:$E$23,5,0),-L42)</f>
        <v>91987</v>
      </c>
      <c r="I44" s="372" t="str">
        <f>_xlfn.IFNA(VLOOKUP(A44,'[8]87149200304進'!$A$11:$E$23,3,0),-L42)</f>
        <v>德國</v>
      </c>
      <c r="J44" s="374">
        <f>_xlfn.IFNA(VLOOKUP(A44,'[8]87149200304進'!$A$11:$E$23,5,0),-L42)</f>
        <v>1844</v>
      </c>
    </row>
    <row r="45" spans="1:10">
      <c r="B45" s="372" t="s">
        <v>106</v>
      </c>
      <c r="C45" s="374">
        <f>C46-SUM(C34:C44)</f>
        <v>59079</v>
      </c>
      <c r="D45" s="372" t="s">
        <v>429</v>
      </c>
      <c r="E45" s="374">
        <f>E46-SUM(E34:E44)</f>
        <v>0</v>
      </c>
      <c r="G45" s="372" t="s">
        <v>443</v>
      </c>
      <c r="H45" s="374">
        <f>H46-SUM(H34:H44)</f>
        <v>608903</v>
      </c>
      <c r="I45" s="372" t="s">
        <v>444</v>
      </c>
      <c r="J45" s="374">
        <f>J46-SUM(J34:J44)</f>
        <v>763</v>
      </c>
    </row>
    <row r="46" spans="1:10">
      <c r="B46" s="372" t="s">
        <v>107</v>
      </c>
      <c r="C46" s="374">
        <f>VLOOKUP(B16,'[7]87149200206出'!$B$10:$E$10,4,0)</f>
        <v>1017301</v>
      </c>
      <c r="D46" s="372" t="s">
        <v>107</v>
      </c>
      <c r="E46" s="374">
        <f>VLOOKUP(B16,'[7]87149200206進'!$B$10:$E$10,4,0)</f>
        <v>487758</v>
      </c>
      <c r="G46" s="372" t="s">
        <v>107</v>
      </c>
      <c r="H46" s="374">
        <f>VLOOKUP(G46,'[8]87149200304出'!$B$10:$E$10,4,0)</f>
        <v>6585252</v>
      </c>
      <c r="I46" s="372" t="s">
        <v>107</v>
      </c>
      <c r="J46" s="374">
        <f>VLOOKUP(G46,'[8]87149200304進'!$B$10:$E$10,4,0)</f>
        <v>800507</v>
      </c>
    </row>
    <row r="47" spans="1:10">
      <c r="B47" s="377"/>
      <c r="D47" s="377"/>
      <c r="G47" s="377"/>
      <c r="I47" s="377"/>
    </row>
    <row r="48" spans="1:10">
      <c r="B48" s="54" t="s">
        <v>432</v>
      </c>
      <c r="G48" s="271" t="s">
        <v>445</v>
      </c>
    </row>
    <row r="49" spans="1:10">
      <c r="B49" s="30" t="s">
        <v>102</v>
      </c>
      <c r="C49" s="370" t="s">
        <v>103</v>
      </c>
      <c r="D49" s="30" t="s">
        <v>104</v>
      </c>
      <c r="E49" s="370" t="s">
        <v>105</v>
      </c>
      <c r="G49" s="30" t="s">
        <v>102</v>
      </c>
      <c r="H49" s="370" t="s">
        <v>103</v>
      </c>
      <c r="I49" s="30" t="s">
        <v>104</v>
      </c>
      <c r="J49" s="370" t="s">
        <v>105</v>
      </c>
    </row>
    <row r="50" spans="1:10">
      <c r="A50" s="13">
        <v>1</v>
      </c>
      <c r="B50" s="372" t="str">
        <f>_xlfn.IFNA(VLOOKUP(A35,'[8]87149310007出'!$A$11:$E$23,3,0),-L33)</f>
        <v>中國大陸</v>
      </c>
      <c r="C50" s="374">
        <f>_xlfn.IFNA(VLOOKUP(A35,'[8]87149310007出'!$A$11:$E$23,5,0),-L33)</f>
        <v>451703</v>
      </c>
      <c r="D50" s="372" t="str">
        <f>_xlfn.IFNA(VLOOKUP(A35,'[8]87149310007進'!$A$11:$E$23,3,0),-L33)</f>
        <v>中國大陸</v>
      </c>
      <c r="E50" s="374">
        <f>_xlfn.IFNA(VLOOKUP(A35,'[8]87149310007進'!$A$11:$E$23,5,0),-L33)</f>
        <v>1228682</v>
      </c>
      <c r="G50" s="375" t="str">
        <f>_xlfn.IFNA(VLOOKUP(A35,'[8]87149320103出'!$A$11:$E$23,3,0),-L33)</f>
        <v>德國</v>
      </c>
      <c r="H50" s="374">
        <f>_xlfn.IFNA(VLOOKUP(A35,'[8]87149320103出'!$A$11:$E$23,5,0),-L33)</f>
        <v>36884</v>
      </c>
      <c r="I50" s="375" t="str">
        <f>_xlfn.IFNA(VLOOKUP(A35,'[8]87149320103進'!$A$11:$E$23,3,0),-L33)</f>
        <v>日本</v>
      </c>
      <c r="J50" s="374">
        <f>_xlfn.IFNA(VLOOKUP(A35,'[8]87149320103進'!$A$11:$E$23,5,0),-L33)</f>
        <v>6677</v>
      </c>
    </row>
    <row r="51" spans="1:10">
      <c r="A51" s="13">
        <v>2</v>
      </c>
      <c r="B51" s="372" t="str">
        <f>_xlfn.IFNA(VLOOKUP(A36,'[8]87149310007出'!$A$11:$E$23,3,0),-L34)</f>
        <v>波蘭</v>
      </c>
      <c r="C51" s="374">
        <f>_xlfn.IFNA(VLOOKUP(A36,'[8]87149310007出'!$A$11:$E$23,5,0),-L34)</f>
        <v>438570</v>
      </c>
      <c r="D51" s="372" t="str">
        <f>_xlfn.IFNA(VLOOKUP(A36,'[8]87149310007進'!$A$11:$E$23,3,0),-L34)</f>
        <v>泰國</v>
      </c>
      <c r="E51" s="374">
        <f>_xlfn.IFNA(VLOOKUP(A36,'[8]87149310007進'!$A$11:$E$23,5,0),-L34)</f>
        <v>270556</v>
      </c>
      <c r="G51" s="375" t="str">
        <f>_xlfn.IFNA(VLOOKUP(A36,'[8]87149320103出'!$A$11:$E$23,3,0),-L34)</f>
        <v>法國</v>
      </c>
      <c r="H51" s="374">
        <f>_xlfn.IFNA(VLOOKUP(A36,'[8]87149320103出'!$A$11:$E$23,5,0),-L34)</f>
        <v>5183</v>
      </c>
      <c r="I51" s="375" t="str">
        <f>_xlfn.IFNA(VLOOKUP(A36,'[8]87149320103進'!$A$11:$E$23,3,0),-L34)</f>
        <v>印尼</v>
      </c>
      <c r="J51" s="374">
        <f>_xlfn.IFNA(VLOOKUP(A36,'[8]87149320103進'!$A$11:$E$23,5,0),-L34)</f>
        <v>4579</v>
      </c>
    </row>
    <row r="52" spans="1:10">
      <c r="A52" s="13">
        <v>3</v>
      </c>
      <c r="B52" s="372" t="str">
        <f>_xlfn.IFNA(VLOOKUP(A37,'[8]87149310007出'!$A$11:$E$23,3,0),-L35)</f>
        <v>荷蘭</v>
      </c>
      <c r="C52" s="374">
        <f>_xlfn.IFNA(VLOOKUP(A37,'[8]87149310007出'!$A$11:$E$23,5,0),-L35)</f>
        <v>362702</v>
      </c>
      <c r="D52" s="372" t="str">
        <f>_xlfn.IFNA(VLOOKUP(A37,'[8]87149310007進'!$A$11:$E$23,3,0),-L35)</f>
        <v>瑞士</v>
      </c>
      <c r="E52" s="374">
        <f>_xlfn.IFNA(VLOOKUP(A37,'[8]87149310007進'!$A$11:$E$23,5,0),-L35)</f>
        <v>146137</v>
      </c>
      <c r="G52" s="375" t="str">
        <f>_xlfn.IFNA(VLOOKUP(A37,'[8]87149320103出'!$A$11:$E$23,3,0),-L35)</f>
        <v>墨西哥</v>
      </c>
      <c r="H52" s="374">
        <f>_xlfn.IFNA(VLOOKUP(A37,'[8]87149320103出'!$A$11:$E$23,5,0),-L35)</f>
        <v>5087</v>
      </c>
      <c r="I52" s="375" t="str">
        <f>_xlfn.IFNA(VLOOKUP(A37,'[8]87149320103進'!$A$11:$E$23,3,0),-L35)</f>
        <v>中國大陸</v>
      </c>
      <c r="J52" s="374">
        <f>_xlfn.IFNA(VLOOKUP(A37,'[8]87149320103進'!$A$11:$E$23,5,0),-L35)</f>
        <v>3085</v>
      </c>
    </row>
    <row r="53" spans="1:10">
      <c r="A53" s="13">
        <v>4</v>
      </c>
      <c r="B53" s="372" t="str">
        <f>_xlfn.IFNA(VLOOKUP(A38,'[8]87149310007出'!$A$11:$E$23,3,0),-L36)</f>
        <v>越南</v>
      </c>
      <c r="C53" s="374">
        <f>_xlfn.IFNA(VLOOKUP(A38,'[8]87149310007出'!$A$11:$E$23,5,0),-L36)</f>
        <v>361655</v>
      </c>
      <c r="D53" s="372" t="str">
        <f>_xlfn.IFNA(VLOOKUP(A38,'[8]87149310007進'!$A$11:$E$23,3,0),-L36)</f>
        <v>馬來西亞</v>
      </c>
      <c r="E53" s="374">
        <f>_xlfn.IFNA(VLOOKUP(A38,'[8]87149310007進'!$A$11:$E$23,5,0),-L36)</f>
        <v>122248</v>
      </c>
      <c r="G53" s="375" t="str">
        <f>_xlfn.IFNA(VLOOKUP(A38,'[8]87149320103出'!$A$11:$E$23,3,0),-L36)</f>
        <v>斯里蘭卡</v>
      </c>
      <c r="H53" s="374">
        <f>_xlfn.IFNA(VLOOKUP(A38,'[8]87149320103出'!$A$11:$E$23,5,0),-L36)</f>
        <v>2130</v>
      </c>
      <c r="I53" s="375" t="str">
        <f>_xlfn.IFNA(VLOOKUP(A38,'[8]87149320103進'!$A$11:$E$23,3,0),-L36)</f>
        <v>馬來西亞</v>
      </c>
      <c r="J53" s="374">
        <f>_xlfn.IFNA(VLOOKUP(A38,'[8]87149320103進'!$A$11:$E$23,5,0),-L36)</f>
        <v>2003</v>
      </c>
    </row>
    <row r="54" spans="1:10">
      <c r="A54" s="13">
        <v>5</v>
      </c>
      <c r="B54" s="372" t="str">
        <f>_xlfn.IFNA(VLOOKUP(A39,'[8]87149310007出'!$A$11:$E$23,3,0),-L37)</f>
        <v>英國</v>
      </c>
      <c r="C54" s="374">
        <f>_xlfn.IFNA(VLOOKUP(A39,'[8]87149310007出'!$A$11:$E$23,5,0),-L37)</f>
        <v>349096</v>
      </c>
      <c r="D54" s="372" t="str">
        <f>_xlfn.IFNA(VLOOKUP(A39,'[8]87149310007進'!$A$11:$E$23,3,0),-L37)</f>
        <v>美國</v>
      </c>
      <c r="E54" s="374">
        <f>_xlfn.IFNA(VLOOKUP(A39,'[8]87149310007進'!$A$11:$E$23,5,0),-L37)</f>
        <v>62290</v>
      </c>
      <c r="G54" s="375" t="str">
        <f>_xlfn.IFNA(VLOOKUP(A39,'[8]87149320103出'!$A$11:$E$23,3,0),-L37)</f>
        <v>巴西</v>
      </c>
      <c r="H54" s="374">
        <f>_xlfn.IFNA(VLOOKUP(A39,'[8]87149320103出'!$A$11:$E$23,5,0),-L37)</f>
        <v>1844</v>
      </c>
      <c r="I54" s="375"/>
      <c r="J54" s="374"/>
    </row>
    <row r="55" spans="1:10">
      <c r="A55" s="13">
        <v>6</v>
      </c>
      <c r="B55" s="372" t="str">
        <f>_xlfn.IFNA(VLOOKUP(A40,'[8]87149310007出'!$A$11:$E$23,3,0),-L38)</f>
        <v>美國</v>
      </c>
      <c r="C55" s="374">
        <f>_xlfn.IFNA(VLOOKUP(A40,'[8]87149310007出'!$A$11:$E$23,5,0),-L38)</f>
        <v>280000</v>
      </c>
      <c r="D55" s="372" t="str">
        <f>_xlfn.IFNA(VLOOKUP(A40,'[8]87149310007進'!$A$11:$E$23,3,0),-L38)</f>
        <v>印尼</v>
      </c>
      <c r="E55" s="374">
        <f>_xlfn.IFNA(VLOOKUP(A40,'[8]87149310007進'!$A$11:$E$23,5,0),-L38)</f>
        <v>50652</v>
      </c>
      <c r="G55" s="375" t="str">
        <f>_xlfn.IFNA(VLOOKUP(A40,'[8]87149320103出'!$A$11:$E$23,3,0),-L38)</f>
        <v>拉脫維亞</v>
      </c>
      <c r="H55" s="374">
        <f>_xlfn.IFNA(VLOOKUP(A40,'[8]87149320103出'!$A$11:$E$23,5,0),-L38)</f>
        <v>64</v>
      </c>
      <c r="I55" s="375"/>
      <c r="J55" s="374"/>
    </row>
    <row r="56" spans="1:10">
      <c r="A56" s="13">
        <v>7</v>
      </c>
      <c r="B56" s="372" t="str">
        <f>_xlfn.IFNA(VLOOKUP(A41,'[8]87149310007出'!$A$11:$E$23,3,0),-L39)</f>
        <v>德國</v>
      </c>
      <c r="C56" s="374">
        <f>_xlfn.IFNA(VLOOKUP(A41,'[8]87149310007出'!$A$11:$E$23,5,0),-L39)</f>
        <v>158826</v>
      </c>
      <c r="D56" s="372" t="str">
        <f>_xlfn.IFNA(VLOOKUP(A41,'[8]87149310007進'!$A$11:$E$23,3,0),-L39)</f>
        <v>中華民國</v>
      </c>
      <c r="E56" s="374">
        <f>_xlfn.IFNA(VLOOKUP(A41,'[8]87149310007進'!$A$11:$E$23,5,0),-L39)</f>
        <v>9061</v>
      </c>
      <c r="G56" s="375"/>
      <c r="H56" s="374"/>
      <c r="I56" s="375"/>
      <c r="J56" s="374"/>
    </row>
    <row r="57" spans="1:10">
      <c r="A57" s="13">
        <v>8</v>
      </c>
      <c r="B57" s="372" t="str">
        <f>_xlfn.IFNA(VLOOKUP(A42,'[8]87149310007出'!$A$11:$E$23,3,0),-L40)</f>
        <v>巴西</v>
      </c>
      <c r="C57" s="374">
        <f>_xlfn.IFNA(VLOOKUP(A42,'[8]87149310007出'!$A$11:$E$23,5,0),-L40)</f>
        <v>136057</v>
      </c>
      <c r="D57" s="372" t="str">
        <f>_xlfn.IFNA(VLOOKUP(A42,'[8]87149310007進'!$A$11:$E$23,3,0),-L40)</f>
        <v>日本</v>
      </c>
      <c r="E57" s="374">
        <f>_xlfn.IFNA(VLOOKUP(A42,'[8]87149310007進'!$A$11:$E$23,5,0),-L40)</f>
        <v>8712</v>
      </c>
      <c r="G57" s="375"/>
      <c r="H57" s="374"/>
      <c r="I57" s="375"/>
      <c r="J57" s="374"/>
    </row>
    <row r="58" spans="1:10">
      <c r="A58" s="13">
        <v>9</v>
      </c>
      <c r="B58" s="372" t="str">
        <f>_xlfn.IFNA(VLOOKUP(A43,'[8]87149310007出'!$A$11:$E$23,3,0),-L41)</f>
        <v>法國</v>
      </c>
      <c r="C58" s="374">
        <f>_xlfn.IFNA(VLOOKUP(A43,'[8]87149310007出'!$A$11:$E$23,5,0),-L41)</f>
        <v>126646</v>
      </c>
      <c r="D58" s="372" t="str">
        <f>_xlfn.IFNA(VLOOKUP(A43,'[8]87149310007進'!$A$11:$E$23,3,0),-L41)</f>
        <v>越南</v>
      </c>
      <c r="E58" s="374">
        <f>_xlfn.IFNA(VLOOKUP(A43,'[8]87149310007進'!$A$11:$E$23,5,0),-L41)</f>
        <v>1749</v>
      </c>
      <c r="G58" s="375"/>
      <c r="H58" s="374"/>
      <c r="I58" s="375"/>
      <c r="J58" s="374"/>
    </row>
    <row r="59" spans="1:10">
      <c r="A59" s="13">
        <v>10</v>
      </c>
      <c r="B59" s="372" t="str">
        <f>_xlfn.IFNA(VLOOKUP(A44,'[8]87149310007出'!$A$11:$E$23,3,0),-L42)</f>
        <v>澳大利亞</v>
      </c>
      <c r="C59" s="374">
        <f>_xlfn.IFNA(VLOOKUP(A44,'[8]87149310007出'!$A$11:$E$23,5,0),-L42)</f>
        <v>83752</v>
      </c>
      <c r="D59" s="372" t="str">
        <f>_xlfn.IFNA(VLOOKUP(A44,'[8]87149310007進'!$A$11:$E$23,3,0),-L42)</f>
        <v>荷蘭</v>
      </c>
      <c r="E59" s="374">
        <f>_xlfn.IFNA(VLOOKUP(A44,'[8]87149310007進'!$A$11:$E$23,5,0),-L42)</f>
        <v>318</v>
      </c>
      <c r="G59" s="375"/>
      <c r="H59" s="374"/>
      <c r="I59" s="375"/>
      <c r="J59" s="374"/>
    </row>
    <row r="60" spans="1:10">
      <c r="B60" s="372" t="s">
        <v>443</v>
      </c>
      <c r="C60" s="374">
        <f>C61-SUM(C49:C59)</f>
        <v>509698</v>
      </c>
      <c r="D60" s="372" t="s">
        <v>106</v>
      </c>
      <c r="E60" s="374">
        <f>E61-SUM(E49:E59)</f>
        <v>64</v>
      </c>
      <c r="G60" s="375" t="s">
        <v>443</v>
      </c>
      <c r="H60" s="374">
        <f>H61-SUM(H49:H59)</f>
        <v>0</v>
      </c>
      <c r="I60" s="372" t="s">
        <v>106</v>
      </c>
      <c r="J60" s="374">
        <f>J61-SUM(J49:J59)</f>
        <v>0</v>
      </c>
    </row>
    <row r="61" spans="1:10">
      <c r="B61" s="372" t="s">
        <v>107</v>
      </c>
      <c r="C61" s="374">
        <f>VLOOKUP(G46,'[8]87149310007出'!$B$10:$E$10,4,0)</f>
        <v>3258705</v>
      </c>
      <c r="D61" s="372" t="s">
        <v>107</v>
      </c>
      <c r="E61" s="374">
        <f>VLOOKUP(G46,'[8]87149310007進'!$B$10:$E$10,4,0)</f>
        <v>1900469</v>
      </c>
      <c r="G61" s="372" t="s">
        <v>107</v>
      </c>
      <c r="H61" s="374">
        <f>VLOOKUP(G46,'[8]87149320103出'!$B$10:$E$10,4,0)</f>
        <v>51192</v>
      </c>
      <c r="I61" s="372" t="s">
        <v>107</v>
      </c>
      <c r="J61" s="374">
        <f>VLOOKUP(G46,'[8]87149320103進'!$B$10:$E$10,4,0)</f>
        <v>16344</v>
      </c>
    </row>
    <row r="63" spans="1:10">
      <c r="B63" s="484" t="s">
        <v>446</v>
      </c>
      <c r="G63" s="484" t="s">
        <v>447</v>
      </c>
    </row>
    <row r="64" spans="1:10">
      <c r="B64" s="30" t="s">
        <v>102</v>
      </c>
      <c r="C64" s="370" t="s">
        <v>103</v>
      </c>
      <c r="D64" s="30" t="s">
        <v>104</v>
      </c>
      <c r="E64" s="370" t="s">
        <v>105</v>
      </c>
      <c r="G64" s="30" t="s">
        <v>102</v>
      </c>
      <c r="H64" s="370" t="s">
        <v>103</v>
      </c>
      <c r="I64" s="30" t="s">
        <v>104</v>
      </c>
      <c r="J64" s="370" t="s">
        <v>105</v>
      </c>
    </row>
    <row r="65" spans="1:10">
      <c r="A65" s="13">
        <v>1</v>
      </c>
      <c r="B65" s="372" t="str">
        <f>_xlfn.IFNA(VLOOKUP(A35,'[8]87149410006出'!$A$11:$E$23,3,0),-L33)</f>
        <v>美國</v>
      </c>
      <c r="C65" s="374">
        <f>_xlfn.IFNA(VLOOKUP(A35,'[8]87149410006出'!$A$11:$E$23,5,0),-L33)</f>
        <v>308617</v>
      </c>
      <c r="D65" s="372" t="str">
        <f>_xlfn.IFNA(VLOOKUP(A35,'[8]87149410006進'!$A$11:$E$23,3,0),-L33)</f>
        <v>日本</v>
      </c>
      <c r="E65" s="374">
        <f>_xlfn.IFNA(VLOOKUP(A35,'[8]87149410006進'!$A$11:$E$23,5,0),-L33)</f>
        <v>179141</v>
      </c>
      <c r="G65" s="372" t="str">
        <f>_xlfn.IFNA(VLOOKUP(A35,'[8]87149490009出'!$A$11:$E$23,3,0),-L33)</f>
        <v>德國</v>
      </c>
      <c r="H65" s="374">
        <f>_xlfn.IFNA(VLOOKUP(A35,'[8]87149490009出'!$A$11:$E$23,5,0),-L33)</f>
        <v>3911382</v>
      </c>
      <c r="I65" s="372" t="str">
        <f>_xlfn.IFNA(VLOOKUP(A35,'[8]87149490009進'!$A$11:$E$23,3,0),-L33)</f>
        <v>日本</v>
      </c>
      <c r="J65" s="374">
        <f>_xlfn.IFNA(VLOOKUP(A35,'[8]87149490009進'!$A$11:$E$23,5,0),-L33)</f>
        <v>4002797</v>
      </c>
    </row>
    <row r="66" spans="1:10">
      <c r="A66" s="13">
        <v>2</v>
      </c>
      <c r="B66" s="372" t="str">
        <f>_xlfn.IFNA(VLOOKUP(A36,'[8]87149410006出'!$A$11:$E$23,3,0),-L34)</f>
        <v>孟加拉</v>
      </c>
      <c r="C66" s="374">
        <f>_xlfn.IFNA(VLOOKUP(A36,'[8]87149410006出'!$A$11:$E$23,5,0),-L34)</f>
        <v>36026</v>
      </c>
      <c r="D66" s="372" t="str">
        <f>_xlfn.IFNA(VLOOKUP(A36,'[8]87149410006進'!$A$11:$E$23,3,0),-L34)</f>
        <v>馬來西亞</v>
      </c>
      <c r="E66" s="374">
        <f>_xlfn.IFNA(VLOOKUP(A36,'[8]87149410006進'!$A$11:$E$23,5,0),-L34)</f>
        <v>13959</v>
      </c>
      <c r="G66" s="372" t="str">
        <f>_xlfn.IFNA(VLOOKUP(A36,'[8]87149490009出'!$A$11:$E$23,3,0),-L34)</f>
        <v>中國大陸</v>
      </c>
      <c r="H66" s="374">
        <f>_xlfn.IFNA(VLOOKUP(A36,'[8]87149490009出'!$A$11:$E$23,5,0),-L34)</f>
        <v>2413163</v>
      </c>
      <c r="I66" s="372" t="str">
        <f>_xlfn.IFNA(VLOOKUP(A36,'[8]87149490009進'!$A$11:$E$23,3,0),-L34)</f>
        <v>中國大陸</v>
      </c>
      <c r="J66" s="374">
        <f>_xlfn.IFNA(VLOOKUP(A36,'[8]87149490009進'!$A$11:$E$23,5,0),-L34)</f>
        <v>762968</v>
      </c>
    </row>
    <row r="67" spans="1:10">
      <c r="A67" s="13">
        <v>3</v>
      </c>
      <c r="B67" s="372" t="str">
        <f>_xlfn.IFNA(VLOOKUP(A37,'[8]87149410006出'!$A$11:$E$23,3,0),-L35)</f>
        <v>加拿大</v>
      </c>
      <c r="C67" s="374">
        <f>_xlfn.IFNA(VLOOKUP(A37,'[8]87149410006出'!$A$11:$E$23,5,0),-L35)</f>
        <v>27345</v>
      </c>
      <c r="D67" s="372" t="str">
        <f>_xlfn.IFNA(VLOOKUP(A37,'[8]87149410006進'!$A$11:$E$23,3,0),-L35)</f>
        <v>中國大陸</v>
      </c>
      <c r="E67" s="374">
        <f>_xlfn.IFNA(VLOOKUP(A37,'[8]87149410006進'!$A$11:$E$23,5,0),-L35)</f>
        <v>2703</v>
      </c>
      <c r="G67" s="372" t="str">
        <f>_xlfn.IFNA(VLOOKUP(A37,'[8]87149490009出'!$A$11:$E$23,3,0),-L35)</f>
        <v>荷蘭</v>
      </c>
      <c r="H67" s="374">
        <f>_xlfn.IFNA(VLOOKUP(A37,'[8]87149490009出'!$A$11:$E$23,5,0),-L35)</f>
        <v>1412812</v>
      </c>
      <c r="I67" s="372" t="str">
        <f>_xlfn.IFNA(VLOOKUP(A37,'[8]87149490009進'!$A$11:$E$23,3,0),-L35)</f>
        <v>馬來西亞</v>
      </c>
      <c r="J67" s="374">
        <f>_xlfn.IFNA(VLOOKUP(A37,'[8]87149490009進'!$A$11:$E$23,5,0),-L35)</f>
        <v>324660</v>
      </c>
    </row>
    <row r="68" spans="1:10">
      <c r="A68" s="13">
        <v>4</v>
      </c>
      <c r="B68" s="372" t="str">
        <f>_xlfn.IFNA(VLOOKUP(A38,'[8]87149410006出'!$A$11:$E$23,3,0),-L36)</f>
        <v>日本</v>
      </c>
      <c r="C68" s="374">
        <f>_xlfn.IFNA(VLOOKUP(A38,'[8]87149410006出'!$A$11:$E$23,5,0),-L36)</f>
        <v>22925</v>
      </c>
      <c r="D68" s="372" t="str">
        <f>_xlfn.IFNA(VLOOKUP(A38,'[8]87149410006進'!$A$11:$E$23,3,0),-L36)</f>
        <v>美國</v>
      </c>
      <c r="E68" s="374">
        <f>_xlfn.IFNA(VLOOKUP(A38,'[8]87149410006進'!$A$11:$E$23,5,0),-L36)</f>
        <v>1590</v>
      </c>
      <c r="G68" s="372" t="str">
        <f>_xlfn.IFNA(VLOOKUP(A38,'[8]87149490009出'!$A$11:$E$23,3,0),-L36)</f>
        <v>美國</v>
      </c>
      <c r="H68" s="374">
        <f>_xlfn.IFNA(VLOOKUP(A38,'[8]87149490009出'!$A$11:$E$23,5,0),-L36)</f>
        <v>948903</v>
      </c>
      <c r="I68" s="372" t="str">
        <f>_xlfn.IFNA(VLOOKUP(A38,'[8]87149490009進'!$A$11:$E$23,3,0),-L36)</f>
        <v>中華民國</v>
      </c>
      <c r="J68" s="374">
        <f>_xlfn.IFNA(VLOOKUP(A38,'[8]87149490009進'!$A$11:$E$23,5,0),-L36)</f>
        <v>85979</v>
      </c>
    </row>
    <row r="69" spans="1:10">
      <c r="A69" s="13">
        <v>5</v>
      </c>
      <c r="B69" s="372" t="str">
        <f>_xlfn.IFNA(VLOOKUP(A39,'[8]87149410006出'!$A$11:$E$23,3,0),-L37)</f>
        <v>英國</v>
      </c>
      <c r="C69" s="374">
        <f>_xlfn.IFNA(VLOOKUP(A39,'[8]87149410006出'!$A$11:$E$23,5,0),-L37)</f>
        <v>18347</v>
      </c>
      <c r="D69" s="372" t="str">
        <f>_xlfn.IFNA(VLOOKUP(A39,'[8]87149410006進'!$A$11:$E$23,3,0),-L37)</f>
        <v>印尼</v>
      </c>
      <c r="E69" s="374">
        <f>_xlfn.IFNA(VLOOKUP(A39,'[8]87149410006進'!$A$11:$E$23,5,0),-L37)</f>
        <v>731</v>
      </c>
      <c r="G69" s="372" t="str">
        <f>_xlfn.IFNA(VLOOKUP(A39,'[8]87149490009出'!$A$11:$E$23,3,0),-L37)</f>
        <v>西班牙</v>
      </c>
      <c r="H69" s="374">
        <f>_xlfn.IFNA(VLOOKUP(A39,'[8]87149490009出'!$A$11:$E$23,5,0),-L37)</f>
        <v>811542</v>
      </c>
      <c r="I69" s="372" t="str">
        <f>_xlfn.IFNA(VLOOKUP(A39,'[8]87149490009進'!$A$11:$E$23,3,0),-L37)</f>
        <v>越南</v>
      </c>
      <c r="J69" s="374">
        <f>_xlfn.IFNA(VLOOKUP(A39,'[8]87149490009進'!$A$11:$E$23,5,0),-L37)</f>
        <v>64197</v>
      </c>
    </row>
    <row r="70" spans="1:10">
      <c r="A70" s="13">
        <v>6</v>
      </c>
      <c r="B70" s="372" t="str">
        <f>_xlfn.IFNA(VLOOKUP(A40,'[8]87149410006出'!$A$11:$E$23,3,0),-L38)</f>
        <v>澳大利亞</v>
      </c>
      <c r="C70" s="374">
        <f>_xlfn.IFNA(VLOOKUP(A40,'[8]87149410006出'!$A$11:$E$23,5,0),-L38)</f>
        <v>12369</v>
      </c>
      <c r="D70" s="372" t="str">
        <f>_xlfn.IFNA(VLOOKUP(A40,'[8]87149410006進'!$A$11:$E$23,3,0),-L38)</f>
        <v>越南</v>
      </c>
      <c r="E70" s="374">
        <f>_xlfn.IFNA(VLOOKUP(A40,'[8]87149410006進'!$A$11:$E$23,5,0),-L38)</f>
        <v>29</v>
      </c>
      <c r="G70" s="372" t="str">
        <f>_xlfn.IFNA(VLOOKUP(A40,'[8]87149490009出'!$A$11:$E$23,3,0),-L38)</f>
        <v>日本</v>
      </c>
      <c r="H70" s="374">
        <f>_xlfn.IFNA(VLOOKUP(A40,'[8]87149490009出'!$A$11:$E$23,5,0),-L38)</f>
        <v>652339</v>
      </c>
      <c r="I70" s="372" t="str">
        <f>_xlfn.IFNA(VLOOKUP(A40,'[8]87149490009進'!$A$11:$E$23,3,0),-L38)</f>
        <v>義大利</v>
      </c>
      <c r="J70" s="374">
        <f>_xlfn.IFNA(VLOOKUP(A40,'[8]87149490009進'!$A$11:$E$23,5,0),-L38)</f>
        <v>12401</v>
      </c>
    </row>
    <row r="71" spans="1:10">
      <c r="A71" s="13">
        <v>7</v>
      </c>
      <c r="B71" s="372" t="str">
        <f>_xlfn.IFNA(VLOOKUP(A41,'[8]87149410006出'!$A$11:$E$23,3,0),-L39)</f>
        <v>新加坡</v>
      </c>
      <c r="C71" s="374">
        <f>_xlfn.IFNA(VLOOKUP(A41,'[8]87149410006出'!$A$11:$E$23,5,0),-L39)</f>
        <v>1844</v>
      </c>
      <c r="D71" s="372"/>
      <c r="E71" s="374"/>
      <c r="G71" s="372" t="str">
        <f>_xlfn.IFNA(VLOOKUP(A41,'[8]87149490009出'!$A$11:$E$23,3,0),-L39)</f>
        <v>越南</v>
      </c>
      <c r="H71" s="374">
        <f>_xlfn.IFNA(VLOOKUP(A41,'[8]87149490009出'!$A$11:$E$23,5,0),-L39)</f>
        <v>625151</v>
      </c>
      <c r="I71" s="372" t="str">
        <f>_xlfn.IFNA(VLOOKUP(A41,'[8]87149490009進'!$A$11:$E$23,3,0),-L39)</f>
        <v>印尼</v>
      </c>
      <c r="J71" s="374">
        <f>_xlfn.IFNA(VLOOKUP(A41,'[8]87149490009進'!$A$11:$E$23,5,0),-L39)</f>
        <v>6964</v>
      </c>
    </row>
    <row r="72" spans="1:10">
      <c r="A72" s="13">
        <v>8</v>
      </c>
      <c r="B72" s="372" t="str">
        <f>_xlfn.IFNA(VLOOKUP(A42,'[8]87149410006出'!$A$11:$E$23,3,0),-L40)</f>
        <v>哥斯大黎加</v>
      </c>
      <c r="C72" s="374">
        <f>_xlfn.IFNA(VLOOKUP(A42,'[8]87149410006出'!$A$11:$E$23,5,0),-L40)</f>
        <v>1049</v>
      </c>
      <c r="D72" s="372"/>
      <c r="E72" s="374"/>
      <c r="G72" s="372" t="str">
        <f>_xlfn.IFNA(VLOOKUP(A42,'[8]87149490009出'!$A$11:$E$23,3,0),-L40)</f>
        <v>法國</v>
      </c>
      <c r="H72" s="374">
        <f>_xlfn.IFNA(VLOOKUP(A42,'[8]87149490009出'!$A$11:$E$23,5,0),-L40)</f>
        <v>614818</v>
      </c>
      <c r="I72" s="372" t="str">
        <f>_xlfn.IFNA(VLOOKUP(A42,'[8]87149490009進'!$A$11:$E$23,3,0),-L40)</f>
        <v>荷蘭</v>
      </c>
      <c r="J72" s="374">
        <f>_xlfn.IFNA(VLOOKUP(A42,'[8]87149490009進'!$A$11:$E$23,5,0),-L40)</f>
        <v>5692</v>
      </c>
    </row>
    <row r="73" spans="1:10">
      <c r="A73" s="13">
        <v>9</v>
      </c>
      <c r="B73" s="372" t="str">
        <f>_xlfn.IFNA(VLOOKUP(A43,'[8]87149410006出'!$A$11:$E$23,3,0),-L41)</f>
        <v>埃及</v>
      </c>
      <c r="C73" s="374">
        <f>_xlfn.IFNA(VLOOKUP(A43,'[8]87149410006出'!$A$11:$E$23,5,0),-L41)</f>
        <v>318</v>
      </c>
      <c r="D73" s="372"/>
      <c r="E73" s="374"/>
      <c r="G73" s="372" t="str">
        <f>_xlfn.IFNA(VLOOKUP(A43,'[8]87149490009出'!$A$11:$E$23,3,0),-L41)</f>
        <v>義大利</v>
      </c>
      <c r="H73" s="374">
        <f>_xlfn.IFNA(VLOOKUP(A43,'[8]87149490009出'!$A$11:$E$23,5,0),-L41)</f>
        <v>531381</v>
      </c>
      <c r="I73" s="372" t="str">
        <f>_xlfn.IFNA(VLOOKUP(A43,'[8]87149490009進'!$A$11:$E$23,3,0),-L41)</f>
        <v>德國</v>
      </c>
      <c r="J73" s="374">
        <f>_xlfn.IFNA(VLOOKUP(A43,'[8]87149490009進'!$A$11:$E$23,5,0),-L41)</f>
        <v>4864</v>
      </c>
    </row>
    <row r="74" spans="1:10">
      <c r="A74" s="13">
        <v>10</v>
      </c>
      <c r="B74" s="372" t="str">
        <f>_xlfn.IFNA(VLOOKUP(A44,'[8]87149410006出'!$A$11:$E$23,3,0),-L42)</f>
        <v>香港</v>
      </c>
      <c r="C74" s="374">
        <f>_xlfn.IFNA(VLOOKUP(A44,'[8]87149410006出'!$A$11:$E$23,5,0),-L42)</f>
        <v>127</v>
      </c>
      <c r="D74" s="372"/>
      <c r="E74" s="374"/>
      <c r="G74" s="372" t="str">
        <f>_xlfn.IFNA(VLOOKUP(A44,'[8]87149490009出'!$A$11:$E$23,3,0),-L42)</f>
        <v>柬埔寨</v>
      </c>
      <c r="H74" s="374">
        <f>_xlfn.IFNA(VLOOKUP(A44,'[8]87149490009出'!$A$11:$E$23,5,0),-L42)</f>
        <v>459205</v>
      </c>
      <c r="I74" s="372" t="str">
        <f>_xlfn.IFNA(VLOOKUP(A44,'[8]87149490009進'!$A$11:$E$23,3,0),-L42)</f>
        <v>捷克</v>
      </c>
      <c r="J74" s="374">
        <f>_xlfn.IFNA(VLOOKUP(A44,'[8]87149490009進'!$A$11:$E$23,5,0),-L42)</f>
        <v>2289</v>
      </c>
    </row>
    <row r="75" spans="1:10">
      <c r="B75" s="372" t="s">
        <v>106</v>
      </c>
      <c r="C75" s="374">
        <f>C76-SUM(C64:C74)</f>
        <v>0</v>
      </c>
      <c r="D75" s="372" t="s">
        <v>106</v>
      </c>
      <c r="E75" s="374">
        <f>E76-SUM(E64:E74)</f>
        <v>0</v>
      </c>
      <c r="G75" s="372" t="s">
        <v>106</v>
      </c>
      <c r="H75" s="374">
        <f>H76-SUM(H64:H74)</f>
        <v>2797679</v>
      </c>
      <c r="I75" s="372" t="s">
        <v>429</v>
      </c>
      <c r="J75" s="374">
        <f>J76-SUM(J64:J74)</f>
        <v>1972</v>
      </c>
    </row>
    <row r="76" spans="1:10">
      <c r="B76" s="372" t="s">
        <v>107</v>
      </c>
      <c r="C76" s="374">
        <f>VLOOKUP(G46,'[8]87149410006出'!$B$10:$E$10,4,0)</f>
        <v>428967</v>
      </c>
      <c r="D76" s="372" t="s">
        <v>107</v>
      </c>
      <c r="E76" s="374">
        <f>VLOOKUP(G46,'[8]87149410006進'!$B$10:$E$10,4,0)</f>
        <v>198153</v>
      </c>
      <c r="G76" s="372" t="s">
        <v>107</v>
      </c>
      <c r="H76" s="374">
        <f>VLOOKUP(G46,'[8]87149490009出'!$B$10:$E$10,4,0)</f>
        <v>15178375</v>
      </c>
      <c r="I76" s="372" t="s">
        <v>107</v>
      </c>
      <c r="J76" s="374">
        <f>VLOOKUP(G46,'[8]87149490009進'!$B$10:$E$10,4,0)</f>
        <v>5274783</v>
      </c>
    </row>
    <row r="78" spans="1:10">
      <c r="B78" s="54" t="s">
        <v>448</v>
      </c>
      <c r="G78" s="484" t="s">
        <v>433</v>
      </c>
    </row>
    <row r="79" spans="1:10">
      <c r="B79" s="30" t="s">
        <v>102</v>
      </c>
      <c r="C79" s="370" t="s">
        <v>103</v>
      </c>
      <c r="D79" s="30" t="s">
        <v>104</v>
      </c>
      <c r="E79" s="370" t="s">
        <v>105</v>
      </c>
      <c r="G79" s="30" t="s">
        <v>102</v>
      </c>
      <c r="H79" s="370" t="s">
        <v>103</v>
      </c>
      <c r="I79" s="30" t="s">
        <v>104</v>
      </c>
      <c r="J79" s="370" t="s">
        <v>105</v>
      </c>
    </row>
    <row r="80" spans="1:10">
      <c r="A80" s="13">
        <v>1</v>
      </c>
      <c r="B80" s="372" t="str">
        <f>VLOOKUP(A80,'[9]87149500007出'!$A$11:$E$22,3,0)</f>
        <v>德國</v>
      </c>
      <c r="C80" s="374">
        <f>VLOOKUP(A80,'[9]87149500007出'!$A$11:$E$22,5,0)</f>
        <v>418252</v>
      </c>
      <c r="D80" s="372" t="str">
        <f>VLOOKUP(A80,'[9]87149500007進'!$A$11:$E$22,3,0)</f>
        <v>中國大陸</v>
      </c>
      <c r="E80" s="374">
        <f>VLOOKUP(A80,'[9]87149500007進'!$A$11:$E$22,5,0)</f>
        <v>355329</v>
      </c>
      <c r="G80" s="372" t="str">
        <f>VLOOKUP(A80,'[9]87149610004出'!$A$11:$E$22,3,0)</f>
        <v>美國</v>
      </c>
      <c r="H80" s="374">
        <f>VLOOKUP(A80,'[9]87149610004出'!$A$11:$E$22,5,0)</f>
        <v>699559</v>
      </c>
      <c r="I80" s="372" t="str">
        <f>VLOOKUP(A80,'[9]87149610004進'!$A$11:$E$22,3,0)</f>
        <v>中國大陸</v>
      </c>
      <c r="J80" s="374">
        <f>VLOOKUP(A80,'[9]87149610004進'!$A$11:$E$22,5,0)</f>
        <v>93717</v>
      </c>
    </row>
    <row r="81" spans="1:10">
      <c r="A81" s="13">
        <v>2</v>
      </c>
      <c r="B81" s="372" t="str">
        <f>VLOOKUP(A81,'[9]87149500007出'!$A$11:$E$22,3,0)</f>
        <v>美國</v>
      </c>
      <c r="C81" s="374">
        <f>VLOOKUP(A81,'[9]87149500007出'!$A$11:$E$22,5,0)</f>
        <v>311035</v>
      </c>
      <c r="D81" s="372" t="str">
        <f>VLOOKUP(A81,'[9]87149500007進'!$A$11:$E$22,3,0)</f>
        <v>義大利</v>
      </c>
      <c r="E81" s="374">
        <f>VLOOKUP(A81,'[9]87149500007進'!$A$11:$E$22,5,0)</f>
        <v>282447</v>
      </c>
      <c r="G81" s="372" t="str">
        <f>VLOOKUP(A81,'[9]87149610004出'!$A$11:$E$22,3,0)</f>
        <v>德國</v>
      </c>
      <c r="H81" s="374">
        <f>VLOOKUP(A81,'[9]87149610004出'!$A$11:$E$22,5,0)</f>
        <v>356598</v>
      </c>
      <c r="I81" s="372" t="str">
        <f>VLOOKUP(A81,'[9]87149610004進'!$A$11:$E$22,3,0)</f>
        <v>義大利</v>
      </c>
      <c r="J81" s="374">
        <f>VLOOKUP(A81,'[9]87149610004進'!$A$11:$E$22,5,0)</f>
        <v>23689</v>
      </c>
    </row>
    <row r="82" spans="1:10">
      <c r="A82" s="13">
        <v>3</v>
      </c>
      <c r="B82" s="372" t="str">
        <f>VLOOKUP(A82,'[9]87149500007出'!$A$11:$E$22,3,0)</f>
        <v>荷蘭</v>
      </c>
      <c r="C82" s="374">
        <f>VLOOKUP(A82,'[9]87149500007出'!$A$11:$E$22,5,0)</f>
        <v>223909</v>
      </c>
      <c r="D82" s="372" t="str">
        <f>VLOOKUP(A82,'[9]87149500007進'!$A$11:$E$22,3,0)</f>
        <v>越南</v>
      </c>
      <c r="E82" s="374">
        <f>VLOOKUP(A82,'[9]87149500007進'!$A$11:$E$22,5,0)</f>
        <v>52304</v>
      </c>
      <c r="G82" s="372" t="str">
        <f>VLOOKUP(A82,'[9]87149610004出'!$A$11:$E$22,3,0)</f>
        <v>英國</v>
      </c>
      <c r="H82" s="374">
        <f>VLOOKUP(A82,'[9]87149610004出'!$A$11:$E$22,5,0)</f>
        <v>210780</v>
      </c>
      <c r="I82" s="372" t="str">
        <f>VLOOKUP(A82,'[9]87149610004進'!$A$11:$E$22,3,0)</f>
        <v>越南</v>
      </c>
      <c r="J82" s="374">
        <f>VLOOKUP(A82,'[9]87149610004進'!$A$11:$E$22,5,0)</f>
        <v>18951</v>
      </c>
    </row>
    <row r="83" spans="1:10">
      <c r="A83" s="13">
        <v>4</v>
      </c>
      <c r="B83" s="372" t="str">
        <f>VLOOKUP(A83,'[9]87149500007出'!$A$11:$E$22,3,0)</f>
        <v>英國</v>
      </c>
      <c r="C83" s="374">
        <f>VLOOKUP(A83,'[9]87149500007出'!$A$11:$E$22,5,0)</f>
        <v>210081</v>
      </c>
      <c r="D83" s="372" t="str">
        <f>VLOOKUP(A83,'[9]87149500007進'!$A$11:$E$22,3,0)</f>
        <v>英國</v>
      </c>
      <c r="E83" s="374">
        <f>VLOOKUP(A83,'[9]87149500007進'!$A$11:$E$22,5,0)</f>
        <v>28871</v>
      </c>
      <c r="G83" s="372" t="str">
        <f>VLOOKUP(A83,'[9]87149610004出'!$A$11:$E$22,3,0)</f>
        <v>荷蘭</v>
      </c>
      <c r="H83" s="374">
        <f>VLOOKUP(A83,'[9]87149610004出'!$A$11:$E$22,5,0)</f>
        <v>186009</v>
      </c>
      <c r="I83" s="372" t="str">
        <f>VLOOKUP(A83,'[9]87149610004進'!$A$11:$E$22,3,0)</f>
        <v>日本</v>
      </c>
      <c r="J83" s="374">
        <f>VLOOKUP(A83,'[9]87149610004進'!$A$11:$E$22,5,0)</f>
        <v>17326</v>
      </c>
    </row>
    <row r="84" spans="1:10">
      <c r="A84" s="13">
        <v>5</v>
      </c>
      <c r="B84" s="372" t="str">
        <f>VLOOKUP(A84,'[9]87149500007出'!$A$11:$E$22,3,0)</f>
        <v>越南</v>
      </c>
      <c r="C84" s="374">
        <f>VLOOKUP(A84,'[9]87149500007出'!$A$11:$E$22,5,0)</f>
        <v>200065</v>
      </c>
      <c r="D84" s="372" t="str">
        <f>VLOOKUP(A84,'[9]87149500007進'!$A$11:$E$22,3,0)</f>
        <v>斯洛維尼亞</v>
      </c>
      <c r="E84" s="374">
        <f>VLOOKUP(A84,'[9]87149500007進'!$A$11:$E$22,5,0)</f>
        <v>13672</v>
      </c>
      <c r="G84" s="372" t="str">
        <f>VLOOKUP(A84,'[9]87149610004出'!$A$11:$E$22,3,0)</f>
        <v>義大利</v>
      </c>
      <c r="H84" s="374">
        <f>VLOOKUP(A84,'[9]87149610004出'!$A$11:$E$22,5,0)</f>
        <v>181050</v>
      </c>
      <c r="I84" s="372" t="str">
        <f>VLOOKUP(A84,'[9]87149610004進'!$A$11:$E$22,3,0)</f>
        <v>馬來西亞</v>
      </c>
      <c r="J84" s="374">
        <f>VLOOKUP(A84,'[9]87149610004進'!$A$11:$E$22,5,0)</f>
        <v>16407</v>
      </c>
    </row>
    <row r="85" spans="1:10">
      <c r="A85" s="13">
        <v>6</v>
      </c>
      <c r="B85" s="372" t="str">
        <f>VLOOKUP(A85,'[9]87149500007出'!$A$11:$E$22,3,0)</f>
        <v>中國大陸</v>
      </c>
      <c r="C85" s="374">
        <f>VLOOKUP(A85,'[9]87149500007出'!$A$11:$E$22,5,0)</f>
        <v>158380</v>
      </c>
      <c r="D85" s="372" t="str">
        <f>VLOOKUP(A85,'[9]87149500007進'!$A$11:$E$22,3,0)</f>
        <v>中華民國</v>
      </c>
      <c r="E85" s="374">
        <f>VLOOKUP(A85,'[9]87149500007進'!$A$11:$E$22,5,0)</f>
        <v>7123</v>
      </c>
      <c r="G85" s="372" t="str">
        <f>VLOOKUP(A85,'[9]87149610004出'!$A$11:$E$22,3,0)</f>
        <v>中國大陸</v>
      </c>
      <c r="H85" s="374">
        <f>VLOOKUP(A85,'[9]87149610004出'!$A$11:$E$22,5,0)</f>
        <v>167251</v>
      </c>
      <c r="I85" s="372" t="str">
        <f>VLOOKUP(A85,'[9]87149610004進'!$A$11:$E$22,3,0)</f>
        <v>中華民國</v>
      </c>
      <c r="J85" s="374">
        <f>VLOOKUP(A85,'[9]87149610004進'!$A$11:$E$22,5,0)</f>
        <v>1813</v>
      </c>
    </row>
    <row r="86" spans="1:10">
      <c r="A86" s="13">
        <v>7</v>
      </c>
      <c r="B86" s="372" t="str">
        <f>VLOOKUP(A86,'[9]87149500007出'!$A$11:$E$22,3,0)</f>
        <v>巴西</v>
      </c>
      <c r="C86" s="374">
        <f>VLOOKUP(A86,'[9]87149500007出'!$A$11:$E$22,5,0)</f>
        <v>133259</v>
      </c>
      <c r="D86" s="372" t="str">
        <f>VLOOKUP(A86,'[9]87149500007進'!$A$11:$E$22,3,0)</f>
        <v>日本</v>
      </c>
      <c r="E86" s="374">
        <f>VLOOKUP(A86,'[9]87149500007進'!$A$11:$E$22,5,0)</f>
        <v>64</v>
      </c>
      <c r="G86" s="372" t="str">
        <f>VLOOKUP(A86,'[9]87149610004出'!$A$11:$E$22,3,0)</f>
        <v>波蘭</v>
      </c>
      <c r="H86" s="374">
        <f>VLOOKUP(A86,'[9]87149610004出'!$A$11:$E$22,5,0)</f>
        <v>115454</v>
      </c>
      <c r="I86" s="372" t="str">
        <f>VLOOKUP(A86,'[9]87149610004進'!$A$11:$E$22,3,0)</f>
        <v>羅馬尼亞</v>
      </c>
      <c r="J86" s="374">
        <f>VLOOKUP(A86,'[9]87149610004進'!$A$11:$E$22,5,0)</f>
        <v>1463</v>
      </c>
    </row>
    <row r="87" spans="1:10">
      <c r="A87" s="13">
        <v>8</v>
      </c>
      <c r="B87" s="372" t="str">
        <f>VLOOKUP(A87,'[9]87149500007出'!$A$11:$E$22,3,0)</f>
        <v>義大利</v>
      </c>
      <c r="C87" s="374">
        <f>VLOOKUP(A87,'[9]87149500007出'!$A$11:$E$22,5,0)</f>
        <v>100891</v>
      </c>
      <c r="D87" s="372"/>
      <c r="E87" s="374"/>
      <c r="G87" s="372" t="str">
        <f>VLOOKUP(A87,'[9]87149610004出'!$A$11:$E$22,3,0)</f>
        <v>加拿大</v>
      </c>
      <c r="H87" s="374">
        <f>VLOOKUP(A87,'[9]87149610004出'!$A$11:$E$22,5,0)</f>
        <v>110875</v>
      </c>
      <c r="I87" s="372" t="str">
        <f>VLOOKUP(A87,'[9]87149610004進'!$A$11:$E$22,3,0)</f>
        <v>德國</v>
      </c>
      <c r="J87" s="374">
        <f>VLOOKUP(A87,'[9]87149610004進'!$A$11:$E$22,5,0)</f>
        <v>890</v>
      </c>
    </row>
    <row r="88" spans="1:10">
      <c r="A88" s="13">
        <v>9</v>
      </c>
      <c r="B88" s="372" t="str">
        <f>VLOOKUP(A88,'[9]87149500007出'!$A$11:$E$22,3,0)</f>
        <v>巴拿馬</v>
      </c>
      <c r="C88" s="374">
        <f>VLOOKUP(A88,'[9]87149500007出'!$A$11:$E$22,5,0)</f>
        <v>87568</v>
      </c>
      <c r="D88" s="372"/>
      <c r="E88" s="374"/>
      <c r="G88" s="372" t="str">
        <f>VLOOKUP(A88,'[9]87149610004出'!$A$11:$E$22,3,0)</f>
        <v>匈牙利</v>
      </c>
      <c r="H88" s="374">
        <f>VLOOKUP(A88,'[9]87149610004出'!$A$11:$E$22,5,0)</f>
        <v>68139</v>
      </c>
      <c r="I88" s="372" t="str">
        <f>VLOOKUP(A88,'[9]87149610004進'!$A$11:$E$22,3,0)</f>
        <v>英國</v>
      </c>
      <c r="J88" s="374">
        <f>VLOOKUP(A88,'[9]87149610004進'!$A$11:$E$22,5,0)</f>
        <v>127</v>
      </c>
    </row>
    <row r="89" spans="1:10">
      <c r="A89" s="13">
        <v>10</v>
      </c>
      <c r="B89" s="372" t="str">
        <f>VLOOKUP(A89,'[9]87149500007出'!$A$11:$E$22,3,0)</f>
        <v>西班牙</v>
      </c>
      <c r="C89" s="374">
        <f>VLOOKUP(A89,'[9]87149500007出'!$A$11:$E$22,5,0)</f>
        <v>46487</v>
      </c>
      <c r="D89" s="372"/>
      <c r="E89" s="374"/>
      <c r="G89" s="372" t="str">
        <f>VLOOKUP(A89,'[9]87149610004出'!$A$11:$E$22,3,0)</f>
        <v>法國</v>
      </c>
      <c r="H89" s="374">
        <f>VLOOKUP(A89,'[9]87149610004出'!$A$11:$E$22,5,0)</f>
        <v>67377</v>
      </c>
      <c r="I89" s="372" t="str">
        <f>VLOOKUP(A89,'[9]87149610004進'!$A$11:$E$22,3,0)</f>
        <v>西班牙</v>
      </c>
      <c r="J89" s="374">
        <f>VLOOKUP(A89,'[9]87149610004進'!$A$11:$E$22,5,0)</f>
        <v>95</v>
      </c>
    </row>
    <row r="90" spans="1:10">
      <c r="B90" s="372" t="s">
        <v>106</v>
      </c>
      <c r="C90" s="374">
        <f>C91-SUM(C80:C89)</f>
        <v>378471</v>
      </c>
      <c r="D90" s="372" t="s">
        <v>106</v>
      </c>
      <c r="E90" s="374">
        <f>E91-SUM(E79:E89)</f>
        <v>0</v>
      </c>
      <c r="G90" s="372" t="s">
        <v>449</v>
      </c>
      <c r="H90" s="374">
        <f>H91-SUM(H79:H89)</f>
        <v>457711</v>
      </c>
      <c r="I90" s="372" t="s">
        <v>106</v>
      </c>
      <c r="J90" s="374">
        <f>J91-SUM(J79:J89)</f>
        <v>0</v>
      </c>
    </row>
    <row r="91" spans="1:10">
      <c r="B91" s="372" t="s">
        <v>107</v>
      </c>
      <c r="C91" s="374">
        <f>VLOOKUP(B91,'[9]87149500007出'!$B$10:$E$11,4,0)</f>
        <v>2268398</v>
      </c>
      <c r="D91" s="372" t="s">
        <v>107</v>
      </c>
      <c r="E91" s="374">
        <f>VLOOKUP(B91,'[9]87149500007進'!$B$10:$E$11,4,0)</f>
        <v>739810</v>
      </c>
      <c r="G91" s="372" t="s">
        <v>107</v>
      </c>
      <c r="H91" s="374">
        <f>VLOOKUP(B91,'[9]87149610004出'!$B$10:$E$11,4,0)</f>
        <v>2620803</v>
      </c>
      <c r="I91" s="372" t="s">
        <v>107</v>
      </c>
      <c r="J91" s="374">
        <f>VLOOKUP(B91,'[9]87149610004進'!$B$10:$E$11,4,0)</f>
        <v>174478</v>
      </c>
    </row>
    <row r="93" spans="1:10">
      <c r="B93" s="484" t="s">
        <v>450</v>
      </c>
      <c r="G93" s="54" t="s">
        <v>405</v>
      </c>
    </row>
    <row r="94" spans="1:10">
      <c r="B94" s="30" t="s">
        <v>102</v>
      </c>
      <c r="C94" s="370" t="s">
        <v>103</v>
      </c>
      <c r="D94" s="30" t="s">
        <v>104</v>
      </c>
      <c r="E94" s="370" t="s">
        <v>105</v>
      </c>
      <c r="G94" s="30" t="s">
        <v>102</v>
      </c>
      <c r="H94" s="370" t="s">
        <v>103</v>
      </c>
      <c r="I94" s="30" t="s">
        <v>104</v>
      </c>
      <c r="J94" s="370" t="s">
        <v>105</v>
      </c>
    </row>
    <row r="95" spans="1:10">
      <c r="A95" s="13">
        <v>1</v>
      </c>
      <c r="B95" s="376" t="str">
        <f>VLOOKUP(A80,'[9]87149620002出'!$A$11:$E$22,3,0)</f>
        <v>德國</v>
      </c>
      <c r="C95" s="374">
        <f>VLOOKUP(A80,'[9]87149620002出'!$A$11:$E$22,5,0)</f>
        <v>2048079</v>
      </c>
      <c r="D95" s="375" t="str">
        <f>VLOOKUP(A80,'[9]87149620002進'!$A$11:$E$22,3,0)</f>
        <v>日本</v>
      </c>
      <c r="E95" s="374">
        <f>VLOOKUP(A80,'[9]87149620002進'!$A$11:$E$22,5,0)</f>
        <v>1904863</v>
      </c>
      <c r="G95" s="372" t="str">
        <f>VLOOKUP(A80,'[9]73151100209出'!$A$11:$E$22,3,0)</f>
        <v>荷蘭</v>
      </c>
      <c r="H95" s="374">
        <f>VLOOKUP(A80,'[9]73151100209出'!$A$11:$E$22,5,0)</f>
        <v>514307</v>
      </c>
      <c r="I95" s="372" t="str">
        <f>VLOOKUP(A80,'[9]73151100209進'!$A$11:$E$22,3,0)</f>
        <v>日本</v>
      </c>
      <c r="J95" s="374">
        <f>VLOOKUP(A80,'[9]73151100209進'!$A$11:$E$22,5,0)</f>
        <v>244934</v>
      </c>
    </row>
    <row r="96" spans="1:10">
      <c r="A96" s="13">
        <v>2</v>
      </c>
      <c r="B96" s="376" t="str">
        <f>VLOOKUP(A81,'[9]87149620002出'!$A$11:$E$22,3,0)</f>
        <v>越南</v>
      </c>
      <c r="C96" s="374">
        <f>VLOOKUP(A81,'[9]87149620002出'!$A$11:$E$22,5,0)</f>
        <v>792527</v>
      </c>
      <c r="D96" s="375" t="str">
        <f>VLOOKUP(A81,'[9]87149620002進'!$A$11:$E$22,3,0)</f>
        <v>中國大陸</v>
      </c>
      <c r="E96" s="374">
        <f>VLOOKUP(A81,'[9]87149620002進'!$A$11:$E$22,5,0)</f>
        <v>451320</v>
      </c>
      <c r="G96" s="372" t="str">
        <f>VLOOKUP(A81,'[9]73151100209出'!$A$11:$E$22,3,0)</f>
        <v>中國大陸</v>
      </c>
      <c r="H96" s="374">
        <f>VLOOKUP(A81,'[9]73151100209出'!$A$11:$E$22,5,0)</f>
        <v>119587</v>
      </c>
      <c r="I96" s="372" t="str">
        <f>VLOOKUP(A81,'[9]73151100209進'!$A$11:$E$22,3,0)</f>
        <v>中國大陸</v>
      </c>
      <c r="J96" s="374">
        <f>VLOOKUP(A81,'[9]73151100209進'!$A$11:$E$22,5,0)</f>
        <v>124301</v>
      </c>
    </row>
    <row r="97" spans="1:15">
      <c r="A97" s="13">
        <v>3</v>
      </c>
      <c r="B97" s="376" t="str">
        <f>VLOOKUP(A82,'[9]87149620002出'!$A$11:$E$22,3,0)</f>
        <v>中國大陸</v>
      </c>
      <c r="C97" s="374">
        <f>VLOOKUP(A82,'[9]87149620002出'!$A$11:$E$22,5,0)</f>
        <v>734118</v>
      </c>
      <c r="D97" s="375" t="str">
        <f>VLOOKUP(A82,'[9]87149620002進'!$A$11:$E$22,3,0)</f>
        <v>馬來西亞</v>
      </c>
      <c r="E97" s="374">
        <f>VLOOKUP(A82,'[9]87149620002進'!$A$11:$E$22,5,0)</f>
        <v>245457</v>
      </c>
      <c r="G97" s="372" t="str">
        <f>VLOOKUP(A82,'[9]73151100209出'!$A$11:$E$22,3,0)</f>
        <v>越南</v>
      </c>
      <c r="H97" s="374">
        <f>VLOOKUP(A82,'[9]73151100209出'!$A$11:$E$22,5,0)</f>
        <v>116916</v>
      </c>
      <c r="I97" s="372" t="str">
        <f>VLOOKUP(A82,'[9]73151100209進'!$A$11:$E$22,3,0)</f>
        <v>葡萄牙</v>
      </c>
      <c r="J97" s="374">
        <f>VLOOKUP(A82,'[9]73151100209進'!$A$11:$E$22,5,0)</f>
        <v>48426</v>
      </c>
    </row>
    <row r="98" spans="1:15">
      <c r="A98" s="13">
        <v>4</v>
      </c>
      <c r="B98" s="376" t="str">
        <f>VLOOKUP(A83,'[9]87149620002出'!$A$11:$E$22,3,0)</f>
        <v>美國</v>
      </c>
      <c r="C98" s="374">
        <f>VLOOKUP(A83,'[9]87149620002出'!$A$11:$E$22,5,0)</f>
        <v>698504</v>
      </c>
      <c r="D98" s="375" t="str">
        <f>VLOOKUP(A83,'[9]87149620002進'!$A$11:$E$22,3,0)</f>
        <v>義大利</v>
      </c>
      <c r="E98" s="374">
        <f>VLOOKUP(A83,'[9]87149620002進'!$A$11:$E$22,5,0)</f>
        <v>56027</v>
      </c>
      <c r="G98" s="372" t="str">
        <f>VLOOKUP(A83,'[9]73151100209出'!$A$11:$E$22,3,0)</f>
        <v>英國</v>
      </c>
      <c r="H98" s="374">
        <f>VLOOKUP(A83,'[9]73151100209出'!$A$11:$E$22,5,0)</f>
        <v>104737</v>
      </c>
      <c r="I98" s="372" t="str">
        <f>VLOOKUP(A83,'[9]73151100209進'!$A$11:$E$22,3,0)</f>
        <v>越南</v>
      </c>
      <c r="J98" s="374">
        <f>VLOOKUP(A83,'[9]73151100209進'!$A$11:$E$22,5,0)</f>
        <v>4261</v>
      </c>
    </row>
    <row r="99" spans="1:15">
      <c r="A99" s="13">
        <v>5</v>
      </c>
      <c r="B99" s="376" t="str">
        <f>VLOOKUP(A84,'[9]87149620002出'!$A$11:$E$22,3,0)</f>
        <v>荷蘭</v>
      </c>
      <c r="C99" s="374">
        <f>VLOOKUP(A84,'[9]87149620002出'!$A$11:$E$22,5,0)</f>
        <v>662511</v>
      </c>
      <c r="D99" s="375" t="str">
        <f>VLOOKUP(A84,'[9]87149620002進'!$A$11:$E$22,3,0)</f>
        <v>中華民國</v>
      </c>
      <c r="E99" s="374">
        <f>VLOOKUP(A84,'[9]87149620002進'!$A$11:$E$22,5,0)</f>
        <v>24483</v>
      </c>
      <c r="G99" s="372" t="str">
        <f>VLOOKUP(A84,'[9]73151100209出'!$A$11:$E$22,3,0)</f>
        <v>俄羅斯</v>
      </c>
      <c r="H99" s="374">
        <f>VLOOKUP(A84,'[9]73151100209出'!$A$11:$E$22,5,0)</f>
        <v>86264</v>
      </c>
      <c r="I99" s="372" t="str">
        <f>VLOOKUP(A84,'[9]73151100209進'!$A$11:$E$22,3,0)</f>
        <v>義大利</v>
      </c>
      <c r="J99" s="374">
        <f>VLOOKUP(A84,'[9]73151100209進'!$A$11:$E$22,5,0)</f>
        <v>2152</v>
      </c>
    </row>
    <row r="100" spans="1:15">
      <c r="A100" s="13">
        <v>6</v>
      </c>
      <c r="B100" s="376" t="str">
        <f>VLOOKUP(A85,'[9]87149620002出'!$A$11:$E$22,3,0)</f>
        <v>西班牙</v>
      </c>
      <c r="C100" s="374">
        <f>VLOOKUP(A85,'[9]87149620002出'!$A$11:$E$22,5,0)</f>
        <v>452114</v>
      </c>
      <c r="D100" s="375" t="str">
        <f>VLOOKUP(A85,'[9]87149620002進'!$A$11:$E$22,3,0)</f>
        <v>西班牙</v>
      </c>
      <c r="E100" s="374">
        <f>VLOOKUP(A85,'[9]87149620002進'!$A$11:$E$22,5,0)</f>
        <v>18060</v>
      </c>
      <c r="G100" s="372" t="str">
        <f>VLOOKUP(A85,'[9]73151100209出'!$A$11:$E$22,3,0)</f>
        <v>波蘭</v>
      </c>
      <c r="H100" s="374">
        <f>VLOOKUP(A85,'[9]73151100209出'!$A$11:$E$22,5,0)</f>
        <v>66295</v>
      </c>
      <c r="I100" s="372" t="str">
        <f>VLOOKUP(A85,'[9]73151100209進'!$A$11:$E$22,3,0)</f>
        <v>中華民國</v>
      </c>
      <c r="J100" s="374">
        <f>VLOOKUP(A85,'[9]73151100209進'!$A$11:$E$22,5,0)</f>
        <v>1940</v>
      </c>
    </row>
    <row r="101" spans="1:15">
      <c r="A101" s="13">
        <v>7</v>
      </c>
      <c r="B101" s="376" t="str">
        <f>VLOOKUP(A86,'[9]87149620002出'!$A$11:$E$22,3,0)</f>
        <v>英國</v>
      </c>
      <c r="C101" s="374">
        <f>VLOOKUP(A86,'[9]87149620002出'!$A$11:$E$22,5,0)</f>
        <v>368076</v>
      </c>
      <c r="D101" s="375" t="str">
        <f>VLOOKUP(A86,'[9]87149620002進'!$A$11:$E$22,3,0)</f>
        <v>丹麥</v>
      </c>
      <c r="E101" s="374">
        <f>VLOOKUP(A86,'[9]87149620002進'!$A$11:$E$22,5,0)</f>
        <v>3943</v>
      </c>
      <c r="G101" s="372" t="str">
        <f>VLOOKUP(A86,'[9]73151100209出'!$A$11:$E$22,3,0)</f>
        <v>柬埔寨</v>
      </c>
      <c r="H101" s="374">
        <f>VLOOKUP(A86,'[9]73151100209出'!$A$11:$E$22,5,0)</f>
        <v>60192</v>
      </c>
      <c r="I101" s="372" t="str">
        <f>VLOOKUP(A86,'[9]73151100209進'!$A$11:$E$22,3,0)</f>
        <v>泰國</v>
      </c>
      <c r="J101" s="374">
        <f>VLOOKUP(A86,'[9]73151100209進'!$A$11:$E$22,5,0)</f>
        <v>64</v>
      </c>
    </row>
    <row r="102" spans="1:15">
      <c r="A102" s="13">
        <v>8</v>
      </c>
      <c r="B102" s="376" t="str">
        <f>VLOOKUP(A87,'[9]87149620002出'!$A$11:$E$22,3,0)</f>
        <v>比利時</v>
      </c>
      <c r="C102" s="374">
        <f>VLOOKUP(A87,'[9]87149620002出'!$A$11:$E$22,5,0)</f>
        <v>277455</v>
      </c>
      <c r="D102" s="375" t="str">
        <f>VLOOKUP(A87,'[9]87149620002進'!$A$11:$E$22,3,0)</f>
        <v>菲律賓</v>
      </c>
      <c r="E102" s="374">
        <f>VLOOKUP(A87,'[9]87149620002進'!$A$11:$E$22,5,0)</f>
        <v>1049</v>
      </c>
      <c r="G102" s="372" t="str">
        <f>VLOOKUP(A87,'[9]73151100209出'!$A$11:$E$22,3,0)</f>
        <v>美國</v>
      </c>
      <c r="H102" s="374">
        <f>VLOOKUP(A87,'[9]73151100209出'!$A$11:$E$22,5,0)</f>
        <v>42829</v>
      </c>
      <c r="I102" s="372"/>
      <c r="J102" s="374"/>
    </row>
    <row r="103" spans="1:15">
      <c r="A103" s="13">
        <v>9</v>
      </c>
      <c r="B103" s="376" t="str">
        <f>VLOOKUP(A88,'[9]87149620002出'!$A$11:$E$22,3,0)</f>
        <v>柬埔寨</v>
      </c>
      <c r="C103" s="374">
        <f>VLOOKUP(A88,'[9]87149620002出'!$A$11:$E$22,5,0)</f>
        <v>202067</v>
      </c>
      <c r="D103" s="375" t="str">
        <f>VLOOKUP(A88,'[9]87149620002進'!$A$11:$E$22,3,0)</f>
        <v>甘比亞</v>
      </c>
      <c r="E103" s="374">
        <f>VLOOKUP(A88,'[9]87149620002進'!$A$11:$E$22,5,0)</f>
        <v>859</v>
      </c>
      <c r="G103" s="372" t="str">
        <f>VLOOKUP(A88,'[9]73151100209出'!$A$11:$E$22,3,0)</f>
        <v>西班牙</v>
      </c>
      <c r="H103" s="374">
        <f>VLOOKUP(A88,'[9]73151100209出'!$A$11:$E$22,5,0)</f>
        <v>34595</v>
      </c>
      <c r="I103" s="372"/>
      <c r="J103" s="374"/>
    </row>
    <row r="104" spans="1:15">
      <c r="A104" s="13">
        <v>10</v>
      </c>
      <c r="B104" s="376" t="str">
        <f>VLOOKUP(A89,'[9]87149620002出'!$A$11:$E$22,3,0)</f>
        <v>法國</v>
      </c>
      <c r="C104" s="374">
        <f>VLOOKUP(A89,'[9]87149620002出'!$A$11:$E$22,5,0)</f>
        <v>172623</v>
      </c>
      <c r="D104" s="375" t="str">
        <f>VLOOKUP(A89,'[9]87149620002進'!$A$11:$E$22,3,0)</f>
        <v>德國</v>
      </c>
      <c r="E104" s="374">
        <f>VLOOKUP(A89,'[9]87149620002進'!$A$11:$E$22,5,0)</f>
        <v>382</v>
      </c>
      <c r="G104" s="372" t="str">
        <f>VLOOKUP(A89,'[9]73151100209出'!$A$11:$E$22,3,0)</f>
        <v>匈牙利</v>
      </c>
      <c r="H104" s="374">
        <f>VLOOKUP(A89,'[9]73151100209出'!$A$11:$E$22,5,0)</f>
        <v>34531</v>
      </c>
      <c r="I104" s="372"/>
      <c r="J104" s="374"/>
    </row>
    <row r="105" spans="1:15">
      <c r="B105" s="372" t="s">
        <v>106</v>
      </c>
      <c r="C105" s="374">
        <f>C106-SUM(C94:C104)</f>
        <v>870113</v>
      </c>
      <c r="D105" s="372" t="s">
        <v>106</v>
      </c>
      <c r="E105" s="374">
        <f>E106-SUM(E94:E104)</f>
        <v>0</v>
      </c>
      <c r="G105" s="375" t="s">
        <v>426</v>
      </c>
      <c r="H105" s="374">
        <f>H106-SUM(H94:H104)</f>
        <v>337903</v>
      </c>
      <c r="I105" s="372" t="s">
        <v>106</v>
      </c>
      <c r="J105" s="374">
        <f>J106-SUM(J94:J104)</f>
        <v>0</v>
      </c>
    </row>
    <row r="106" spans="1:15">
      <c r="B106" s="372" t="s">
        <v>107</v>
      </c>
      <c r="C106" s="374">
        <f>VLOOKUP(B91,'[9]87149620002出'!$B$10:$E$11,4,0)</f>
        <v>7278187</v>
      </c>
      <c r="D106" s="372" t="s">
        <v>107</v>
      </c>
      <c r="E106" s="374">
        <f>VLOOKUP(B91,'[9]87149620002進'!$B$10:$E$11,4,0)</f>
        <v>2706443</v>
      </c>
      <c r="G106" s="372" t="s">
        <v>107</v>
      </c>
      <c r="H106" s="374">
        <f>VLOOKUP(B91,'[9]73151100209出'!$B$10:$E$11,4,0)</f>
        <v>1518156</v>
      </c>
      <c r="I106" s="372" t="s">
        <v>107</v>
      </c>
      <c r="J106" s="374">
        <f>VLOOKUP(B91,'[9]73151100209進'!$B$10:$E$11,4,0)</f>
        <v>426078</v>
      </c>
    </row>
    <row r="108" spans="1:15">
      <c r="B108" s="484" t="s">
        <v>451</v>
      </c>
      <c r="G108" s="271" t="s">
        <v>452</v>
      </c>
      <c r="L108" s="5"/>
      <c r="M108" s="5"/>
      <c r="N108" s="5"/>
      <c r="O108" s="5"/>
    </row>
    <row r="109" spans="1:15">
      <c r="B109" s="30" t="s">
        <v>102</v>
      </c>
      <c r="C109" s="370" t="s">
        <v>103</v>
      </c>
      <c r="D109" s="30" t="s">
        <v>104</v>
      </c>
      <c r="E109" s="370" t="s">
        <v>105</v>
      </c>
      <c r="G109" s="30" t="s">
        <v>102</v>
      </c>
      <c r="H109" s="370" t="s">
        <v>103</v>
      </c>
      <c r="I109" s="30" t="s">
        <v>104</v>
      </c>
      <c r="J109" s="370" t="s">
        <v>105</v>
      </c>
      <c r="L109" s="5"/>
      <c r="M109" s="5"/>
      <c r="N109" s="5"/>
      <c r="O109" s="5"/>
    </row>
    <row r="110" spans="1:15">
      <c r="A110" s="13">
        <v>1</v>
      </c>
      <c r="B110" s="485" t="str">
        <f>VLOOKUP(A80,'[9]87149990111出'!$A$11:$E$22,3,0)</f>
        <v>美國</v>
      </c>
      <c r="C110" s="374">
        <f>VLOOKUP(A80,'[9]87149990111出'!$A$11:$E$22,5,0)</f>
        <v>1019938</v>
      </c>
      <c r="D110" s="372" t="str">
        <f>VLOOKUP(A80,'[9]87149990111進'!$A$11:$E$22,3,0)</f>
        <v>日本</v>
      </c>
      <c r="E110" s="374">
        <f>VLOOKUP(A80,'[9]87149990111進'!$A$11:$E$22,5,0)</f>
        <v>1981495</v>
      </c>
      <c r="G110" s="372" t="str">
        <f>VLOOKUP(A110,'[10]87149320906出'!$A$11:$E$22,3,0)</f>
        <v>德國</v>
      </c>
      <c r="H110" s="374">
        <f>VLOOKUP(A110,'[10]87149320906出'!$A$11:$E$22,5,0)</f>
        <v>980095</v>
      </c>
      <c r="I110" s="375" t="str">
        <f>VLOOKUP(A110,'[10]87149320906進'!$A$11:$E$22,3,0)</f>
        <v>日本</v>
      </c>
      <c r="J110" s="374">
        <f>VLOOKUP(A110,'[10]87149320906進'!$A$11:$E$22,5,0)</f>
        <v>687010</v>
      </c>
      <c r="L110" s="5"/>
      <c r="M110" s="5"/>
      <c r="N110" s="5"/>
      <c r="O110" s="5"/>
    </row>
    <row r="111" spans="1:15">
      <c r="A111" s="13">
        <v>2</v>
      </c>
      <c r="B111" s="485" t="str">
        <f>VLOOKUP(A81,'[9]87149990111出'!$A$11:$E$22,3,0)</f>
        <v>德國</v>
      </c>
      <c r="C111" s="374">
        <f>VLOOKUP(A81,'[9]87149990111出'!$A$11:$E$22,5,0)</f>
        <v>1005216</v>
      </c>
      <c r="D111" s="372" t="str">
        <f>VLOOKUP(A81,'[9]87149990111進'!$A$11:$E$22,3,0)</f>
        <v>中國大陸</v>
      </c>
      <c r="E111" s="374">
        <f>VLOOKUP(A81,'[9]87149990111進'!$A$11:$E$22,5,0)</f>
        <v>391545</v>
      </c>
      <c r="G111" s="372" t="str">
        <f>VLOOKUP(A111,'[10]87149320906出'!$A$11:$E$22,3,0)</f>
        <v>中國大陸</v>
      </c>
      <c r="H111" s="374">
        <f>VLOOKUP(A111,'[10]87149320906出'!$A$11:$E$22,5,0)</f>
        <v>561463</v>
      </c>
      <c r="I111" s="375" t="str">
        <f>VLOOKUP(A111,'[10]87149320906進'!$A$11:$E$22,3,0)</f>
        <v>中國大陸</v>
      </c>
      <c r="J111" s="374">
        <f>VLOOKUP(A111,'[10]87149320906進'!$A$11:$E$22,5,0)</f>
        <v>57869</v>
      </c>
      <c r="L111" s="5"/>
      <c r="M111" s="5"/>
      <c r="N111" s="5"/>
      <c r="O111" s="5"/>
    </row>
    <row r="112" spans="1:15">
      <c r="A112" s="13">
        <v>3</v>
      </c>
      <c r="B112" s="485" t="str">
        <f>VLOOKUP(A82,'[9]87149990111出'!$A$11:$E$22,3,0)</f>
        <v>荷蘭</v>
      </c>
      <c r="C112" s="374">
        <f>VLOOKUP(A82,'[9]87149990111出'!$A$11:$E$22,5,0)</f>
        <v>923020</v>
      </c>
      <c r="D112" s="372" t="str">
        <f>VLOOKUP(A82,'[9]87149990111進'!$A$11:$E$22,3,0)</f>
        <v>印尼</v>
      </c>
      <c r="E112" s="374">
        <f>VLOOKUP(A82,'[9]87149990111進'!$A$11:$E$22,5,0)</f>
        <v>130716</v>
      </c>
      <c r="G112" s="372" t="str">
        <f>VLOOKUP(A112,'[10]87149320906出'!$A$11:$E$22,3,0)</f>
        <v>美國</v>
      </c>
      <c r="H112" s="374">
        <f>VLOOKUP(A112,'[10]87149320906出'!$A$11:$E$22,5,0)</f>
        <v>525754</v>
      </c>
      <c r="I112" s="375" t="str">
        <f>VLOOKUP(A112,'[10]87149320906進'!$A$11:$E$22,3,0)</f>
        <v>印尼</v>
      </c>
      <c r="J112" s="374">
        <f>VLOOKUP(A112,'[10]87149320906進'!$A$11:$E$22,5,0)</f>
        <v>49667</v>
      </c>
      <c r="L112" s="5"/>
      <c r="M112" s="5"/>
      <c r="N112" s="5"/>
      <c r="O112" s="5"/>
    </row>
    <row r="113" spans="1:15">
      <c r="A113" s="13">
        <v>4</v>
      </c>
      <c r="B113" s="485" t="str">
        <f>VLOOKUP(A83,'[9]87149990111出'!$A$11:$E$22,3,0)</f>
        <v>西班牙</v>
      </c>
      <c r="C113" s="374">
        <f>VLOOKUP(A83,'[9]87149990111出'!$A$11:$E$22,5,0)</f>
        <v>747728</v>
      </c>
      <c r="D113" s="372" t="str">
        <f>VLOOKUP(A83,'[9]87149990111進'!$A$11:$E$22,3,0)</f>
        <v>義大利</v>
      </c>
      <c r="E113" s="374">
        <f>VLOOKUP(A83,'[9]87149990111進'!$A$11:$E$22,5,0)</f>
        <v>30271</v>
      </c>
      <c r="G113" s="372" t="str">
        <f>VLOOKUP(A113,'[10]87149320906出'!$A$11:$E$22,3,0)</f>
        <v>荷蘭</v>
      </c>
      <c r="H113" s="374">
        <f>VLOOKUP(A113,'[10]87149320906出'!$A$11:$E$22,5,0)</f>
        <v>495515</v>
      </c>
      <c r="I113" s="375" t="str">
        <f>VLOOKUP(A113,'[10]87149320906進'!$A$11:$E$22,3,0)</f>
        <v>義大利</v>
      </c>
      <c r="J113" s="374">
        <f>VLOOKUP(A113,'[10]87149320906進'!$A$11:$E$22,5,0)</f>
        <v>16122</v>
      </c>
      <c r="L113" s="5"/>
      <c r="M113" s="5"/>
      <c r="N113" s="5"/>
      <c r="O113" s="5"/>
    </row>
    <row r="114" spans="1:15">
      <c r="A114" s="13">
        <v>5</v>
      </c>
      <c r="B114" s="485" t="str">
        <f>VLOOKUP(A84,'[9]87149990111出'!$A$11:$E$22,3,0)</f>
        <v>中國大陸</v>
      </c>
      <c r="C114" s="374">
        <f>VLOOKUP(A84,'[9]87149990111出'!$A$11:$E$22,5,0)</f>
        <v>740094</v>
      </c>
      <c r="D114" s="372"/>
      <c r="E114" s="374"/>
      <c r="G114" s="372" t="str">
        <f>VLOOKUP(A114,'[10]87149320906出'!$A$11:$E$22,3,0)</f>
        <v>西班牙</v>
      </c>
      <c r="H114" s="374">
        <f>VLOOKUP(A114,'[10]87149320906出'!$A$11:$E$22,5,0)</f>
        <v>419745</v>
      </c>
      <c r="I114" s="375" t="str">
        <f>VLOOKUP(A114,'[10]87149320906進'!$A$11:$E$22,3,0)</f>
        <v>美國</v>
      </c>
      <c r="J114" s="374">
        <f>VLOOKUP(A114,'[10]87149320906進'!$A$11:$E$22,5,0)</f>
        <v>7567</v>
      </c>
      <c r="L114" s="5"/>
      <c r="M114" s="5"/>
      <c r="N114" s="5"/>
      <c r="O114" s="5"/>
    </row>
    <row r="115" spans="1:15">
      <c r="A115" s="13">
        <v>6</v>
      </c>
      <c r="B115" s="485" t="str">
        <f>VLOOKUP(A85,'[9]87149990111出'!$A$11:$E$22,3,0)</f>
        <v>越南</v>
      </c>
      <c r="C115" s="374">
        <f>VLOOKUP(A85,'[9]87149990111出'!$A$11:$E$22,5,0)</f>
        <v>653925</v>
      </c>
      <c r="D115" s="372"/>
      <c r="E115" s="374"/>
      <c r="G115" s="372" t="str">
        <f>VLOOKUP(A115,'[10]87149320906出'!$A$11:$E$22,3,0)</f>
        <v>越南</v>
      </c>
      <c r="H115" s="374">
        <f>VLOOKUP(A115,'[10]87149320906出'!$A$11:$E$22,5,0)</f>
        <v>230875</v>
      </c>
      <c r="I115" s="375" t="str">
        <f>VLOOKUP(A115,'[10]87149320906進'!$A$11:$E$22,3,0)</f>
        <v>中華民國</v>
      </c>
      <c r="J115" s="374">
        <f>VLOOKUP(A115,'[10]87149320906進'!$A$11:$E$22,5,0)</f>
        <v>2734</v>
      </c>
      <c r="L115" s="5"/>
      <c r="M115" s="5"/>
      <c r="N115" s="5"/>
      <c r="O115" s="5"/>
    </row>
    <row r="116" spans="1:15">
      <c r="A116" s="13">
        <v>7</v>
      </c>
      <c r="B116" s="485" t="str">
        <f>VLOOKUP(A86,'[9]87149990111出'!$A$11:$E$22,3,0)</f>
        <v>法國</v>
      </c>
      <c r="C116" s="374">
        <f>VLOOKUP(A86,'[9]87149990111出'!$A$11:$E$22,5,0)</f>
        <v>370778</v>
      </c>
      <c r="D116" s="372"/>
      <c r="E116" s="374"/>
      <c r="G116" s="372" t="str">
        <f>VLOOKUP(A116,'[10]87149320906出'!$A$11:$E$22,3,0)</f>
        <v>保加利亞</v>
      </c>
      <c r="H116" s="374">
        <f>VLOOKUP(A116,'[10]87149320906出'!$A$11:$E$22,5,0)</f>
        <v>156471</v>
      </c>
      <c r="I116" s="375" t="str">
        <f>VLOOKUP(A116,'[10]87149320906進'!$A$11:$E$22,3,0)</f>
        <v>馬來西亞</v>
      </c>
      <c r="J116" s="374">
        <f>VLOOKUP(A116,'[10]87149320906進'!$A$11:$E$22,5,0)</f>
        <v>2162</v>
      </c>
      <c r="L116" s="5"/>
      <c r="M116" s="5"/>
      <c r="N116" s="5"/>
      <c r="O116" s="5"/>
    </row>
    <row r="117" spans="1:15">
      <c r="A117" s="13">
        <v>8</v>
      </c>
      <c r="B117" s="485" t="str">
        <f>VLOOKUP(A87,'[9]87149990111出'!$A$11:$E$22,3,0)</f>
        <v>柬埔寨</v>
      </c>
      <c r="C117" s="374">
        <f>VLOOKUP(A87,'[9]87149990111出'!$A$11:$E$22,5,0)</f>
        <v>352847</v>
      </c>
      <c r="D117" s="372"/>
      <c r="E117" s="374"/>
      <c r="G117" s="372" t="str">
        <f>VLOOKUP(A117,'[10]87149320906出'!$A$11:$E$22,3,0)</f>
        <v>日本</v>
      </c>
      <c r="H117" s="374">
        <f>VLOOKUP(A117,'[10]87149320906出'!$A$11:$E$22,5,0)</f>
        <v>156058</v>
      </c>
      <c r="I117" s="375" t="str">
        <f>VLOOKUP(A117,'[10]87149320906進'!$A$11:$E$22,3,0)</f>
        <v>西班牙</v>
      </c>
      <c r="J117" s="374">
        <f>VLOOKUP(A117,'[10]87149320906進'!$A$11:$E$22,5,0)</f>
        <v>2035</v>
      </c>
      <c r="L117" s="5"/>
      <c r="M117" s="5"/>
      <c r="N117" s="5"/>
      <c r="O117" s="5"/>
    </row>
    <row r="118" spans="1:15">
      <c r="A118" s="13">
        <v>9</v>
      </c>
      <c r="B118" s="485" t="str">
        <f>VLOOKUP(A88,'[9]87149990111出'!$A$11:$E$22,3,0)</f>
        <v>保加利亞</v>
      </c>
      <c r="C118" s="374">
        <f>VLOOKUP(A88,'[9]87149990111出'!$A$11:$E$22,5,0)</f>
        <v>294404</v>
      </c>
      <c r="D118" s="372"/>
      <c r="E118" s="374"/>
      <c r="G118" s="372" t="str">
        <f>VLOOKUP(A118,'[10]87149320906出'!$A$11:$E$22,3,0)</f>
        <v>英國</v>
      </c>
      <c r="H118" s="374">
        <f>VLOOKUP(A118,'[10]87149320906出'!$A$11:$E$22,5,0)</f>
        <v>152336</v>
      </c>
      <c r="I118" s="375" t="str">
        <f>VLOOKUP(A118,'[10]87149320906進'!$A$11:$E$22,3,0)</f>
        <v>菲律賓</v>
      </c>
      <c r="J118" s="374">
        <f>VLOOKUP(A118,'[10]87149320906進'!$A$11:$E$22,5,0)</f>
        <v>1971</v>
      </c>
      <c r="L118" s="5"/>
      <c r="M118" s="5"/>
      <c r="N118" s="5"/>
      <c r="O118" s="5"/>
    </row>
    <row r="119" spans="1:15">
      <c r="A119" s="13">
        <v>10</v>
      </c>
      <c r="B119" s="485" t="str">
        <f>VLOOKUP(A89,'[9]87149990111出'!$A$11:$E$22,3,0)</f>
        <v>希臘</v>
      </c>
      <c r="C119" s="374">
        <f>VLOOKUP(A89,'[9]87149990111出'!$A$11:$E$22,5,0)</f>
        <v>213863</v>
      </c>
      <c r="D119" s="372"/>
      <c r="E119" s="374"/>
      <c r="G119" s="372" t="str">
        <f>VLOOKUP(A119,'[10]87149320906出'!$A$11:$E$22,3,0)</f>
        <v>柬埔寨</v>
      </c>
      <c r="H119" s="374">
        <f>VLOOKUP(A119,'[10]87149320906出'!$A$11:$E$22,5,0)</f>
        <v>147248</v>
      </c>
      <c r="I119" s="375" t="str">
        <f>VLOOKUP(A119,'[10]87149320906進'!$A$11:$E$22,3,0)</f>
        <v>丹麥</v>
      </c>
      <c r="J119" s="374">
        <f>VLOOKUP(A119,'[10]87149320906進'!$A$11:$E$22,5,0)</f>
        <v>763</v>
      </c>
      <c r="L119" s="5"/>
      <c r="M119" s="5"/>
      <c r="N119" s="5"/>
      <c r="O119" s="5"/>
    </row>
    <row r="120" spans="1:15">
      <c r="B120" s="372" t="s">
        <v>106</v>
      </c>
      <c r="C120" s="374">
        <f>C121-SUM(C109:C119)</f>
        <v>846963</v>
      </c>
      <c r="D120" s="372" t="s">
        <v>106</v>
      </c>
      <c r="E120" s="374">
        <f>E121-SUM(E109:E119)</f>
        <v>0</v>
      </c>
      <c r="G120" s="372" t="s">
        <v>426</v>
      </c>
      <c r="H120" s="374">
        <f>H121-SUM(H109:H119)</f>
        <v>699905</v>
      </c>
      <c r="I120" s="378" t="s">
        <v>106</v>
      </c>
      <c r="J120" s="374">
        <f>J121-SUM(J109:J119)</f>
        <v>0</v>
      </c>
      <c r="L120" s="5"/>
      <c r="M120" s="5"/>
      <c r="N120" s="5"/>
      <c r="O120" s="5"/>
    </row>
    <row r="121" spans="1:15">
      <c r="B121" s="372" t="s">
        <v>107</v>
      </c>
      <c r="C121" s="374">
        <f>VLOOKUP(B91,'[9]87149990111出'!$B$10:$E$11,4,0)</f>
        <v>7168776</v>
      </c>
      <c r="D121" s="372" t="s">
        <v>107</v>
      </c>
      <c r="E121" s="374">
        <f>VLOOKUP(B91,'[9]87149990111進'!$B$10:$E$11,4,0)</f>
        <v>2534027</v>
      </c>
      <c r="G121" s="372" t="s">
        <v>107</v>
      </c>
      <c r="H121" s="374">
        <f>VLOOKUP(G121,'[10]87149320906出'!$B$10:$E$10,4,0)</f>
        <v>4525465</v>
      </c>
      <c r="I121" s="372" t="s">
        <v>107</v>
      </c>
      <c r="J121" s="374">
        <f>VLOOKUP(G121,'[10]87149320906進'!$B$10:$E$10,4,0)</f>
        <v>827900</v>
      </c>
    </row>
    <row r="122" spans="1:15">
      <c r="G122" s="5"/>
      <c r="H122" s="96"/>
      <c r="I122" s="5"/>
      <c r="J122" s="96"/>
    </row>
    <row r="123" spans="1:15">
      <c r="B123" s="484" t="s">
        <v>453</v>
      </c>
      <c r="G123" s="54" t="s">
        <v>454</v>
      </c>
    </row>
    <row r="124" spans="1:15">
      <c r="B124" s="30" t="s">
        <v>102</v>
      </c>
      <c r="C124" s="370" t="s">
        <v>103</v>
      </c>
      <c r="D124" s="30" t="s">
        <v>104</v>
      </c>
      <c r="E124" s="370" t="s">
        <v>105</v>
      </c>
      <c r="G124" s="30" t="s">
        <v>102</v>
      </c>
      <c r="H124" s="370" t="s">
        <v>103</v>
      </c>
      <c r="I124" s="30" t="s">
        <v>104</v>
      </c>
      <c r="J124" s="370" t="s">
        <v>105</v>
      </c>
    </row>
    <row r="125" spans="1:15">
      <c r="A125" s="13">
        <v>1</v>
      </c>
      <c r="B125" s="372" t="str">
        <f>VLOOKUP(A110,'[10]87149990139出'!$A$11:$E$22,3,0)</f>
        <v>德國</v>
      </c>
      <c r="C125" s="374">
        <f>VLOOKUP(A110,'[10]87149990139出'!$A$11:$E$22,5,0)</f>
        <v>109031</v>
      </c>
      <c r="D125" s="372" t="str">
        <f>VLOOKUP(A110,'[10]87149990139進'!$A$11:$E$22,3,0)</f>
        <v>越南</v>
      </c>
      <c r="E125" s="374">
        <f>VLOOKUP(A110,'[10]87149990139進'!$A$11:$E$22,5,0)</f>
        <v>79428</v>
      </c>
      <c r="G125" s="372" t="str">
        <f>VLOOKUP(A110,'[10]87149990148出'!$A$11:$E$22,3,0)</f>
        <v>德國</v>
      </c>
      <c r="H125" s="374">
        <f>VLOOKUP(A110,'[10]87149990148出'!$A$11:$E$22,5,0)</f>
        <v>947062</v>
      </c>
      <c r="I125" s="372" t="str">
        <f>VLOOKUP(A110,'[10]87149990148進'!$A$11:$E$22,3,0)</f>
        <v>中國大陸</v>
      </c>
      <c r="J125" s="374">
        <f>VLOOKUP(A110,'[10]87149990148進'!$A$11:$E$22,5,0)</f>
        <v>353003</v>
      </c>
    </row>
    <row r="126" spans="1:15">
      <c r="A126" s="13">
        <v>2</v>
      </c>
      <c r="B126" s="372" t="str">
        <f>VLOOKUP(A111,'[10]87149990139出'!$A$11:$E$22,3,0)</f>
        <v>阿拉伯聯合大公國</v>
      </c>
      <c r="C126" s="374">
        <f>VLOOKUP(A111,'[10]87149990139出'!$A$11:$E$22,5,0)</f>
        <v>38983</v>
      </c>
      <c r="D126" s="372" t="str">
        <f>VLOOKUP(A111,'[10]87149990139進'!$A$11:$E$22,3,0)</f>
        <v>中國大陸</v>
      </c>
      <c r="E126" s="374">
        <f>VLOOKUP(A111,'[10]87149990139進'!$A$11:$E$22,5,0)</f>
        <v>6287</v>
      </c>
      <c r="G126" s="372" t="str">
        <f>VLOOKUP(A111,'[10]87149990148出'!$A$11:$E$22,3,0)</f>
        <v>西班牙</v>
      </c>
      <c r="H126" s="374">
        <f>VLOOKUP(A111,'[10]87149990148出'!$A$11:$E$22,5,0)</f>
        <v>183562</v>
      </c>
      <c r="I126" s="372" t="str">
        <f>VLOOKUP(A111,'[10]87149990148進'!$A$11:$E$22,3,0)</f>
        <v>越南</v>
      </c>
      <c r="J126" s="374">
        <f>VLOOKUP(A111,'[10]87149990148進'!$A$11:$E$22,5,0)</f>
        <v>62131</v>
      </c>
    </row>
    <row r="127" spans="1:15">
      <c r="A127" s="13">
        <v>3</v>
      </c>
      <c r="B127" s="372" t="str">
        <f>VLOOKUP(A112,'[10]87149990139出'!$A$11:$E$22,3,0)</f>
        <v>美國</v>
      </c>
      <c r="C127" s="374">
        <f>VLOOKUP(A112,'[10]87149990139出'!$A$11:$E$22,5,0)</f>
        <v>29222</v>
      </c>
      <c r="D127" s="372"/>
      <c r="E127" s="374"/>
      <c r="G127" s="372" t="str">
        <f>VLOOKUP(A112,'[10]87149990148出'!$A$11:$E$22,3,0)</f>
        <v>中國大陸</v>
      </c>
      <c r="H127" s="374">
        <f>VLOOKUP(A112,'[10]87149990148出'!$A$11:$E$22,5,0)</f>
        <v>180703</v>
      </c>
      <c r="I127" s="372"/>
      <c r="J127" s="374"/>
    </row>
    <row r="128" spans="1:15">
      <c r="A128" s="13">
        <v>4</v>
      </c>
      <c r="B128" s="372" t="str">
        <f>VLOOKUP(A113,'[10]87149990139出'!$A$11:$E$22,3,0)</f>
        <v>中國大陸</v>
      </c>
      <c r="C128" s="374">
        <f>VLOOKUP(A113,'[10]87149990139出'!$A$11:$E$22,5,0)</f>
        <v>20603</v>
      </c>
      <c r="D128" s="372"/>
      <c r="E128" s="374"/>
      <c r="G128" s="372" t="str">
        <f>VLOOKUP(A113,'[10]87149990148出'!$A$11:$E$22,3,0)</f>
        <v>保加利亞</v>
      </c>
      <c r="H128" s="374">
        <f>VLOOKUP(A113,'[10]87149990148出'!$A$11:$E$22,5,0)</f>
        <v>167313</v>
      </c>
      <c r="I128" s="372"/>
      <c r="J128" s="374"/>
    </row>
    <row r="129" spans="1:15">
      <c r="A129" s="13">
        <v>5</v>
      </c>
      <c r="B129" s="372" t="str">
        <f>VLOOKUP(A114,'[10]87149990139出'!$A$11:$E$22,3,0)</f>
        <v>英國</v>
      </c>
      <c r="C129" s="374">
        <f>VLOOKUP(A114,'[10]87149990139出'!$A$11:$E$22,5,0)</f>
        <v>10302</v>
      </c>
      <c r="D129" s="372"/>
      <c r="E129" s="374"/>
      <c r="G129" s="372" t="str">
        <f>VLOOKUP(A114,'[10]87149990148出'!$A$11:$E$22,3,0)</f>
        <v>荷蘭</v>
      </c>
      <c r="H129" s="374">
        <f>VLOOKUP(A114,'[10]87149990148出'!$A$11:$E$22,5,0)</f>
        <v>148014</v>
      </c>
      <c r="I129" s="372"/>
      <c r="J129" s="374"/>
    </row>
    <row r="130" spans="1:15">
      <c r="A130" s="13">
        <v>6</v>
      </c>
      <c r="B130" s="372" t="str">
        <f>VLOOKUP(A115,'[10]87149990139出'!$A$11:$E$22,3,0)</f>
        <v>波蘭</v>
      </c>
      <c r="C130" s="374">
        <f>VLOOKUP(A115,'[10]87149990139出'!$A$11:$E$22,5,0)</f>
        <v>9221</v>
      </c>
      <c r="D130" s="372"/>
      <c r="E130" s="374"/>
      <c r="G130" s="372" t="str">
        <f>VLOOKUP(A115,'[10]87149990148出'!$A$11:$E$22,3,0)</f>
        <v>越南</v>
      </c>
      <c r="H130" s="374">
        <f>VLOOKUP(A115,'[10]87149990148出'!$A$11:$E$22,5,0)</f>
        <v>142545</v>
      </c>
      <c r="I130" s="372"/>
      <c r="J130" s="374"/>
    </row>
    <row r="131" spans="1:15">
      <c r="A131" s="13">
        <v>7</v>
      </c>
      <c r="B131" s="372" t="str">
        <f>VLOOKUP(A116,'[10]87149990139出'!$A$11:$E$22,3,0)</f>
        <v>柬埔寨</v>
      </c>
      <c r="C131" s="374">
        <f>VLOOKUP(A116,'[10]87149990139出'!$A$11:$E$22,5,0)</f>
        <v>8999</v>
      </c>
      <c r="D131" s="372"/>
      <c r="E131" s="374"/>
      <c r="G131" s="372" t="str">
        <f>VLOOKUP(A116,'[10]87149990148出'!$A$11:$E$22,3,0)</f>
        <v>美國</v>
      </c>
      <c r="H131" s="374">
        <f>VLOOKUP(A116,'[10]87149990148出'!$A$11:$E$22,5,0)</f>
        <v>119460</v>
      </c>
      <c r="I131" s="372"/>
      <c r="J131" s="374"/>
    </row>
    <row r="132" spans="1:15">
      <c r="A132" s="13">
        <v>8</v>
      </c>
      <c r="B132" s="372" t="str">
        <f>VLOOKUP(A117,'[10]87149990139出'!$A$11:$E$22,3,0)</f>
        <v>丹麥</v>
      </c>
      <c r="C132" s="374">
        <f>VLOOKUP(A117,'[10]87149990139出'!$A$11:$E$22,5,0)</f>
        <v>2671</v>
      </c>
      <c r="D132" s="372"/>
      <c r="E132" s="374"/>
      <c r="G132" s="372" t="str">
        <f>VLOOKUP(A117,'[10]87149990148出'!$A$11:$E$22,3,0)</f>
        <v>匈牙利</v>
      </c>
      <c r="H132" s="374">
        <f>VLOOKUP(A117,'[10]87149990148出'!$A$11:$E$22,5,0)</f>
        <v>86678</v>
      </c>
      <c r="I132" s="372"/>
      <c r="J132" s="374"/>
    </row>
    <row r="133" spans="1:15">
      <c r="A133" s="13">
        <v>9</v>
      </c>
      <c r="B133" s="372" t="str">
        <f>VLOOKUP(A118,'[10]87149990139出'!$A$11:$E$22,3,0)</f>
        <v>南非</v>
      </c>
      <c r="C133" s="374">
        <f>VLOOKUP(A118,'[10]87149990139出'!$A$11:$E$22,5,0)</f>
        <v>2194</v>
      </c>
      <c r="D133" s="372"/>
      <c r="E133" s="374"/>
      <c r="G133" s="372" t="str">
        <f>VLOOKUP(A118,'[10]87149990148出'!$A$11:$E$22,3,0)</f>
        <v>柬埔寨</v>
      </c>
      <c r="H133" s="374">
        <f>VLOOKUP(A118,'[10]87149990148出'!$A$11:$E$22,5,0)</f>
        <v>70048</v>
      </c>
      <c r="I133" s="372"/>
      <c r="J133" s="374"/>
    </row>
    <row r="134" spans="1:15">
      <c r="A134" s="13">
        <v>10</v>
      </c>
      <c r="B134" s="372" t="str">
        <f>VLOOKUP(A119,'[10]87149990139出'!$A$11:$E$22,3,0)</f>
        <v>越南</v>
      </c>
      <c r="C134" s="374">
        <f>VLOOKUP(A119,'[10]87149990139出'!$A$11:$E$22,5,0)</f>
        <v>95</v>
      </c>
      <c r="D134" s="93"/>
      <c r="E134" s="27"/>
      <c r="G134" s="372" t="str">
        <f>VLOOKUP(A119,'[10]87149990148出'!$A$11:$E$22,3,0)</f>
        <v>法國</v>
      </c>
      <c r="H134" s="374">
        <f>VLOOKUP(A119,'[10]87149990148出'!$A$11:$E$22,5,0)</f>
        <v>37679</v>
      </c>
      <c r="I134" s="372"/>
      <c r="J134" s="374"/>
    </row>
    <row r="135" spans="1:15">
      <c r="B135" s="375" t="s">
        <v>426</v>
      </c>
      <c r="C135" s="374">
        <f>C136-SUM(C125:C134)</f>
        <v>0</v>
      </c>
      <c r="D135" s="372" t="s">
        <v>106</v>
      </c>
      <c r="E135" s="374">
        <f>E136-SUM(E125:E134)</f>
        <v>0</v>
      </c>
      <c r="G135" s="372" t="s">
        <v>106</v>
      </c>
      <c r="H135" s="374">
        <f>H136-SUM(H125:H134)</f>
        <v>302225</v>
      </c>
      <c r="I135" s="372" t="s">
        <v>106</v>
      </c>
      <c r="J135" s="374">
        <f>J136-SUM(J125:J134)</f>
        <v>0</v>
      </c>
    </row>
    <row r="136" spans="1:15">
      <c r="B136" s="372" t="s">
        <v>107</v>
      </c>
      <c r="C136" s="374">
        <f>VLOOKUP(G121,'[10]87149990139出'!$B$10:$E$10,4,0)</f>
        <v>231321</v>
      </c>
      <c r="D136" s="372" t="s">
        <v>107</v>
      </c>
      <c r="E136" s="374">
        <f>VLOOKUP(G121,'[10]87149990139進'!$B$10:$E$10,4,0)</f>
        <v>85715</v>
      </c>
      <c r="G136" s="372" t="s">
        <v>107</v>
      </c>
      <c r="H136" s="374">
        <f>VLOOKUP(G121,'[10]87149990148出'!$B$10:$E$10,4,0)</f>
        <v>2385289</v>
      </c>
      <c r="I136" s="372" t="s">
        <v>107</v>
      </c>
      <c r="J136" s="374">
        <f>VLOOKUP(G121,'[10]87149990148進'!$B$10:$E$10,4,0)</f>
        <v>415134</v>
      </c>
    </row>
    <row r="138" spans="1:15">
      <c r="B138" s="54" t="s">
        <v>455</v>
      </c>
      <c r="G138" s="484" t="s">
        <v>434</v>
      </c>
      <c r="L138" s="5"/>
      <c r="M138" s="5"/>
      <c r="N138" s="5"/>
      <c r="O138" s="5"/>
    </row>
    <row r="139" spans="1:15">
      <c r="B139" s="30" t="s">
        <v>102</v>
      </c>
      <c r="C139" s="370" t="s">
        <v>103</v>
      </c>
      <c r="D139" s="30" t="s">
        <v>104</v>
      </c>
      <c r="E139" s="370" t="s">
        <v>105</v>
      </c>
      <c r="G139" s="30" t="s">
        <v>102</v>
      </c>
      <c r="H139" s="370" t="s">
        <v>103</v>
      </c>
      <c r="I139" s="30" t="s">
        <v>104</v>
      </c>
      <c r="J139" s="370" t="s">
        <v>105</v>
      </c>
      <c r="L139" s="5"/>
      <c r="M139" s="5"/>
      <c r="N139" s="5"/>
      <c r="O139" s="5"/>
    </row>
    <row r="140" spans="1:15">
      <c r="A140" s="13">
        <v>1</v>
      </c>
      <c r="B140" s="375" t="str">
        <f>VLOOKUP(A110,'[10]87149990157出'!$A$11:$E$22,3,0)</f>
        <v>德國</v>
      </c>
      <c r="C140" s="374">
        <f>VLOOKUP(A110,'[10]87149990157出'!$A$11:$E$22,5,0)</f>
        <v>1079142</v>
      </c>
      <c r="D140" s="372" t="str">
        <f>VLOOKUP(A110,'[10]87149990157進'!$A$11:$E$22,3,0)</f>
        <v>中國大陸</v>
      </c>
      <c r="E140" s="374">
        <f>VLOOKUP(A110,'[10]87149990157進'!$A$11:$E$22,5,0)</f>
        <v>833659</v>
      </c>
      <c r="G140" s="372" t="str">
        <f>VLOOKUP(A110,'[10]87149990166出'!$A$11:$E$22,3,0)</f>
        <v>德國</v>
      </c>
      <c r="H140" s="374">
        <f>VLOOKUP(A110,'[10]87149990166出'!$A$11:$E$22,5,0)</f>
        <v>850811</v>
      </c>
      <c r="I140" s="372" t="str">
        <f>VLOOKUP(A110,'[10]87149990166進'!$A$11:$E$22,3,0)</f>
        <v>中國大陸</v>
      </c>
      <c r="J140" s="374">
        <f>VLOOKUP(A110,'[10]87149990166進'!$A$11:$E$22,5,0)</f>
        <v>1338537</v>
      </c>
      <c r="L140" s="5"/>
      <c r="M140" s="5"/>
      <c r="N140" s="5"/>
      <c r="O140" s="5"/>
    </row>
    <row r="141" spans="1:15">
      <c r="A141" s="13">
        <v>2</v>
      </c>
      <c r="B141" s="375" t="str">
        <f>VLOOKUP(A111,'[10]87149990157出'!$A$11:$E$22,3,0)</f>
        <v>荷蘭</v>
      </c>
      <c r="C141" s="374">
        <f>VLOOKUP(A111,'[10]87149990157出'!$A$11:$E$22,5,0)</f>
        <v>647187</v>
      </c>
      <c r="D141" s="372" t="str">
        <f>VLOOKUP(A111,'[10]87149990157進'!$A$11:$E$22,3,0)</f>
        <v>中華民國</v>
      </c>
      <c r="E141" s="374">
        <f>VLOOKUP(A111,'[10]87149990157進'!$A$11:$E$22,5,0)</f>
        <v>123402</v>
      </c>
      <c r="G141" s="372" t="str">
        <f>VLOOKUP(A111,'[10]87149990166出'!$A$11:$E$22,3,0)</f>
        <v>中國大陸</v>
      </c>
      <c r="H141" s="374">
        <f>VLOOKUP(A111,'[10]87149990166出'!$A$11:$E$22,5,0)</f>
        <v>563978</v>
      </c>
      <c r="I141" s="372" t="str">
        <f>VLOOKUP(A111,'[10]87149990166進'!$A$11:$E$22,3,0)</f>
        <v>越南</v>
      </c>
      <c r="J141" s="374">
        <f>VLOOKUP(A111,'[10]87149990166進'!$A$11:$E$22,5,0)</f>
        <v>668711</v>
      </c>
      <c r="L141" s="5"/>
      <c r="M141" s="5"/>
      <c r="N141" s="5"/>
      <c r="O141" s="5"/>
    </row>
    <row r="142" spans="1:15">
      <c r="A142" s="13">
        <v>3</v>
      </c>
      <c r="B142" s="375" t="str">
        <f>VLOOKUP(A112,'[10]87149990157出'!$A$11:$E$22,3,0)</f>
        <v>西班牙</v>
      </c>
      <c r="C142" s="374">
        <f>VLOOKUP(A112,'[10]87149990157出'!$A$11:$E$22,5,0)</f>
        <v>354277</v>
      </c>
      <c r="D142" s="372" t="str">
        <f>VLOOKUP(A112,'[10]87149990157進'!$A$11:$E$22,3,0)</f>
        <v>越南</v>
      </c>
      <c r="E142" s="374">
        <f>VLOOKUP(A112,'[10]87149990157進'!$A$11:$E$22,5,0)</f>
        <v>82162</v>
      </c>
      <c r="G142" s="372" t="str">
        <f>VLOOKUP(A112,'[10]87149990166出'!$A$11:$E$22,3,0)</f>
        <v>英國</v>
      </c>
      <c r="H142" s="374">
        <f>VLOOKUP(A112,'[10]87149990166出'!$A$11:$E$22,5,0)</f>
        <v>476155</v>
      </c>
      <c r="I142" s="372" t="str">
        <f>VLOOKUP(A112,'[10]87149990166進'!$A$11:$E$22,3,0)</f>
        <v>緬甸</v>
      </c>
      <c r="J142" s="374">
        <f>VLOOKUP(A112,'[10]87149990166進'!$A$11:$E$22,5,0)</f>
        <v>125724</v>
      </c>
      <c r="L142" s="5"/>
      <c r="M142" s="5"/>
      <c r="N142" s="5"/>
      <c r="O142" s="5"/>
    </row>
    <row r="143" spans="1:15">
      <c r="A143" s="13">
        <v>4</v>
      </c>
      <c r="B143" s="375" t="str">
        <f>VLOOKUP(A113,'[10]87149990157出'!$A$11:$E$22,3,0)</f>
        <v>美國</v>
      </c>
      <c r="C143" s="374">
        <f>VLOOKUP(A113,'[10]87149990157出'!$A$11:$E$22,5,0)</f>
        <v>316122</v>
      </c>
      <c r="D143" s="372" t="str">
        <f>VLOOKUP(A113,'[10]87149990157進'!$A$11:$E$22,3,0)</f>
        <v>印尼</v>
      </c>
      <c r="E143" s="374">
        <f>VLOOKUP(A113,'[10]87149990157進'!$A$11:$E$22,5,0)</f>
        <v>4579</v>
      </c>
      <c r="G143" s="372" t="str">
        <f>VLOOKUP(A113,'[10]87149990166出'!$A$11:$E$22,3,0)</f>
        <v>荷蘭</v>
      </c>
      <c r="H143" s="374">
        <f>VLOOKUP(A113,'[10]87149990166出'!$A$11:$E$22,5,0)</f>
        <v>406391</v>
      </c>
      <c r="I143" s="372" t="str">
        <f>VLOOKUP(A113,'[10]87149990166進'!$A$11:$E$22,3,0)</f>
        <v>中華民國</v>
      </c>
      <c r="J143" s="374">
        <f>VLOOKUP(A113,'[10]87149990166進'!$A$11:$E$22,5,0)</f>
        <v>6741</v>
      </c>
      <c r="L143" s="5"/>
      <c r="M143" s="5"/>
      <c r="N143" s="5"/>
      <c r="O143" s="5"/>
    </row>
    <row r="144" spans="1:15">
      <c r="A144" s="13">
        <v>5</v>
      </c>
      <c r="B144" s="375" t="str">
        <f>VLOOKUP(A114,'[10]87149990157出'!$A$11:$E$22,3,0)</f>
        <v>中國大陸</v>
      </c>
      <c r="C144" s="374">
        <f>VLOOKUP(A114,'[10]87149990157出'!$A$11:$E$22,5,0)</f>
        <v>179426</v>
      </c>
      <c r="D144" s="372" t="str">
        <f>VLOOKUP(A114,'[10]87149990157進'!$A$11:$E$22,3,0)</f>
        <v>美國</v>
      </c>
      <c r="E144" s="374">
        <f>VLOOKUP(A114,'[10]87149990157進'!$A$11:$E$22,5,0)</f>
        <v>3561</v>
      </c>
      <c r="G144" s="372" t="str">
        <f>VLOOKUP(A114,'[10]87149990166出'!$A$11:$E$22,3,0)</f>
        <v>美國</v>
      </c>
      <c r="H144" s="374">
        <f>VLOOKUP(A114,'[10]87149990166出'!$A$11:$E$22,5,0)</f>
        <v>371095</v>
      </c>
      <c r="I144" s="372" t="str">
        <f>VLOOKUP(A114,'[10]87149990166進'!$A$11:$E$22,3,0)</f>
        <v>英國</v>
      </c>
      <c r="J144" s="374">
        <f>VLOOKUP(A114,'[10]87149990166進'!$A$11:$E$22,5,0)</f>
        <v>4388</v>
      </c>
      <c r="L144" s="5"/>
      <c r="M144" s="5"/>
      <c r="N144" s="5"/>
      <c r="O144" s="5"/>
    </row>
    <row r="145" spans="1:15">
      <c r="A145" s="13">
        <v>6</v>
      </c>
      <c r="B145" s="375" t="str">
        <f>VLOOKUP(A115,'[10]87149990157出'!$A$11:$E$22,3,0)</f>
        <v>保加利亞</v>
      </c>
      <c r="C145" s="374">
        <f>VLOOKUP(A115,'[10]87149990157出'!$A$11:$E$22,5,0)</f>
        <v>143816</v>
      </c>
      <c r="D145" s="372" t="str">
        <f>VLOOKUP(A115,'[10]87149990157進'!$A$11:$E$22,3,0)</f>
        <v>新加坡</v>
      </c>
      <c r="E145" s="374">
        <f>VLOOKUP(A115,'[10]87149990157進'!$A$11:$E$22,5,0)</f>
        <v>3339</v>
      </c>
      <c r="G145" s="372" t="str">
        <f>VLOOKUP(A115,'[10]87149990166出'!$A$11:$E$22,3,0)</f>
        <v>捷克</v>
      </c>
      <c r="H145" s="374">
        <f>VLOOKUP(A115,'[10]87149990166出'!$A$11:$E$22,5,0)</f>
        <v>231096</v>
      </c>
      <c r="I145" s="372" t="str">
        <f>VLOOKUP(A115,'[10]87149990166進'!$A$11:$E$22,3,0)</f>
        <v>義大利</v>
      </c>
      <c r="J145" s="374">
        <f>VLOOKUP(A115,'[10]87149990166進'!$A$11:$E$22,5,0)</f>
        <v>2544</v>
      </c>
      <c r="L145" s="5"/>
      <c r="M145" s="5"/>
      <c r="N145" s="5"/>
      <c r="O145" s="5"/>
    </row>
    <row r="146" spans="1:15">
      <c r="A146" s="13">
        <v>7</v>
      </c>
      <c r="B146" s="375" t="str">
        <f>VLOOKUP(A116,'[10]87149990157出'!$A$11:$E$22,3,0)</f>
        <v>巴西</v>
      </c>
      <c r="C146" s="374">
        <f>VLOOKUP(A116,'[10]87149990157出'!$A$11:$E$22,5,0)</f>
        <v>129633</v>
      </c>
      <c r="D146" s="372" t="str">
        <f>VLOOKUP(A116,'[10]87149990157進'!$A$11:$E$22,3,0)</f>
        <v>緬甸</v>
      </c>
      <c r="E146" s="374">
        <f>VLOOKUP(A116,'[10]87149990157進'!$A$11:$E$22,5,0)</f>
        <v>1176</v>
      </c>
      <c r="G146" s="372" t="str">
        <f>VLOOKUP(A116,'[10]87149990166出'!$A$11:$E$22,3,0)</f>
        <v>西班牙</v>
      </c>
      <c r="H146" s="374">
        <f>VLOOKUP(A116,'[10]87149990166出'!$A$11:$E$22,5,0)</f>
        <v>174245</v>
      </c>
      <c r="I146" s="372" t="str">
        <f>VLOOKUP(A116,'[10]87149990166進'!$A$11:$E$22,3,0)</f>
        <v>印尼</v>
      </c>
      <c r="J146" s="374">
        <f>VLOOKUP(A116,'[10]87149990166進'!$A$11:$E$22,5,0)</f>
        <v>700</v>
      </c>
      <c r="L146" s="5"/>
      <c r="M146" s="5"/>
      <c r="N146" s="5"/>
      <c r="O146" s="5"/>
    </row>
    <row r="147" spans="1:15">
      <c r="A147" s="13">
        <v>8</v>
      </c>
      <c r="B147" s="375" t="str">
        <f>VLOOKUP(A117,'[10]87149990157出'!$A$11:$E$22,3,0)</f>
        <v>立陶宛</v>
      </c>
      <c r="C147" s="374">
        <f>VLOOKUP(A117,'[10]87149990157出'!$A$11:$E$22,5,0)</f>
        <v>108139</v>
      </c>
      <c r="D147" s="372"/>
      <c r="E147" s="374"/>
      <c r="G147" s="372" t="str">
        <f>VLOOKUP(A117,'[10]87149990166出'!$A$11:$E$22,3,0)</f>
        <v>泰國</v>
      </c>
      <c r="H147" s="374">
        <f>VLOOKUP(A117,'[10]87149990166出'!$A$11:$E$22,5,0)</f>
        <v>164833</v>
      </c>
      <c r="I147" s="372"/>
      <c r="J147" s="374"/>
      <c r="L147" s="5"/>
      <c r="M147" s="5"/>
      <c r="N147" s="5"/>
      <c r="O147" s="5"/>
    </row>
    <row r="148" spans="1:15">
      <c r="A148" s="13">
        <v>9</v>
      </c>
      <c r="B148" s="375" t="str">
        <f>VLOOKUP(A118,'[10]87149990157出'!$A$11:$E$22,3,0)</f>
        <v>越南</v>
      </c>
      <c r="C148" s="374">
        <f>VLOOKUP(A118,'[10]87149990157出'!$A$11:$E$22,5,0)</f>
        <v>95900</v>
      </c>
      <c r="D148" s="372"/>
      <c r="E148" s="374"/>
      <c r="G148" s="372" t="str">
        <f>VLOOKUP(A118,'[10]87149990166出'!$A$11:$E$22,3,0)</f>
        <v>義大利</v>
      </c>
      <c r="H148" s="374">
        <f>VLOOKUP(A118,'[10]87149990166出'!$A$11:$E$22,5,0)</f>
        <v>147695</v>
      </c>
      <c r="I148" s="372"/>
      <c r="J148" s="374"/>
      <c r="L148" s="5"/>
      <c r="M148" s="5"/>
      <c r="N148" s="5"/>
      <c r="O148" s="5"/>
    </row>
    <row r="149" spans="1:15">
      <c r="A149" s="13">
        <v>10</v>
      </c>
      <c r="B149" s="375" t="str">
        <f>VLOOKUP(A119,'[10]87149990157出'!$A$11:$E$22,3,0)</f>
        <v>瑞士</v>
      </c>
      <c r="C149" s="374">
        <f>VLOOKUP(A119,'[10]87149990157出'!$A$11:$E$22,5,0)</f>
        <v>88395</v>
      </c>
      <c r="D149" s="372"/>
      <c r="E149" s="374"/>
      <c r="G149" s="372" t="str">
        <f>VLOOKUP(A119,'[10]87149990166出'!$A$11:$E$22,3,0)</f>
        <v>加拿大</v>
      </c>
      <c r="H149" s="374">
        <f>VLOOKUP(A119,'[10]87149990166出'!$A$11:$E$22,5,0)</f>
        <v>110906</v>
      </c>
      <c r="I149" s="372"/>
      <c r="J149" s="374"/>
      <c r="L149" s="5"/>
      <c r="M149" s="5"/>
      <c r="N149" s="5"/>
      <c r="O149" s="5"/>
    </row>
    <row r="150" spans="1:15">
      <c r="B150" s="372" t="s">
        <v>449</v>
      </c>
      <c r="C150" s="374">
        <f>C151-SUM(C139:C149)</f>
        <v>610876</v>
      </c>
      <c r="D150" s="372" t="s">
        <v>106</v>
      </c>
      <c r="E150" s="374">
        <f>E151-SUM(E140:E149)</f>
        <v>0</v>
      </c>
      <c r="G150" s="372" t="s">
        <v>456</v>
      </c>
      <c r="H150" s="374">
        <f>H151-SUM(H140:H149)</f>
        <v>867824</v>
      </c>
      <c r="I150" s="372" t="s">
        <v>106</v>
      </c>
      <c r="J150" s="374">
        <f>J151-SUM(J140:J149)</f>
        <v>0</v>
      </c>
      <c r="L150" s="5"/>
      <c r="M150" s="5"/>
      <c r="N150" s="5"/>
      <c r="O150" s="5"/>
    </row>
    <row r="151" spans="1:15">
      <c r="B151" s="372" t="s">
        <v>107</v>
      </c>
      <c r="C151" s="374">
        <f>VLOOKUP(G121,'[10]87149990157出'!$B$10:$E$10,4,0)</f>
        <v>3752913</v>
      </c>
      <c r="D151" s="372" t="s">
        <v>107</v>
      </c>
      <c r="E151" s="374">
        <f>VLOOKUP(G121,'[10]87149990157進'!$B$10:$E$10,4,0)</f>
        <v>1051878</v>
      </c>
      <c r="G151" s="372" t="s">
        <v>107</v>
      </c>
      <c r="H151" s="374">
        <f>VLOOKUP(G121,'[10]87149990166出'!$B$10:$E$10,4,0)</f>
        <v>4365029</v>
      </c>
      <c r="I151" s="372" t="s">
        <v>107</v>
      </c>
      <c r="J151" s="374">
        <f>VLOOKUP(G121,'[10]87149990166進'!$B$10:$E$10,4,0)</f>
        <v>2147345</v>
      </c>
      <c r="L151" s="5"/>
      <c r="M151" s="5"/>
      <c r="N151" s="5"/>
      <c r="O151" s="5"/>
    </row>
    <row r="153" spans="1:15">
      <c r="B153" s="484" t="s">
        <v>457</v>
      </c>
      <c r="G153" s="484" t="s">
        <v>435</v>
      </c>
    </row>
    <row r="154" spans="1:15">
      <c r="B154" s="30" t="s">
        <v>102</v>
      </c>
      <c r="C154" s="370" t="s">
        <v>103</v>
      </c>
      <c r="D154" s="30" t="s">
        <v>104</v>
      </c>
      <c r="E154" s="370" t="s">
        <v>105</v>
      </c>
      <c r="G154" s="30" t="s">
        <v>102</v>
      </c>
      <c r="H154" s="370" t="s">
        <v>103</v>
      </c>
      <c r="I154" s="30" t="s">
        <v>104</v>
      </c>
      <c r="J154" s="370" t="s">
        <v>105</v>
      </c>
    </row>
    <row r="155" spans="1:15">
      <c r="A155" s="13">
        <v>1</v>
      </c>
      <c r="B155" s="372" t="str">
        <f>VLOOKUP(A110,'[10]40115000008出'!$A$11:$E$22,3,0)</f>
        <v>美國</v>
      </c>
      <c r="C155" s="374">
        <f>VLOOKUP(A110,'[10]40115000008出'!$A$11:$E$22,5,0)</f>
        <v>1383595</v>
      </c>
      <c r="D155" s="485" t="str">
        <f>VLOOKUP(A110,'[10]40115000008進'!$A$11:$E$22,3,0)</f>
        <v>泰國</v>
      </c>
      <c r="E155" s="374">
        <f>VLOOKUP(A110,'[10]40115000008進'!$A$11:$E$22,5,0)</f>
        <v>444468</v>
      </c>
      <c r="G155" s="372" t="str">
        <f>VLOOKUP(A110,'[10]40132000003出'!$A$11:$E$22,3,0)</f>
        <v>美國</v>
      </c>
      <c r="H155" s="374">
        <f>VLOOKUP(A110,'[10]40132000003出'!$A$11:$E$22,5,0)</f>
        <v>241303</v>
      </c>
      <c r="I155" s="372" t="str">
        <f>VLOOKUP(A110,'[10]40132000003進'!$A$11:$E$22,3,0)</f>
        <v>中國大陸</v>
      </c>
      <c r="J155" s="374">
        <f>VLOOKUP(A110,'[10]40132000003進'!$A$11:$E$22,5,0)</f>
        <v>62156</v>
      </c>
    </row>
    <row r="156" spans="1:15">
      <c r="A156" s="13">
        <v>2</v>
      </c>
      <c r="B156" s="372" t="str">
        <f>VLOOKUP(A111,'[10]40115000008出'!$A$11:$E$22,3,0)</f>
        <v>中國大陸</v>
      </c>
      <c r="C156" s="374">
        <f>VLOOKUP(A111,'[10]40115000008出'!$A$11:$E$22,5,0)</f>
        <v>1114722</v>
      </c>
      <c r="D156" s="485" t="str">
        <f>VLOOKUP(A111,'[10]40115000008進'!$A$11:$E$22,3,0)</f>
        <v>越南</v>
      </c>
      <c r="E156" s="374">
        <f>VLOOKUP(A111,'[10]40115000008進'!$A$11:$E$22,5,0)</f>
        <v>413925</v>
      </c>
      <c r="G156" s="372" t="str">
        <f>VLOOKUP(A111,'[10]40132000003出'!$A$11:$E$22,3,0)</f>
        <v>日本</v>
      </c>
      <c r="H156" s="374">
        <f>VLOOKUP(A111,'[10]40132000003出'!$A$11:$E$22,5,0)</f>
        <v>95263</v>
      </c>
      <c r="I156" s="372" t="str">
        <f>VLOOKUP(A111,'[10]40132000003進'!$A$11:$E$22,3,0)</f>
        <v>越南</v>
      </c>
      <c r="J156" s="374">
        <f>VLOOKUP(A111,'[10]40132000003進'!$A$11:$E$22,5,0)</f>
        <v>33832</v>
      </c>
    </row>
    <row r="157" spans="1:15">
      <c r="A157" s="13">
        <v>3</v>
      </c>
      <c r="B157" s="372" t="str">
        <f>VLOOKUP(A112,'[10]40115000008出'!$A$11:$E$22,3,0)</f>
        <v>西班牙</v>
      </c>
      <c r="C157" s="374">
        <f>VLOOKUP(A112,'[10]40115000008出'!$A$11:$E$22,5,0)</f>
        <v>517838</v>
      </c>
      <c r="D157" s="485" t="str">
        <f>VLOOKUP(A112,'[10]40115000008進'!$A$11:$E$22,3,0)</f>
        <v>印尼</v>
      </c>
      <c r="E157" s="374">
        <f>VLOOKUP(A112,'[10]40115000008進'!$A$11:$E$22,5,0)</f>
        <v>200826</v>
      </c>
      <c r="G157" s="372" t="str">
        <f>VLOOKUP(A112,'[10]40132000003出'!$A$11:$E$22,3,0)</f>
        <v>德國</v>
      </c>
      <c r="H157" s="374">
        <f>VLOOKUP(A112,'[10]40132000003出'!$A$11:$E$22,5,0)</f>
        <v>34149</v>
      </c>
      <c r="I157" s="372" t="str">
        <f>VLOOKUP(A112,'[10]40132000003進'!$A$11:$E$22,3,0)</f>
        <v>泰國</v>
      </c>
      <c r="J157" s="374">
        <f>VLOOKUP(A112,'[10]40132000003進'!$A$11:$E$22,5,0)</f>
        <v>7695</v>
      </c>
    </row>
    <row r="158" spans="1:15">
      <c r="A158" s="13">
        <v>4</v>
      </c>
      <c r="B158" s="372" t="str">
        <f>VLOOKUP(A113,'[10]40115000008出'!$A$11:$E$22,3,0)</f>
        <v>德國</v>
      </c>
      <c r="C158" s="374">
        <f>VLOOKUP(A113,'[10]40115000008出'!$A$11:$E$22,5,0)</f>
        <v>470749</v>
      </c>
      <c r="D158" s="485" t="str">
        <f>VLOOKUP(A113,'[10]40115000008進'!$A$11:$E$22,3,0)</f>
        <v>中國大陸</v>
      </c>
      <c r="E158" s="374">
        <f>VLOOKUP(A113,'[10]40115000008進'!$A$11:$E$22,5,0)</f>
        <v>187028</v>
      </c>
      <c r="G158" s="372" t="str">
        <f>VLOOKUP(A113,'[10]40132000003出'!$A$11:$E$22,3,0)</f>
        <v>加拿大</v>
      </c>
      <c r="H158" s="374">
        <f>VLOOKUP(A113,'[10]40132000003出'!$A$11:$E$22,5,0)</f>
        <v>29189</v>
      </c>
      <c r="I158" s="372" t="str">
        <f>VLOOKUP(A113,'[10]40132000003進'!$A$11:$E$22,3,0)</f>
        <v>德國</v>
      </c>
      <c r="J158" s="374">
        <f>VLOOKUP(A113,'[10]40132000003進'!$A$11:$E$22,5,0)</f>
        <v>318</v>
      </c>
    </row>
    <row r="159" spans="1:15">
      <c r="A159" s="13">
        <v>5</v>
      </c>
      <c r="B159" s="372" t="str">
        <f>VLOOKUP(A114,'[10]40115000008出'!$A$11:$E$22,3,0)</f>
        <v>日本</v>
      </c>
      <c r="C159" s="374">
        <f>VLOOKUP(A114,'[10]40115000008出'!$A$11:$E$22,5,0)</f>
        <v>310366</v>
      </c>
      <c r="D159" s="485" t="str">
        <f>VLOOKUP(A114,'[10]40115000008進'!$A$11:$E$22,3,0)</f>
        <v>義大利</v>
      </c>
      <c r="E159" s="374">
        <f>VLOOKUP(A114,'[10]40115000008進'!$A$11:$E$22,5,0)</f>
        <v>55866</v>
      </c>
      <c r="G159" s="372" t="str">
        <f>VLOOKUP(A114,'[10]40132000003出'!$A$11:$E$22,3,0)</f>
        <v>馬來西亞</v>
      </c>
      <c r="H159" s="374">
        <f>VLOOKUP(A114,'[10]40132000003出'!$A$11:$E$22,5,0)</f>
        <v>12623</v>
      </c>
      <c r="I159" s="372" t="str">
        <f>VLOOKUP(A114,'[10]40132000003進'!$A$11:$E$22,3,0)</f>
        <v>中華民國</v>
      </c>
      <c r="J159" s="374">
        <f>VLOOKUP(A114,'[10]40132000003進'!$A$11:$E$22,5,0)</f>
        <v>210</v>
      </c>
    </row>
    <row r="160" spans="1:15">
      <c r="A160" s="13">
        <v>6</v>
      </c>
      <c r="B160" s="372" t="str">
        <f>VLOOKUP(A115,'[10]40115000008出'!$A$11:$E$22,3,0)</f>
        <v>法國</v>
      </c>
      <c r="C160" s="374">
        <f>VLOOKUP(A115,'[10]40115000008出'!$A$11:$E$22,5,0)</f>
        <v>201049</v>
      </c>
      <c r="D160" s="485" t="str">
        <f>VLOOKUP(A115,'[10]40115000008進'!$A$11:$E$22,3,0)</f>
        <v>中華民國</v>
      </c>
      <c r="E160" s="374">
        <f>VLOOKUP(A115,'[10]40115000008進'!$A$11:$E$22,5,0)</f>
        <v>3434</v>
      </c>
      <c r="G160" s="372" t="str">
        <f>VLOOKUP(A115,'[10]40132000003出'!$A$11:$E$22,3,0)</f>
        <v>中國大陸</v>
      </c>
      <c r="H160" s="374">
        <f>VLOOKUP(A115,'[10]40132000003出'!$A$11:$E$22,5,0)</f>
        <v>12242</v>
      </c>
      <c r="I160" s="372" t="str">
        <f>VLOOKUP(A115,'[10]40132000003進'!$A$11:$E$22,3,0)</f>
        <v>日本</v>
      </c>
      <c r="J160" s="374">
        <f>VLOOKUP(A115,'[10]40132000003進'!$A$11:$E$22,5,0)</f>
        <v>19</v>
      </c>
    </row>
    <row r="161" spans="1:10">
      <c r="A161" s="13">
        <v>7</v>
      </c>
      <c r="B161" s="372" t="str">
        <f>VLOOKUP(A116,'[10]40115000008出'!$A$11:$E$22,3,0)</f>
        <v>荷蘭</v>
      </c>
      <c r="C161" s="374">
        <f>VLOOKUP(A116,'[10]40115000008出'!$A$11:$E$22,5,0)</f>
        <v>184038</v>
      </c>
      <c r="D161" s="485" t="str">
        <f>VLOOKUP(A116,'[10]40115000008進'!$A$11:$E$22,3,0)</f>
        <v>法國</v>
      </c>
      <c r="E161" s="374">
        <f>VLOOKUP(A116,'[10]40115000008進'!$A$11:$E$22,5,0)</f>
        <v>286</v>
      </c>
      <c r="G161" s="372" t="str">
        <f>VLOOKUP(A116,'[10]40132000003出'!$A$11:$E$22,3,0)</f>
        <v>荷蘭</v>
      </c>
      <c r="H161" s="374">
        <f>VLOOKUP(A116,'[10]40132000003出'!$A$11:$E$22,5,0)</f>
        <v>11287</v>
      </c>
      <c r="I161" s="372"/>
      <c r="J161" s="374"/>
    </row>
    <row r="162" spans="1:10">
      <c r="A162" s="13">
        <v>8</v>
      </c>
      <c r="B162" s="372" t="str">
        <f>VLOOKUP(A117,'[10]40115000008出'!$A$11:$E$22,3,0)</f>
        <v>義大利</v>
      </c>
      <c r="C162" s="374">
        <f>VLOOKUP(A117,'[10]40115000008出'!$A$11:$E$22,5,0)</f>
        <v>182671</v>
      </c>
      <c r="D162" s="485" t="str">
        <f>VLOOKUP(A117,'[10]40115000008進'!$A$11:$E$22,3,0)</f>
        <v>日本</v>
      </c>
      <c r="E162" s="374">
        <f>VLOOKUP(A117,'[10]40115000008進'!$A$11:$E$22,5,0)</f>
        <v>95</v>
      </c>
      <c r="G162" s="372" t="str">
        <f>VLOOKUP(A117,'[10]40132000003出'!$A$11:$E$22,3,0)</f>
        <v>波蘭</v>
      </c>
      <c r="H162" s="374">
        <f>VLOOKUP(A117,'[10]40132000003出'!$A$11:$E$22,5,0)</f>
        <v>10048</v>
      </c>
      <c r="I162" s="372"/>
      <c r="J162" s="374"/>
    </row>
    <row r="163" spans="1:10">
      <c r="A163" s="13">
        <v>9</v>
      </c>
      <c r="B163" s="372" t="str">
        <f>VLOOKUP(A118,'[10]40115000008出'!$A$11:$E$22,3,0)</f>
        <v>瑞士</v>
      </c>
      <c r="C163" s="374">
        <f>VLOOKUP(A118,'[10]40115000008出'!$A$11:$E$22,5,0)</f>
        <v>122162</v>
      </c>
      <c r="D163" s="485"/>
      <c r="E163" s="374"/>
      <c r="G163" s="372" t="str">
        <f>VLOOKUP(A118,'[10]40132000003出'!$A$11:$E$22,3,0)</f>
        <v>澳大利亞</v>
      </c>
      <c r="H163" s="374">
        <f>VLOOKUP(A118,'[10]40132000003出'!$A$11:$E$22,5,0)</f>
        <v>7250</v>
      </c>
      <c r="I163" s="372"/>
      <c r="J163" s="374"/>
    </row>
    <row r="164" spans="1:10">
      <c r="A164" s="13">
        <v>10</v>
      </c>
      <c r="B164" s="372" t="str">
        <f>VLOOKUP(A119,'[10]40115000008出'!$A$11:$E$22,3,0)</f>
        <v>俄羅斯</v>
      </c>
      <c r="C164" s="374">
        <f>VLOOKUP(A119,'[10]40115000008出'!$A$11:$E$22,5,0)</f>
        <v>119841</v>
      </c>
      <c r="D164" s="485"/>
      <c r="E164" s="374"/>
      <c r="G164" s="372" t="str">
        <f>VLOOKUP(A119,'[10]40132000003出'!$A$11:$E$22,3,0)</f>
        <v>越南</v>
      </c>
      <c r="H164" s="374">
        <f>VLOOKUP(A119,'[10]40132000003出'!$A$11:$E$22,5,0)</f>
        <v>6424</v>
      </c>
      <c r="I164" s="372"/>
      <c r="J164" s="374"/>
    </row>
    <row r="165" spans="1:10">
      <c r="B165" s="372" t="s">
        <v>458</v>
      </c>
      <c r="C165" s="374">
        <f>C166-SUM(C155:C164)</f>
        <v>759397</v>
      </c>
      <c r="D165" s="372" t="s">
        <v>106</v>
      </c>
      <c r="E165" s="374">
        <f>E166-SUM(E155:E164)</f>
        <v>0</v>
      </c>
      <c r="G165" s="372" t="s">
        <v>106</v>
      </c>
      <c r="H165" s="374">
        <f>H166-SUM(H155:H164)</f>
        <v>34087</v>
      </c>
      <c r="I165" s="372" t="s">
        <v>106</v>
      </c>
      <c r="J165" s="374">
        <f>J166-SUM(J155:J164)</f>
        <v>0</v>
      </c>
    </row>
    <row r="166" spans="1:10">
      <c r="B166" s="372" t="s">
        <v>107</v>
      </c>
      <c r="C166" s="374">
        <f>VLOOKUP(G121,'[10]40115000008出'!$B$10:$E$10,4,0)</f>
        <v>5366428</v>
      </c>
      <c r="D166" s="372" t="s">
        <v>107</v>
      </c>
      <c r="E166" s="374">
        <f>VLOOKUP(G121,'[10]40115000008進'!$B$10:$E$10,4,0)</f>
        <v>1305928</v>
      </c>
      <c r="G166" s="372" t="s">
        <v>107</v>
      </c>
      <c r="H166" s="374">
        <f>VLOOKUP(G121,'[10]40132000003出'!$B$10:$E$10,4,0)</f>
        <v>493865</v>
      </c>
      <c r="I166" s="372" t="s">
        <v>107</v>
      </c>
      <c r="J166" s="374">
        <f>VLOOKUP(G121,'[10]40132000003進'!$B$10:$E$10,4,0)</f>
        <v>104230</v>
      </c>
    </row>
    <row r="167" spans="1:10">
      <c r="B167" s="377"/>
    </row>
    <row r="168" spans="1:10">
      <c r="B168" s="53" t="s">
        <v>418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4"/>
  <sheetViews>
    <sheetView zoomScale="90" zoomScaleNormal="90" workbookViewId="0">
      <selection activeCell="A2" sqref="A2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7" t="s">
        <v>469</v>
      </c>
      <c r="B1" s="557"/>
      <c r="C1" s="557"/>
      <c r="D1" s="557"/>
      <c r="E1" s="557"/>
      <c r="F1" s="557"/>
      <c r="G1" s="557"/>
      <c r="H1" s="557"/>
      <c r="I1" s="557"/>
    </row>
    <row r="2" spans="1:9" ht="12" customHeight="1"/>
    <row r="3" spans="1:9">
      <c r="A3" s="61" t="s">
        <v>0</v>
      </c>
      <c r="B3" s="62"/>
      <c r="C3" s="62"/>
      <c r="D3" s="169"/>
      <c r="E3" s="62"/>
      <c r="F3" s="62"/>
      <c r="G3" s="62"/>
      <c r="H3" s="62"/>
      <c r="I3" s="169"/>
    </row>
    <row r="4" spans="1:9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55</v>
      </c>
      <c r="H5" s="8"/>
      <c r="I5" s="12" t="s">
        <v>4</v>
      </c>
    </row>
    <row r="6" spans="1:9">
      <c r="A6" s="170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10</v>
      </c>
      <c r="C7" s="22">
        <f>SUM(C8:C10)</f>
        <v>6327</v>
      </c>
      <c r="D7" s="23">
        <f>IF(B7,C7/B7,0)</f>
        <v>632.70000000000005</v>
      </c>
      <c r="E7" s="22">
        <f>SUM(E8:E10)</f>
        <v>86</v>
      </c>
      <c r="F7" s="24">
        <f>E7/$E$66</f>
        <v>4.2363905952128787E-4</v>
      </c>
      <c r="G7" s="22">
        <f>SUM(G8:G10)</f>
        <v>293429</v>
      </c>
      <c r="H7" s="24">
        <f>G7/$G$66</f>
        <v>1.0962156167790787E-2</v>
      </c>
      <c r="I7" s="25">
        <f>IF(E7,G7/E7,0)</f>
        <v>3411.9651162790697</v>
      </c>
    </row>
    <row r="8" spans="1:9">
      <c r="A8" s="26" t="s">
        <v>390</v>
      </c>
      <c r="B8" s="27">
        <f>_xlfn.IFNA(VLOOKUP(A8,[1]進!$C$3:$F$12,4,0),-[2]整車!$B$22)</f>
        <v>10</v>
      </c>
      <c r="C8" s="28">
        <f>_xlfn.IFNA(VLOOKUP(A8,[1]進!$C$3:$F$50,3,0),-[2]整車!$B$22)</f>
        <v>6327</v>
      </c>
      <c r="D8" s="23">
        <f t="shared" ref="D8:D65" si="0">IF(B8,C8/B8,0)</f>
        <v>632.70000000000005</v>
      </c>
      <c r="E8" s="28">
        <f>_xlfn.IFNA(VLOOKUP(A8,[1]進同!$C$3:$H$90,6,0),-[2]整車!$B$22)</f>
        <v>85</v>
      </c>
      <c r="F8" s="24">
        <f>E8/$E$66</f>
        <v>4.1871302394545892E-4</v>
      </c>
      <c r="G8" s="28">
        <f>_xlfn.IFNA(VLOOKUP(A8,[1]進同!$C$3:$F$210,4,0),-[2]整車!$B$22)</f>
        <v>293050</v>
      </c>
      <c r="H8" s="24">
        <f>G8/$G$66</f>
        <v>1.0947997181502475E-2</v>
      </c>
      <c r="I8" s="25">
        <f t="shared" ref="I8:I65" si="1">IF(E8,G8/E8,0)</f>
        <v>3447.6470588235293</v>
      </c>
    </row>
    <row r="9" spans="1:9">
      <c r="A9" s="30" t="s">
        <v>7</v>
      </c>
      <c r="B9" s="27">
        <f>_xlfn.IFNA(VLOOKUP(A9,[1]進!$C$3:$F$112,4,0),-[2]整車!$B$22)</f>
        <v>0</v>
      </c>
      <c r="C9" s="28">
        <f>_xlfn.IFNA(VLOOKUP(A9,[1]進!$C$3:$F$510,3,0),-[2]整車!$B$22)</f>
        <v>0</v>
      </c>
      <c r="D9" s="23">
        <f t="shared" si="0"/>
        <v>0</v>
      </c>
      <c r="E9" s="28">
        <f>_xlfn.IFNA(VLOOKUP(A9,[1]進同!$C$3:$H$90,6,0),-[2]整車!$B$22)</f>
        <v>1</v>
      </c>
      <c r="F9" s="24">
        <f>E9/$E$66</f>
        <v>4.9260355758289284E-6</v>
      </c>
      <c r="G9" s="28">
        <f>_xlfn.IFNA(VLOOKUP(A9,[1]進同!$C$3:$F$210,4,0),-[2]整車!$B$22)</f>
        <v>379</v>
      </c>
      <c r="H9" s="24">
        <f>G9/$G$66</f>
        <v>1.4158986288310658E-5</v>
      </c>
      <c r="I9" s="25">
        <f t="shared" si="1"/>
        <v>379</v>
      </c>
    </row>
    <row r="10" spans="1:9">
      <c r="A10" s="30" t="s">
        <v>8</v>
      </c>
      <c r="B10" s="27">
        <f>_xlfn.IFNA(VLOOKUP(A10,[1]進!$C$3:$F$12,4,0),-[2]整車!$B$22)</f>
        <v>0</v>
      </c>
      <c r="C10" s="28">
        <f>_xlfn.IFNA(VLOOKUP(A10,[1]進!$C$3:$F$50,3,0),-[2]整車!$B$22)</f>
        <v>0</v>
      </c>
      <c r="D10" s="23">
        <f t="shared" si="0"/>
        <v>0</v>
      </c>
      <c r="E10" s="28">
        <f>_xlfn.IFNA(VLOOKUP(A10,[1]進同!$C$3:$H$90,6,0),-[2]整車!$B$22)</f>
        <v>0</v>
      </c>
      <c r="F10" s="24">
        <f>E10/$E$66</f>
        <v>0</v>
      </c>
      <c r="G10" s="28">
        <f>_xlfn.IFNA(VLOOKUP(A10,[1]進同!$C$3:$F$210,4,0),-[2]整車!$B$22)</f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32</v>
      </c>
      <c r="C12" s="33">
        <f>SUM(C13:C39)</f>
        <v>118601</v>
      </c>
      <c r="D12" s="23">
        <f t="shared" si="0"/>
        <v>3706.28125</v>
      </c>
      <c r="E12" s="33">
        <f>SUM(E13:E39)</f>
        <v>407</v>
      </c>
      <c r="F12" s="24">
        <f t="shared" ref="F12:F39" si="2">E12/$E$66</f>
        <v>2.0048964793623739E-3</v>
      </c>
      <c r="G12" s="33">
        <f>SUM(G13:G39)</f>
        <v>1193909</v>
      </c>
      <c r="H12" s="24">
        <f t="shared" ref="H12:H39" si="3">G12/$G$66</f>
        <v>4.4603010977547992E-2</v>
      </c>
      <c r="I12" s="25">
        <f t="shared" si="1"/>
        <v>2933.4373464373466</v>
      </c>
    </row>
    <row r="13" spans="1:9">
      <c r="A13" s="454" t="s">
        <v>202</v>
      </c>
      <c r="B13" s="27">
        <f>_xlfn.IFNA(VLOOKUP(A13,[1]進!$C$3:$F$152,4,0),-[2]整車!$B$22)</f>
        <v>0</v>
      </c>
      <c r="C13" s="27">
        <f>_xlfn.IFNA(VLOOKUP(A13,[1]進!$C$3:$F$550,3,0),-[2]整車!$B$22)</f>
        <v>0</v>
      </c>
      <c r="D13" s="23">
        <f t="shared" si="0"/>
        <v>0</v>
      </c>
      <c r="E13" s="28">
        <f>_xlfn.IFNA(VLOOKUP(A13,[1]進同!$C$3:$H$209,6,0),-[2]整車!$B$22)</f>
        <v>0</v>
      </c>
      <c r="F13" s="24">
        <f t="shared" si="2"/>
        <v>0</v>
      </c>
      <c r="G13" s="28">
        <f>_xlfn.IFNA(VLOOKUP(A13,[1]進同!$C$3:$F$305,4,0),-[2]整車!$B$22)</f>
        <v>0</v>
      </c>
      <c r="H13" s="24">
        <f t="shared" si="3"/>
        <v>0</v>
      </c>
      <c r="I13" s="25">
        <f t="shared" si="1"/>
        <v>0</v>
      </c>
    </row>
    <row r="14" spans="1:9">
      <c r="A14" s="454" t="s">
        <v>203</v>
      </c>
      <c r="B14" s="27">
        <f>_xlfn.IFNA(VLOOKUP(A14,[1]進!$C$3:$F$152,4,0),-[2]整車!$B$22)</f>
        <v>19</v>
      </c>
      <c r="C14" s="27">
        <f>_xlfn.IFNA(VLOOKUP(A14,[1]進!$C$3:$F$550,3,0),-[2]整車!$B$22)</f>
        <v>83307</v>
      </c>
      <c r="D14" s="23">
        <f t="shared" si="0"/>
        <v>4384.5789473684208</v>
      </c>
      <c r="E14" s="28">
        <f>_xlfn.IFNA(VLOOKUP(A14,[1]進同!$C$3:$H$209,6,0),-[2]整車!$B$22)</f>
        <v>101</v>
      </c>
      <c r="F14" s="24">
        <f t="shared" si="2"/>
        <v>4.9752959315872182E-4</v>
      </c>
      <c r="G14" s="28">
        <f>_xlfn.IFNA(VLOOKUP(A14,[1]進同!$C$3:$F$305,4,0),-[2]整車!$B$22)</f>
        <v>533871</v>
      </c>
      <c r="H14" s="24">
        <f t="shared" si="3"/>
        <v>1.9944781447827704E-2</v>
      </c>
      <c r="I14" s="25">
        <f t="shared" si="1"/>
        <v>5285.8514851485152</v>
      </c>
    </row>
    <row r="15" spans="1:9">
      <c r="A15" s="455" t="s">
        <v>10</v>
      </c>
      <c r="B15" s="27">
        <f>_xlfn.IFNA(VLOOKUP(A15,[1]進!$C$3:$F$152,4,0),-[2]整車!$B$22)</f>
        <v>0</v>
      </c>
      <c r="C15" s="27">
        <f>_xlfn.IFNA(VLOOKUP(A15,[1]進!$C$3:$F$550,3,0),-[2]整車!$B$22)</f>
        <v>0</v>
      </c>
      <c r="D15" s="23">
        <f t="shared" si="0"/>
        <v>0</v>
      </c>
      <c r="E15" s="28">
        <f>_xlfn.IFNA(VLOOKUP(A15,[1]進同!$C$3:$H$209,6,0),-[2]整車!$B$22)</f>
        <v>4</v>
      </c>
      <c r="F15" s="24">
        <f t="shared" si="2"/>
        <v>1.9704142303315714E-5</v>
      </c>
      <c r="G15" s="28">
        <f>_xlfn.IFNA(VLOOKUP(A15,[1]進同!$C$3:$F$305,4,0),-[2]整車!$B$22)</f>
        <v>10236</v>
      </c>
      <c r="H15" s="24">
        <f t="shared" si="3"/>
        <v>3.8240470619300238E-4</v>
      </c>
      <c r="I15" s="25">
        <f t="shared" si="1"/>
        <v>2559</v>
      </c>
    </row>
    <row r="16" spans="1:9">
      <c r="A16" s="454" t="s">
        <v>204</v>
      </c>
      <c r="B16" s="27">
        <f>_xlfn.IFNA(VLOOKUP(A16,[1]進!$C$3:$F$152,4,0),-[2]整車!$B$22)</f>
        <v>3</v>
      </c>
      <c r="C16" s="27">
        <f>_xlfn.IFNA(VLOOKUP(A16,[1]進!$C$3:$F$550,3,0),-[2]整車!$B$22)</f>
        <v>21430</v>
      </c>
      <c r="D16" s="23">
        <f t="shared" si="0"/>
        <v>7143.333333333333</v>
      </c>
      <c r="E16" s="28">
        <f>_xlfn.IFNA(VLOOKUP(A16,[1]進同!$C$3:$H$209,6,0),-[2]整車!$B$22)</f>
        <v>102</v>
      </c>
      <c r="F16" s="24">
        <f t="shared" si="2"/>
        <v>5.0245562873455071E-4</v>
      </c>
      <c r="G16" s="28">
        <f>_xlfn.IFNA(VLOOKUP(A16,[1]進同!$C$3:$F$305,4,0),-[2]整車!$B$22)</f>
        <v>70870</v>
      </c>
      <c r="H16" s="24">
        <f t="shared" si="3"/>
        <v>2.6476183595054784E-3</v>
      </c>
      <c r="I16" s="25">
        <f t="shared" si="1"/>
        <v>694.8039215686274</v>
      </c>
    </row>
    <row r="17" spans="1:9">
      <c r="A17" s="455" t="s">
        <v>11</v>
      </c>
      <c r="B17" s="27">
        <f>_xlfn.IFNA(VLOOKUP(A17,[1]進!$C$3:$F$152,4,0),-[2]整車!$B$22)</f>
        <v>5</v>
      </c>
      <c r="C17" s="27">
        <f>_xlfn.IFNA(VLOOKUP(A17,[1]進!$C$3:$F$550,3,0),-[2]整車!$B$22)</f>
        <v>8681</v>
      </c>
      <c r="D17" s="23">
        <f t="shared" si="0"/>
        <v>1736.2</v>
      </c>
      <c r="E17" s="28">
        <f>_xlfn.IFNA(VLOOKUP(A17,[1]進同!$C$3:$H$209,6,0),-[2]整車!$B$22)</f>
        <v>64</v>
      </c>
      <c r="F17" s="24">
        <f t="shared" si="2"/>
        <v>3.1526627685305142E-4</v>
      </c>
      <c r="G17" s="28">
        <f>_xlfn.IFNA(VLOOKUP(A17,[1]進同!$C$3:$F$305,4,0),-[2]整車!$B$22)</f>
        <v>343678</v>
      </c>
      <c r="H17" s="24">
        <f t="shared" si="3"/>
        <v>1.2839398653282402E-2</v>
      </c>
      <c r="I17" s="25">
        <f t="shared" si="1"/>
        <v>5369.96875</v>
      </c>
    </row>
    <row r="18" spans="1:9">
      <c r="A18" s="455" t="s">
        <v>12</v>
      </c>
      <c r="B18" s="27">
        <f>_xlfn.IFNA(VLOOKUP(A18,[1]進!$C$3:$F$152,4,0),-[2]整車!$B$22)</f>
        <v>1</v>
      </c>
      <c r="C18" s="27">
        <f>_xlfn.IFNA(VLOOKUP(A18,[1]進!$C$3:$F$550,3,0),-[2]整車!$B$22)</f>
        <v>286</v>
      </c>
      <c r="D18" s="23">
        <f t="shared" si="0"/>
        <v>286</v>
      </c>
      <c r="E18" s="28">
        <f>_xlfn.IFNA(VLOOKUP(A18,[1]進同!$C$3:$H$209,6,0),-[2]整車!$B$22)</f>
        <v>123</v>
      </c>
      <c r="F18" s="24">
        <f t="shared" si="2"/>
        <v>6.0590237582695827E-4</v>
      </c>
      <c r="G18" s="28">
        <f>_xlfn.IFNA(VLOOKUP(A18,[1]進同!$C$3:$F$305,4,0),-[2]整車!$B$22)</f>
        <v>215784</v>
      </c>
      <c r="H18" s="24">
        <f t="shared" si="3"/>
        <v>8.0614319188306791E-3</v>
      </c>
      <c r="I18" s="25">
        <f t="shared" si="1"/>
        <v>1754.3414634146341</v>
      </c>
    </row>
    <row r="19" spans="1:9">
      <c r="A19" s="454" t="s">
        <v>205</v>
      </c>
      <c r="B19" s="27">
        <f>_xlfn.IFNA(VLOOKUP(A19,[1]進!$C$3:$F$152,4,0),-[2]整車!$B$22)</f>
        <v>0</v>
      </c>
      <c r="C19" s="27">
        <f>_xlfn.IFNA(VLOOKUP(A19,[1]進!$C$3:$F$550,3,0),-[2]整車!$B$22)</f>
        <v>0</v>
      </c>
      <c r="D19" s="23">
        <f t="shared" si="0"/>
        <v>0</v>
      </c>
      <c r="E19" s="28">
        <f>_xlfn.IFNA(VLOOKUP(A19,[1]進同!$C$3:$H$209,6,0),-[2]整車!$B$22)</f>
        <v>1</v>
      </c>
      <c r="F19" s="24">
        <f t="shared" si="2"/>
        <v>4.9260355758289284E-6</v>
      </c>
      <c r="G19" s="28">
        <f>_xlfn.IFNA(VLOOKUP(A19,[1]進同!$C$3:$F$305,4,0),-[2]整車!$B$22)</f>
        <v>220</v>
      </c>
      <c r="H19" s="24">
        <f t="shared" si="3"/>
        <v>8.2189366317370574E-6</v>
      </c>
      <c r="I19" s="25">
        <f t="shared" si="1"/>
        <v>220</v>
      </c>
    </row>
    <row r="20" spans="1:9">
      <c r="A20" s="455" t="s">
        <v>206</v>
      </c>
      <c r="B20" s="27">
        <f>_xlfn.IFNA(VLOOKUP(A20,[1]進!$C$3:$F$152,4,0),-[2]整車!$B$22)</f>
        <v>0</v>
      </c>
      <c r="C20" s="27">
        <f>_xlfn.IFNA(VLOOKUP(A20,[1]進!$C$3:$F$550,3,0),-[2]整車!$B$22)</f>
        <v>0</v>
      </c>
      <c r="D20" s="23">
        <f t="shared" si="0"/>
        <v>0</v>
      </c>
      <c r="E20" s="28">
        <f>_xlfn.IFNA(VLOOKUP(A20,[1]進同!$C$3:$H$209,6,0),-[2]整車!$B$22)</f>
        <v>1</v>
      </c>
      <c r="F20" s="24">
        <f t="shared" si="2"/>
        <v>4.9260355758289284E-6</v>
      </c>
      <c r="G20" s="28">
        <f>_xlfn.IFNA(VLOOKUP(A20,[1]進同!$C$3:$F$305,4,0),-[2]整車!$B$22)</f>
        <v>3163</v>
      </c>
      <c r="H20" s="24">
        <f t="shared" si="3"/>
        <v>1.1816589348265598E-4</v>
      </c>
      <c r="I20" s="25">
        <f t="shared" si="1"/>
        <v>3163</v>
      </c>
    </row>
    <row r="21" spans="1:9">
      <c r="A21" s="454" t="s">
        <v>207</v>
      </c>
      <c r="B21" s="27">
        <f>_xlfn.IFNA(VLOOKUP(A21,[1]進!$C$3:$F$152,4,0),-[2]整車!$B$22)</f>
        <v>0</v>
      </c>
      <c r="C21" s="27">
        <f>_xlfn.IFNA(VLOOKUP(A21,[1]進!$C$3:$F$550,3,0),-[2]整車!$B$22)</f>
        <v>0</v>
      </c>
      <c r="D21" s="23">
        <f t="shared" si="0"/>
        <v>0</v>
      </c>
      <c r="E21" s="28">
        <f>_xlfn.IFNA(VLOOKUP(A21,[1]進同!$C$3:$H$209,6,0),-[2]整車!$B$22)</f>
        <v>0</v>
      </c>
      <c r="F21" s="24">
        <f t="shared" si="2"/>
        <v>0</v>
      </c>
      <c r="G21" s="28">
        <f>_xlfn.IFNA(VLOOKUP(A21,[1]進同!$C$3:$F$305,4,0),-[2]整車!$B$22)</f>
        <v>0</v>
      </c>
      <c r="H21" s="24">
        <f t="shared" si="3"/>
        <v>0</v>
      </c>
      <c r="I21" s="25">
        <f t="shared" si="1"/>
        <v>0</v>
      </c>
    </row>
    <row r="22" spans="1:9">
      <c r="A22" s="455" t="s">
        <v>14</v>
      </c>
      <c r="B22" s="27">
        <f>_xlfn.IFNA(VLOOKUP(A22,[1]進!$C$3:$F$152,4,0),-[2]整車!$B$22)</f>
        <v>0</v>
      </c>
      <c r="C22" s="27">
        <f>_xlfn.IFNA(VLOOKUP(A22,[1]進!$C$3:$F$550,3,0),-[2]整車!$B$22)</f>
        <v>0</v>
      </c>
      <c r="D22" s="23">
        <f t="shared" si="0"/>
        <v>0</v>
      </c>
      <c r="E22" s="28">
        <f>_xlfn.IFNA(VLOOKUP(A22,[1]進同!$C$3:$H$209,6,0),-[2]整車!$B$22)</f>
        <v>0</v>
      </c>
      <c r="F22" s="24">
        <f t="shared" si="2"/>
        <v>0</v>
      </c>
      <c r="G22" s="28">
        <f>_xlfn.IFNA(VLOOKUP(A22,[1]進同!$C$3:$F$305,4,0),-[2]整車!$B$22)</f>
        <v>0</v>
      </c>
      <c r="H22" s="24">
        <f t="shared" si="3"/>
        <v>0</v>
      </c>
      <c r="I22" s="25">
        <f t="shared" si="1"/>
        <v>0</v>
      </c>
    </row>
    <row r="23" spans="1:9">
      <c r="A23" s="455" t="s">
        <v>15</v>
      </c>
      <c r="B23" s="27">
        <f>_xlfn.IFNA(VLOOKUP(A23,[1]進!$C$3:$F$152,4,0),-[2]整車!$B$22)</f>
        <v>0</v>
      </c>
      <c r="C23" s="27">
        <f>_xlfn.IFNA(VLOOKUP(A23,[1]進!$C$3:$F$550,3,0),-[2]整車!$B$22)</f>
        <v>0</v>
      </c>
      <c r="D23" s="23">
        <f t="shared" si="0"/>
        <v>0</v>
      </c>
      <c r="E23" s="28">
        <f>_xlfn.IFNA(VLOOKUP(A23,[1]進同!$C$3:$H$209,6,0),-[2]整車!$B$22)</f>
        <v>0</v>
      </c>
      <c r="F23" s="24">
        <f t="shared" si="2"/>
        <v>0</v>
      </c>
      <c r="G23" s="28">
        <f>_xlfn.IFNA(VLOOKUP(A23,[1]進同!$C$3:$F$305,4,0),-[2]整車!$B$22)</f>
        <v>0</v>
      </c>
      <c r="H23" s="24">
        <f t="shared" si="3"/>
        <v>0</v>
      </c>
      <c r="I23" s="25">
        <f t="shared" si="1"/>
        <v>0</v>
      </c>
    </row>
    <row r="24" spans="1:9">
      <c r="A24" s="455" t="s">
        <v>16</v>
      </c>
      <c r="B24" s="27">
        <f>_xlfn.IFNA(VLOOKUP(A24,[1]進!$C$3:$F$152,4,0),-[2]整車!$B$22)</f>
        <v>0</v>
      </c>
      <c r="C24" s="27">
        <f>_xlfn.IFNA(VLOOKUP(A24,[1]進!$C$3:$F$550,3,0),-[2]整車!$B$22)</f>
        <v>0</v>
      </c>
      <c r="D24" s="23">
        <f t="shared" si="0"/>
        <v>0</v>
      </c>
      <c r="E24" s="28">
        <f>_xlfn.IFNA(VLOOKUP(A24,[1]進同!$C$3:$H$209,6,0),-[2]整車!$B$22)</f>
        <v>2</v>
      </c>
      <c r="F24" s="24">
        <f t="shared" si="2"/>
        <v>9.8520711516578568E-6</v>
      </c>
      <c r="G24" s="28">
        <f>_xlfn.IFNA(VLOOKUP(A24,[1]進同!$C$3:$F$305,4,0),-[2]整車!$B$22)</f>
        <v>5928</v>
      </c>
      <c r="H24" s="24">
        <f t="shared" si="3"/>
        <v>2.2146298342244218E-4</v>
      </c>
      <c r="I24" s="25">
        <f t="shared" si="1"/>
        <v>2964</v>
      </c>
    </row>
    <row r="25" spans="1:9">
      <c r="A25" s="454" t="s">
        <v>208</v>
      </c>
      <c r="B25" s="27">
        <f>_xlfn.IFNA(VLOOKUP(A25,[1]進!$C$3:$F$152,4,0),-[2]整車!$B$22)</f>
        <v>0</v>
      </c>
      <c r="C25" s="27">
        <f>_xlfn.IFNA(VLOOKUP(A25,[1]進!$C$3:$F$550,3,0),-[2]整車!$B$22)</f>
        <v>0</v>
      </c>
      <c r="D25" s="23">
        <f t="shared" si="0"/>
        <v>0</v>
      </c>
      <c r="E25" s="28">
        <f>_xlfn.IFNA(VLOOKUP(A25,[1]進同!$C$3:$H$209,6,0),-[2]整車!$B$22)</f>
        <v>0</v>
      </c>
      <c r="F25" s="24">
        <f t="shared" si="2"/>
        <v>0</v>
      </c>
      <c r="G25" s="28">
        <f>_xlfn.IFNA(VLOOKUP(A25,[1]進同!$C$3:$F$305,4,0),-[2]整車!$B$22)</f>
        <v>0</v>
      </c>
      <c r="H25" s="24">
        <f t="shared" si="3"/>
        <v>0</v>
      </c>
      <c r="I25" s="25">
        <f t="shared" si="1"/>
        <v>0</v>
      </c>
    </row>
    <row r="26" spans="1:9">
      <c r="A26" s="454" t="s">
        <v>209</v>
      </c>
      <c r="B26" s="27">
        <f>_xlfn.IFNA(VLOOKUP(A26,[1]進!$C$3:$F$152,4,0),-[2]整車!$B$22)</f>
        <v>0</v>
      </c>
      <c r="C26" s="27">
        <f>_xlfn.IFNA(VLOOKUP(A26,[1]進!$C$3:$F$550,3,0),-[2]整車!$B$22)</f>
        <v>0</v>
      </c>
      <c r="D26" s="23">
        <f t="shared" si="0"/>
        <v>0</v>
      </c>
      <c r="E26" s="28">
        <f>_xlfn.IFNA(VLOOKUP(A26,[1]進同!$C$3:$H$209,6,0),-[2]整車!$B$22)</f>
        <v>0</v>
      </c>
      <c r="F26" s="24">
        <f t="shared" si="2"/>
        <v>0</v>
      </c>
      <c r="G26" s="28">
        <f>_xlfn.IFNA(VLOOKUP(A26,[1]進同!$C$3:$F$305,4,0),-[2]整車!$B$22)</f>
        <v>0</v>
      </c>
      <c r="H26" s="24">
        <f t="shared" si="3"/>
        <v>0</v>
      </c>
      <c r="I26" s="25">
        <f t="shared" si="1"/>
        <v>0</v>
      </c>
    </row>
    <row r="27" spans="1:9">
      <c r="A27" s="456" t="s">
        <v>210</v>
      </c>
      <c r="B27" s="27">
        <f>_xlfn.IFNA(VLOOKUP(A27,[1]進!$C$3:$F$152,4,0),-[2]整車!$B$22)</f>
        <v>0</v>
      </c>
      <c r="C27" s="27">
        <f>_xlfn.IFNA(VLOOKUP(A27,[1]進!$C$3:$F$550,3,0),-[2]整車!$B$22)</f>
        <v>0</v>
      </c>
      <c r="D27" s="23">
        <f t="shared" si="0"/>
        <v>0</v>
      </c>
      <c r="E27" s="28">
        <f>_xlfn.IFNA(VLOOKUP(A27,[1]進同!$C$3:$H$209,6,0),-[2]整車!$B$22)</f>
        <v>0</v>
      </c>
      <c r="F27" s="24">
        <f t="shared" si="2"/>
        <v>0</v>
      </c>
      <c r="G27" s="28">
        <f>_xlfn.IFNA(VLOOKUP(A27,[1]進同!$C$3:$F$305,4,0),-[2]整車!$B$22)</f>
        <v>0</v>
      </c>
      <c r="H27" s="24">
        <f t="shared" si="3"/>
        <v>0</v>
      </c>
      <c r="I27" s="25">
        <f t="shared" si="1"/>
        <v>0</v>
      </c>
    </row>
    <row r="28" spans="1:9">
      <c r="A28" s="456" t="s">
        <v>211</v>
      </c>
      <c r="B28" s="27">
        <f>_xlfn.IFNA(VLOOKUP(A28,[1]進!$C$3:$F$152,4,0),-[2]整車!$B$22)</f>
        <v>0</v>
      </c>
      <c r="C28" s="27">
        <f>_xlfn.IFNA(VLOOKUP(A28,[1]進!$C$3:$F$550,3,0),-[2]整車!$B$22)</f>
        <v>0</v>
      </c>
      <c r="D28" s="23">
        <f t="shared" si="0"/>
        <v>0</v>
      </c>
      <c r="E28" s="28">
        <f>_xlfn.IFNA(VLOOKUP(A28,[1]進同!$C$3:$H$209,6,0),-[2]整車!$B$22)</f>
        <v>3</v>
      </c>
      <c r="F28" s="24">
        <f t="shared" si="2"/>
        <v>1.4778106727486786E-5</v>
      </c>
      <c r="G28" s="28">
        <f>_xlfn.IFNA(VLOOKUP(A28,[1]進同!$C$3:$F$305,4,0),-[2]整車!$B$22)</f>
        <v>2615</v>
      </c>
      <c r="H28" s="24">
        <f t="shared" si="3"/>
        <v>9.769326950905639E-5</v>
      </c>
      <c r="I28" s="25">
        <f t="shared" si="1"/>
        <v>871.66666666666663</v>
      </c>
    </row>
    <row r="29" spans="1:9">
      <c r="A29" s="455" t="s">
        <v>212</v>
      </c>
      <c r="B29" s="27">
        <f>_xlfn.IFNA(VLOOKUP(A29,[1]進!$C$3:$F$152,4,0),-[2]整車!$B$22)</f>
        <v>0</v>
      </c>
      <c r="C29" s="27">
        <f>_xlfn.IFNA(VLOOKUP(A29,[1]進!$C$3:$F$550,3,0),-[2]整車!$B$22)</f>
        <v>0</v>
      </c>
      <c r="D29" s="23">
        <f t="shared" si="0"/>
        <v>0</v>
      </c>
      <c r="E29" s="28">
        <f>_xlfn.IFNA(VLOOKUP(A29,[1]進同!$C$3:$H$209,6,0),-[2]整車!$B$22)</f>
        <v>0</v>
      </c>
      <c r="F29" s="24">
        <f t="shared" si="2"/>
        <v>0</v>
      </c>
      <c r="G29" s="28">
        <f>_xlfn.IFNA(VLOOKUP(A29,[1]進同!$C$3:$F$305,4,0),-[2]整車!$B$22)</f>
        <v>0</v>
      </c>
      <c r="H29" s="24">
        <f t="shared" si="3"/>
        <v>0</v>
      </c>
      <c r="I29" s="25">
        <f t="shared" si="1"/>
        <v>0</v>
      </c>
    </row>
    <row r="30" spans="1:9">
      <c r="A30" s="455" t="s">
        <v>213</v>
      </c>
      <c r="B30" s="27">
        <f>_xlfn.IFNA(VLOOKUP(A30,[1]進!$C$3:$F$152,4,0),-[2]整車!$B$22)</f>
        <v>0</v>
      </c>
      <c r="C30" s="27">
        <f>_xlfn.IFNA(VLOOKUP(A30,[1]進!$C$3:$F$550,3,0),-[2]整車!$B$22)</f>
        <v>0</v>
      </c>
      <c r="D30" s="23">
        <f t="shared" si="0"/>
        <v>0</v>
      </c>
      <c r="E30" s="28">
        <f>_xlfn.IFNA(VLOOKUP(A30,[1]進同!$C$3:$H$209,6,0),-[2]整車!$B$22)</f>
        <v>0</v>
      </c>
      <c r="F30" s="24">
        <f t="shared" si="2"/>
        <v>0</v>
      </c>
      <c r="G30" s="28">
        <f>_xlfn.IFNA(VLOOKUP(A30,[1]進同!$C$3:$F$305,4,0),-[2]整車!$B$22)</f>
        <v>0</v>
      </c>
      <c r="H30" s="24">
        <f t="shared" si="3"/>
        <v>0</v>
      </c>
      <c r="I30" s="25">
        <f t="shared" si="1"/>
        <v>0</v>
      </c>
    </row>
    <row r="31" spans="1:9">
      <c r="A31" s="455" t="s">
        <v>17</v>
      </c>
      <c r="B31" s="27">
        <f>_xlfn.IFNA(VLOOKUP(A31,[1]進!$C$3:$F$152,4,0),-[2]整車!$B$22)</f>
        <v>0</v>
      </c>
      <c r="C31" s="27">
        <f>_xlfn.IFNA(VLOOKUP(A31,[1]進!$C$3:$F$550,3,0),-[2]整車!$B$22)</f>
        <v>0</v>
      </c>
      <c r="D31" s="23">
        <f t="shared" si="0"/>
        <v>0</v>
      </c>
      <c r="E31" s="28">
        <f>_xlfn.IFNA(VLOOKUP(A31,[1]進同!$C$3:$H$209,6,0),-[2]整車!$B$22)</f>
        <v>0</v>
      </c>
      <c r="F31" s="24">
        <f t="shared" si="2"/>
        <v>0</v>
      </c>
      <c r="G31" s="28">
        <f>_xlfn.IFNA(VLOOKUP(A31,[1]進同!$C$3:$F$305,4,0),-[2]整車!$B$22)</f>
        <v>0</v>
      </c>
      <c r="H31" s="24">
        <f t="shared" si="3"/>
        <v>0</v>
      </c>
      <c r="I31" s="25">
        <f t="shared" si="1"/>
        <v>0</v>
      </c>
    </row>
    <row r="32" spans="1:9">
      <c r="A32" s="455" t="s">
        <v>18</v>
      </c>
      <c r="B32" s="27">
        <f>_xlfn.IFNA(VLOOKUP(A32,[1]進!$C$3:$F$152,4,0),-[2]整車!$B$22)</f>
        <v>0</v>
      </c>
      <c r="C32" s="27">
        <f>_xlfn.IFNA(VLOOKUP(A32,[1]進!$C$3:$F$550,3,0),-[2]整車!$B$22)</f>
        <v>0</v>
      </c>
      <c r="D32" s="23">
        <f t="shared" si="0"/>
        <v>0</v>
      </c>
      <c r="E32" s="28">
        <f>_xlfn.IFNA(VLOOKUP(A32,[1]進同!$C$3:$H$209,6,0),-[2]整車!$B$22)</f>
        <v>2</v>
      </c>
      <c r="F32" s="24">
        <f t="shared" si="2"/>
        <v>9.8520711516578568E-6</v>
      </c>
      <c r="G32" s="28">
        <f>_xlfn.IFNA(VLOOKUP(A32,[1]進同!$C$3:$F$305,4,0),-[2]整車!$B$22)</f>
        <v>2647</v>
      </c>
      <c r="H32" s="24">
        <f t="shared" si="3"/>
        <v>9.8888751200945421E-5</v>
      </c>
      <c r="I32" s="25">
        <f t="shared" si="1"/>
        <v>1323.5</v>
      </c>
    </row>
    <row r="33" spans="1:9">
      <c r="A33" s="455" t="s">
        <v>214</v>
      </c>
      <c r="B33" s="27">
        <f>_xlfn.IFNA(VLOOKUP(A33,[1]進!$C$3:$F$152,4,0),-[2]整車!$B$22)</f>
        <v>0</v>
      </c>
      <c r="C33" s="27">
        <f>_xlfn.IFNA(VLOOKUP(A33,[1]進!$C$3:$F$550,3,0),-[2]整車!$B$22)</f>
        <v>0</v>
      </c>
      <c r="D33" s="23">
        <f t="shared" si="0"/>
        <v>0</v>
      </c>
      <c r="E33" s="28">
        <f>_xlfn.IFNA(VLOOKUP(A33,[1]進同!$C$3:$H$209,6,0),-[2]整車!$B$22)</f>
        <v>0</v>
      </c>
      <c r="F33" s="24">
        <f t="shared" si="2"/>
        <v>0</v>
      </c>
      <c r="G33" s="28">
        <f>_xlfn.IFNA(VLOOKUP(A33,[1]進同!$C$3:$F$305,4,0),-[2]整車!$B$22)</f>
        <v>0</v>
      </c>
      <c r="H33" s="24">
        <f t="shared" si="3"/>
        <v>0</v>
      </c>
      <c r="I33" s="25">
        <f t="shared" si="1"/>
        <v>0</v>
      </c>
    </row>
    <row r="34" spans="1:9">
      <c r="A34" s="455" t="s">
        <v>215</v>
      </c>
      <c r="B34" s="27">
        <f>_xlfn.IFNA(VLOOKUP(A34,[1]進!$C$3:$F$152,4,0),-[2]整車!$B$22)</f>
        <v>0</v>
      </c>
      <c r="C34" s="27">
        <f>_xlfn.IFNA(VLOOKUP(A34,[1]進!$C$3:$F$550,3,0),-[2]整車!$B$22)</f>
        <v>0</v>
      </c>
      <c r="D34" s="23">
        <f t="shared" si="0"/>
        <v>0</v>
      </c>
      <c r="E34" s="28">
        <f>_xlfn.IFNA(VLOOKUP(A34,[1]進同!$C$3:$H$209,6,0),-[2]整車!$B$22)</f>
        <v>0</v>
      </c>
      <c r="F34" s="24">
        <f t="shared" si="2"/>
        <v>0</v>
      </c>
      <c r="G34" s="28">
        <f>_xlfn.IFNA(VLOOKUP(A34,[1]進同!$C$3:$F$305,4,0),-[2]整車!$B$22)</f>
        <v>0</v>
      </c>
      <c r="H34" s="24">
        <f t="shared" si="3"/>
        <v>0</v>
      </c>
      <c r="I34" s="25">
        <f t="shared" si="1"/>
        <v>0</v>
      </c>
    </row>
    <row r="35" spans="1:9">
      <c r="A35" s="455" t="s">
        <v>216</v>
      </c>
      <c r="B35" s="27">
        <f>_xlfn.IFNA(VLOOKUP(A35,[1]進!$C$3:$F$152,4,0),-[2]整車!$B$22)</f>
        <v>0</v>
      </c>
      <c r="C35" s="27">
        <f>_xlfn.IFNA(VLOOKUP(A35,[1]進!$C$3:$F$550,3,0),-[2]整車!$B$22)</f>
        <v>0</v>
      </c>
      <c r="D35" s="23">
        <f t="shared" si="0"/>
        <v>0</v>
      </c>
      <c r="E35" s="28">
        <f>_xlfn.IFNA(VLOOKUP(A35,[1]進同!$C$3:$H$209,6,0),-[2]整車!$B$22)</f>
        <v>0</v>
      </c>
      <c r="F35" s="24">
        <f t="shared" si="2"/>
        <v>0</v>
      </c>
      <c r="G35" s="28">
        <f>_xlfn.IFNA(VLOOKUP(A35,[1]進同!$C$3:$F$305,4,0),-[2]整車!$B$22)</f>
        <v>0</v>
      </c>
      <c r="H35" s="24">
        <f t="shared" si="3"/>
        <v>0</v>
      </c>
      <c r="I35" s="25">
        <f t="shared" si="1"/>
        <v>0</v>
      </c>
    </row>
    <row r="36" spans="1:9">
      <c r="A36" s="455" t="s">
        <v>217</v>
      </c>
      <c r="B36" s="27">
        <f>_xlfn.IFNA(VLOOKUP(A36,[1]進!$C$3:$F$152,4,0),-[2]整車!$B$22)</f>
        <v>0</v>
      </c>
      <c r="C36" s="27">
        <f>_xlfn.IFNA(VLOOKUP(A36,[1]進!$C$3:$F$550,3,0),-[2]整車!$B$22)</f>
        <v>0</v>
      </c>
      <c r="D36" s="23">
        <f t="shared" si="0"/>
        <v>0</v>
      </c>
      <c r="E36" s="28">
        <f>_xlfn.IFNA(VLOOKUP(A36,[1]進同!$C$3:$H$209,6,0),-[2]整車!$B$22)</f>
        <v>0</v>
      </c>
      <c r="F36" s="24">
        <f t="shared" si="2"/>
        <v>0</v>
      </c>
      <c r="G36" s="28">
        <f>_xlfn.IFNA(VLOOKUP(A36,[1]進同!$C$3:$F$305,4,0),-[2]整車!$B$22)</f>
        <v>0</v>
      </c>
      <c r="H36" s="24">
        <f t="shared" si="3"/>
        <v>0</v>
      </c>
      <c r="I36" s="25">
        <f t="shared" si="1"/>
        <v>0</v>
      </c>
    </row>
    <row r="37" spans="1:9">
      <c r="A37" s="455" t="s">
        <v>218</v>
      </c>
      <c r="B37" s="27">
        <f>_xlfn.IFNA(VLOOKUP(A37,[1]進!$C$3:$F$152,4,0),-[2]整車!$B$22)</f>
        <v>0</v>
      </c>
      <c r="C37" s="27">
        <f>_xlfn.IFNA(VLOOKUP(A37,[1]進!$C$3:$F$550,3,0),-[2]整車!$B$22)</f>
        <v>0</v>
      </c>
      <c r="D37" s="23">
        <f t="shared" si="0"/>
        <v>0</v>
      </c>
      <c r="E37" s="28">
        <f>_xlfn.IFNA(VLOOKUP(A37,[1]進同!$C$3:$H$209,6,0),-[2]整車!$B$22)</f>
        <v>0</v>
      </c>
      <c r="F37" s="24">
        <f t="shared" si="2"/>
        <v>0</v>
      </c>
      <c r="G37" s="28">
        <f>_xlfn.IFNA(VLOOKUP(A37,[1]進同!$C$3:$F$305,4,0),-[2]整車!$B$22)</f>
        <v>0</v>
      </c>
      <c r="H37" s="24">
        <f t="shared" si="3"/>
        <v>0</v>
      </c>
      <c r="I37" s="25">
        <f t="shared" si="1"/>
        <v>0</v>
      </c>
    </row>
    <row r="38" spans="1:9">
      <c r="A38" s="455" t="s">
        <v>219</v>
      </c>
      <c r="B38" s="27">
        <f>_xlfn.IFNA(VLOOKUP(A38,[1]進!$C$3:$F$152,4,0),-[2]整車!$B$22)</f>
        <v>4</v>
      </c>
      <c r="C38" s="27">
        <f>_xlfn.IFNA(VLOOKUP(A38,[1]進!$C$3:$F$550,3,0),-[2]整車!$B$22)</f>
        <v>4897</v>
      </c>
      <c r="D38" s="23">
        <f t="shared" si="0"/>
        <v>1224.25</v>
      </c>
      <c r="E38" s="28">
        <f>_xlfn.IFNA(VLOOKUP(A38,[1]進同!$C$3:$H$209,6,0),-[2]整車!$B$22)</f>
        <v>4</v>
      </c>
      <c r="F38" s="24">
        <f t="shared" si="2"/>
        <v>1.9704142303315714E-5</v>
      </c>
      <c r="G38" s="28">
        <f>_xlfn.IFNA(VLOOKUP(A38,[1]進同!$C$3:$F$305,4,0),-[2]整車!$B$22)</f>
        <v>4897</v>
      </c>
      <c r="H38" s="24">
        <f t="shared" si="3"/>
        <v>1.8294605766189259E-4</v>
      </c>
      <c r="I38" s="25">
        <f t="shared" si="1"/>
        <v>1224.25</v>
      </c>
    </row>
    <row r="39" spans="1:9">
      <c r="A39" s="455" t="s">
        <v>19</v>
      </c>
      <c r="B39" s="27">
        <f>_xlfn.IFNA(VLOOKUP(A39,[1]進!$C$3:$F$152,4,0),-[2]整車!$B$22)</f>
        <v>0</v>
      </c>
      <c r="C39" s="27">
        <f>_xlfn.IFNA(VLOOKUP(A39,[1]進!$C$3:$F$550,3,0),-[2]整車!$B$22)</f>
        <v>0</v>
      </c>
      <c r="D39" s="23">
        <f t="shared" si="0"/>
        <v>0</v>
      </c>
      <c r="E39" s="28">
        <f>_xlfn.IFNA(VLOOKUP(A39,[1]進同!$C$3:$H$209,6,0),-[2]整車!$B$22)</f>
        <v>0</v>
      </c>
      <c r="F39" s="24">
        <f t="shared" si="2"/>
        <v>0</v>
      </c>
      <c r="G39" s="28">
        <f>_xlfn.IFNA(VLOOKUP(A39,[1]進同!$C$3:$F$305,4,0),-[2]整車!$B$22)</f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1</v>
      </c>
      <c r="F41" s="24">
        <f>E41/$E$66</f>
        <v>4.9260355758289284E-6</v>
      </c>
      <c r="G41" s="28">
        <f>SUM(G42:G45)</f>
        <v>260</v>
      </c>
      <c r="H41" s="24">
        <f>G41/$G$66</f>
        <v>9.713288746598341E-6</v>
      </c>
      <c r="I41" s="25">
        <f t="shared" si="1"/>
        <v>260</v>
      </c>
    </row>
    <row r="42" spans="1:9">
      <c r="A42" s="26" t="s">
        <v>220</v>
      </c>
      <c r="B42" s="27">
        <f>_xlfn.IFNA(VLOOKUP(A42,[1]進!$C$3:$F$12,4,0),-[2]整車!$B$22)</f>
        <v>0</v>
      </c>
      <c r="C42" s="27">
        <f>_xlfn.IFNA(VLOOKUP(A42,[1]進!$C$3:$F$50,3,0),-[2]整車!$B$22)</f>
        <v>0</v>
      </c>
      <c r="D42" s="23">
        <f t="shared" si="0"/>
        <v>0</v>
      </c>
      <c r="E42" s="28">
        <f>_xlfn.IFNA(VLOOKUP(A42,[1]進同!$C$3:$H$219,6,0),-[2]整車!$B$22)</f>
        <v>1</v>
      </c>
      <c r="F42" s="24">
        <f>E42/$E$66</f>
        <v>4.9260355758289284E-6</v>
      </c>
      <c r="G42" s="28">
        <f>_xlfn.IFNA(VLOOKUP(A42,[1]進同!$C$3:$F$30,4,0),-[2]整車!$B$22)</f>
        <v>260</v>
      </c>
      <c r="H42" s="24">
        <f>G42/$G$66</f>
        <v>9.713288746598341E-6</v>
      </c>
      <c r="I42" s="25">
        <f t="shared" si="1"/>
        <v>260</v>
      </c>
    </row>
    <row r="43" spans="1:9">
      <c r="A43" s="26" t="s">
        <v>221</v>
      </c>
      <c r="B43" s="27">
        <f>_xlfn.IFNA(VLOOKUP(A43,[1]進!$C$3:$F$12,4,0),-[2]整車!$B$22)</f>
        <v>0</v>
      </c>
      <c r="C43" s="27">
        <f>_xlfn.IFNA(VLOOKUP(A43,[1]進!$C$3:$F$50,3,0),-[2]整車!$B$22)</f>
        <v>0</v>
      </c>
      <c r="D43" s="23">
        <f t="shared" si="0"/>
        <v>0</v>
      </c>
      <c r="E43" s="28">
        <f>_xlfn.IFNA(VLOOKUP(A43,[1]進同!$C$3:$H$219,6,0),-[2]整車!$B$22)</f>
        <v>0</v>
      </c>
      <c r="F43" s="24">
        <f>E43/$E$66</f>
        <v>0</v>
      </c>
      <c r="G43" s="28">
        <f>_xlfn.IFNA(VLOOKUP(A43,[1]進同!$C$3:$F$30,4,0),-[2]整車!$B$22)</f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f>_xlfn.IFNA(VLOOKUP(A44,[1]進!$C$3:$F$12,4,0),-[2]整車!$B$22)</f>
        <v>0</v>
      </c>
      <c r="C44" s="27">
        <f>_xlfn.IFNA(VLOOKUP(A44,[1]進!$C$3:$F$50,3,0),-[2]整車!$B$22)</f>
        <v>0</v>
      </c>
      <c r="D44" s="23">
        <f t="shared" si="0"/>
        <v>0</v>
      </c>
      <c r="E44" s="28">
        <f>_xlfn.IFNA(VLOOKUP(A44,[1]進同!$C$3:$H$219,6,0),-[2]整車!$B$22)</f>
        <v>0</v>
      </c>
      <c r="F44" s="24">
        <f>E44/$E$66</f>
        <v>0</v>
      </c>
      <c r="G44" s="28">
        <f>_xlfn.IFNA(VLOOKUP(A44,[1]進同!$C$3:$F$30,4,0),-[2]整車!$B$22)</f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f>_xlfn.IFNA(VLOOKUP(A45,[1]進!$C$3:$F$12,4,0),-[2]整車!$B$22)</f>
        <v>0</v>
      </c>
      <c r="C45" s="27">
        <f>_xlfn.IFNA(VLOOKUP(A45,[1]進!$C$3:$F$50,3,0),-[2]整車!$B$22)</f>
        <v>0</v>
      </c>
      <c r="D45" s="23">
        <f t="shared" si="0"/>
        <v>0</v>
      </c>
      <c r="E45" s="28">
        <f>_xlfn.IFNA(VLOOKUP(A45,[1]進同!$C$3:$H$219,6,0),-[2]整車!$B$22)</f>
        <v>0</v>
      </c>
      <c r="F45" s="24">
        <f>E45/$E$66</f>
        <v>0</v>
      </c>
      <c r="G45" s="28">
        <f>_xlfn.IFNA(VLOOKUP(A45,[1]進同!$C$3:$F$30,4,0),-[2]整車!$B$22)</f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16782</v>
      </c>
      <c r="C47" s="33">
        <f>SUM(C48:C64)</f>
        <v>1718130</v>
      </c>
      <c r="D47" s="23">
        <f t="shared" si="0"/>
        <v>102.37933500178762</v>
      </c>
      <c r="E47" s="33">
        <f>SUM(E48:E64)</f>
        <v>201418</v>
      </c>
      <c r="F47" s="24">
        <f>E47/$E$66</f>
        <v>0.99219223361231113</v>
      </c>
      <c r="G47" s="33">
        <f>SUM(G48:G64)</f>
        <v>23745711</v>
      </c>
      <c r="H47" s="24">
        <f t="shared" ref="H47:H66" si="4">G47/$G$66</f>
        <v>0.88711133629337091</v>
      </c>
      <c r="I47" s="25">
        <f t="shared" si="1"/>
        <v>117.89269578687109</v>
      </c>
    </row>
    <row r="48" spans="1:9" ht="16.899999999999999" customHeight="1">
      <c r="A48" s="487" t="s">
        <v>163</v>
      </c>
      <c r="B48" s="27">
        <f>_xlfn.IFNA(VLOOKUP(A48,[1]進!$C$3:$F$112,4,0),-[2]整車!$B$22)</f>
        <v>73</v>
      </c>
      <c r="C48" s="27">
        <f>_xlfn.IFNA(VLOOKUP(A48,[1]進!$C$3:$F$150,3,0),-[2]整車!$B$22)</f>
        <v>111510</v>
      </c>
      <c r="D48" s="23">
        <f t="shared" si="0"/>
        <v>1527.5342465753424</v>
      </c>
      <c r="E48" s="28">
        <f>_xlfn.IFNA(VLOOKUP(A48,[1]進同!$C$3:$H$129,6,0),-[2]整車!$B$22)</f>
        <v>1100</v>
      </c>
      <c r="F48" s="24">
        <f>E48/$E$66</f>
        <v>5.4186391334118218E-3</v>
      </c>
      <c r="G48" s="28">
        <f>_xlfn.IFNA(VLOOKUP(A48,[1]進同!$C$3:$F$530,4,0),-[2]整車!$B$22)</f>
        <v>1360071</v>
      </c>
      <c r="H48" s="24">
        <f t="shared" si="4"/>
        <v>5.0810624380287508E-2</v>
      </c>
      <c r="I48" s="25">
        <f t="shared" si="1"/>
        <v>1236.4281818181819</v>
      </c>
    </row>
    <row r="49" spans="1:9">
      <c r="A49" s="26" t="s">
        <v>223</v>
      </c>
      <c r="B49" s="27">
        <f>_xlfn.IFNA(VLOOKUP(A49,[1]進!$C$3:$F$112,4,0),-[2]整車!$B$22)</f>
        <v>25</v>
      </c>
      <c r="C49" s="27">
        <f>_xlfn.IFNA(VLOOKUP(A49,[1]進!$C$3:$F$150,3,0),-[2]整車!$B$22)</f>
        <v>10762</v>
      </c>
      <c r="D49" s="23">
        <f t="shared" si="0"/>
        <v>430.48</v>
      </c>
      <c r="E49" s="28">
        <f>_xlfn.IFNA(VLOOKUP(A49,[1]進同!$C$3:$H$129,6,0),-[2]整車!$B$22)</f>
        <v>213</v>
      </c>
      <c r="F49" s="24">
        <f t="shared" ref="F49:F66" si="5">E49/$E$66</f>
        <v>1.0492455776515619E-3</v>
      </c>
      <c r="G49" s="28">
        <f>_xlfn.IFNA(VLOOKUP(A49,[1]進同!$C$3:$F$530,4,0),-[2]整車!$B$22)</f>
        <v>51520</v>
      </c>
      <c r="H49" s="24">
        <f t="shared" si="4"/>
        <v>1.9247255239413328E-3</v>
      </c>
      <c r="I49" s="25">
        <f t="shared" si="1"/>
        <v>241.87793427230048</v>
      </c>
    </row>
    <row r="50" spans="1:9">
      <c r="A50" s="467" t="s">
        <v>224</v>
      </c>
      <c r="B50" s="27">
        <f>_xlfn.IFNA(VLOOKUP(A50,[1]進!$C$3:$F$112,4,0),-[2]整車!$B$22)</f>
        <v>0</v>
      </c>
      <c r="C50" s="27">
        <f>_xlfn.IFNA(VLOOKUP(A50,[1]進!$C$3:$F$150,3,0),-[2]整車!$B$22)</f>
        <v>0</v>
      </c>
      <c r="D50" s="23">
        <f t="shared" si="0"/>
        <v>0</v>
      </c>
      <c r="E50" s="28">
        <f>_xlfn.IFNA(VLOOKUP(A50,[1]進同!$C$3:$H$129,6,0),-[2]整車!$B$22)</f>
        <v>0</v>
      </c>
      <c r="F50" s="24">
        <f t="shared" si="5"/>
        <v>0</v>
      </c>
      <c r="G50" s="28">
        <f>_xlfn.IFNA(VLOOKUP(A50,[1]進同!$C$3:$F$530,4,0),-[2]整車!$B$22)</f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f>_xlfn.IFNA(VLOOKUP(A51,[1]進!$C$3:$F$112,4,0),-[2]整車!$B$22)</f>
        <v>0</v>
      </c>
      <c r="C51" s="27">
        <f>_xlfn.IFNA(VLOOKUP(A51,[1]進!$C$3:$F$150,3,0),-[2]整車!$B$22)</f>
        <v>0</v>
      </c>
      <c r="D51" s="23">
        <f t="shared" si="0"/>
        <v>0</v>
      </c>
      <c r="E51" s="28">
        <f>_xlfn.IFNA(VLOOKUP(A51,[1]進同!$C$3:$H$129,6,0),-[2]整車!$B$22)</f>
        <v>0</v>
      </c>
      <c r="F51" s="24">
        <f t="shared" si="5"/>
        <v>0</v>
      </c>
      <c r="G51" s="28">
        <f>_xlfn.IFNA(VLOOKUP(A51,[1]進同!$C$3:$F$530,4,0),-[2]整車!$B$22)</f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f>_xlfn.IFNA(VLOOKUP(A52,[1]進!$C$3:$F$112,4,0),-[2]整車!$B$22)</f>
        <v>0</v>
      </c>
      <c r="C52" s="27">
        <f>_xlfn.IFNA(VLOOKUP(A52,[1]進!$C$3:$F$150,3,0),-[2]整車!$B$22)</f>
        <v>0</v>
      </c>
      <c r="D52" s="23">
        <f t="shared" si="0"/>
        <v>0</v>
      </c>
      <c r="E52" s="28">
        <f>_xlfn.IFNA(VLOOKUP(A52,[1]進同!$C$3:$H$129,6,0),-[2]整車!$B$22)</f>
        <v>0</v>
      </c>
      <c r="F52" s="24">
        <f t="shared" si="5"/>
        <v>0</v>
      </c>
      <c r="G52" s="28">
        <f>_xlfn.IFNA(VLOOKUP(A52,[1]進同!$C$3:$F$530,4,0),-[2]整車!$B$22)</f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f>_xlfn.IFNA(VLOOKUP(A53,[1]進!$C$3:$F$112,4,0),-[2]整車!$B$22)</f>
        <v>0</v>
      </c>
      <c r="C53" s="27">
        <f>_xlfn.IFNA(VLOOKUP(A53,[1]進!$C$3:$F$150,3,0),-[2]整車!$B$22)</f>
        <v>0</v>
      </c>
      <c r="D53" s="23">
        <f t="shared" si="0"/>
        <v>0</v>
      </c>
      <c r="E53" s="28">
        <f>_xlfn.IFNA(VLOOKUP(A53,[1]進同!$C$3:$H$129,6,0),-[2]整車!$B$22)</f>
        <v>0</v>
      </c>
      <c r="F53" s="24">
        <f t="shared" si="5"/>
        <v>0</v>
      </c>
      <c r="G53" s="28">
        <f>_xlfn.IFNA(VLOOKUP(A53,[1]進同!$C$3:$F$530,4,0),-[2]整車!$B$22)</f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112</v>
      </c>
      <c r="B54" s="27">
        <f>_xlfn.IFNA(VLOOKUP(A54,[1]進!$C$3:$F$112,4,0),-[2]整車!$B$22)</f>
        <v>0</v>
      </c>
      <c r="C54" s="27">
        <f>_xlfn.IFNA(VLOOKUP(A54,[1]進!$C$3:$F$150,3,0),-[2]整車!$B$22)</f>
        <v>0</v>
      </c>
      <c r="D54" s="23">
        <f t="shared" si="0"/>
        <v>0</v>
      </c>
      <c r="E54" s="28">
        <f>_xlfn.IFNA(VLOOKUP(A54,[1]進同!$C$3:$H$129,6,0),-[2]整車!$B$22)</f>
        <v>1</v>
      </c>
      <c r="F54" s="24">
        <f t="shared" si="5"/>
        <v>4.9260355758289284E-6</v>
      </c>
      <c r="G54" s="28">
        <f>_xlfn.IFNA(VLOOKUP(A54,[1]進同!$C$3:$F$530,4,0),-[2]整車!$B$22)</f>
        <v>3105</v>
      </c>
      <c r="H54" s="24">
        <f t="shared" si="4"/>
        <v>1.1599908291610711E-4</v>
      </c>
      <c r="I54" s="25">
        <f t="shared" si="1"/>
        <v>3105</v>
      </c>
    </row>
    <row r="55" spans="1:9">
      <c r="A55" s="30" t="s">
        <v>24</v>
      </c>
      <c r="B55" s="27">
        <f>_xlfn.IFNA(VLOOKUP(A55,[1]進!$C$3:$F$112,4,0),-[2]整車!$B$22)</f>
        <v>0</v>
      </c>
      <c r="C55" s="27">
        <f>_xlfn.IFNA(VLOOKUP(A55,[1]進!$C$3:$F$150,3,0),-[2]整車!$B$22)</f>
        <v>0</v>
      </c>
      <c r="D55" s="23">
        <f t="shared" si="0"/>
        <v>0</v>
      </c>
      <c r="E55" s="28">
        <f>_xlfn.IFNA(VLOOKUP(A55,[1]進同!$C$3:$H$129,6,0),-[2]整車!$B$22)</f>
        <v>0</v>
      </c>
      <c r="F55" s="24">
        <f t="shared" si="5"/>
        <v>0</v>
      </c>
      <c r="G55" s="28">
        <f>_xlfn.IFNA(VLOOKUP(A55,[1]進同!$C$3:$F$530,4,0),-[2]整車!$B$22)</f>
        <v>0</v>
      </c>
      <c r="H55" s="24">
        <f t="shared" si="4"/>
        <v>0</v>
      </c>
      <c r="I55" s="25">
        <f t="shared" si="1"/>
        <v>0</v>
      </c>
    </row>
    <row r="56" spans="1:9">
      <c r="A56" s="296" t="s">
        <v>231</v>
      </c>
      <c r="B56" s="27">
        <f>_xlfn.IFNA(VLOOKUP(A56,[1]進!$C$3:$F$112,4,0),-[2]整車!$B$22)</f>
        <v>0</v>
      </c>
      <c r="C56" s="27">
        <f>_xlfn.IFNA(VLOOKUP(A56,[1]進!$C$3:$F$150,3,0),-[2]整車!$B$22)</f>
        <v>0</v>
      </c>
      <c r="D56" s="23">
        <f t="shared" si="0"/>
        <v>0</v>
      </c>
      <c r="E56" s="28">
        <f>_xlfn.IFNA(VLOOKUP(A56,[1]進同!$C$3:$H$129,6,0),-[2]整車!$B$22)</f>
        <v>313</v>
      </c>
      <c r="F56" s="24">
        <f t="shared" si="5"/>
        <v>1.5418491352344546E-3</v>
      </c>
      <c r="G56" s="28">
        <f>_xlfn.IFNA(VLOOKUP(A56,[1]進同!$C$3:$F$530,4,0),-[2]整車!$B$22)</f>
        <v>86137</v>
      </c>
      <c r="H56" s="24">
        <f t="shared" si="4"/>
        <v>3.2179752029451586E-3</v>
      </c>
      <c r="I56" s="25">
        <f t="shared" si="1"/>
        <v>275.19808306709263</v>
      </c>
    </row>
    <row r="57" spans="1:9">
      <c r="A57" s="37" t="s">
        <v>229</v>
      </c>
      <c r="B57" s="27">
        <f>_xlfn.IFNA(VLOOKUP(A57,[1]進!$C$3:$F$112,4,0),-[2]整車!$B$22)</f>
        <v>0</v>
      </c>
      <c r="C57" s="27">
        <f>_xlfn.IFNA(VLOOKUP(A57,[1]進!$C$3:$F$150,3,0),-[2]整車!$B$22)</f>
        <v>0</v>
      </c>
      <c r="D57" s="23">
        <f t="shared" si="0"/>
        <v>0</v>
      </c>
      <c r="E57" s="28">
        <f>_xlfn.IFNA(VLOOKUP(A57,[1]進同!$C$3:$H$129,6,0),-[2]整車!$B$22)</f>
        <v>117</v>
      </c>
      <c r="F57" s="24">
        <f t="shared" si="5"/>
        <v>5.7634616237198461E-4</v>
      </c>
      <c r="G57" s="28">
        <f>_xlfn.IFNA(VLOOKUP(A57,[1]進同!$C$3:$F$530,4,0),-[2]整車!$B$22)</f>
        <v>54195</v>
      </c>
      <c r="H57" s="24">
        <f t="shared" si="4"/>
        <v>2.0246603216226809E-3</v>
      </c>
      <c r="I57" s="25">
        <f t="shared" si="1"/>
        <v>463.20512820512823</v>
      </c>
    </row>
    <row r="58" spans="1:9">
      <c r="A58" s="37" t="s">
        <v>391</v>
      </c>
      <c r="B58" s="27">
        <f>_xlfn.IFNA(VLOOKUP(A58,[1]進!$C$3:$F$112,4,0),-[2]整車!$B$22)</f>
        <v>250</v>
      </c>
      <c r="C58" s="27">
        <f>_xlfn.IFNA(VLOOKUP(A58,[1]進!$C$3:$F$150,3,0),-[2]整車!$B$22)</f>
        <v>22448</v>
      </c>
      <c r="D58" s="23">
        <f t="shared" si="0"/>
        <v>89.792000000000002</v>
      </c>
      <c r="E58" s="28">
        <f>_xlfn.IFNA(VLOOKUP(A58,[1]進同!$C$3:$H$129,6,0),-[2]整車!$B$22)</f>
        <v>3677</v>
      </c>
      <c r="F58" s="24">
        <f t="shared" si="5"/>
        <v>1.811303281232297E-2</v>
      </c>
      <c r="G58" s="28">
        <f>_xlfn.IFNA(VLOOKUP(A58,[1]進同!$C$3:$F$530,4,0),-[2]整車!$B$22)</f>
        <v>2800167</v>
      </c>
      <c r="H58" s="24">
        <f t="shared" si="4"/>
        <v>0.10461088696036937</v>
      </c>
      <c r="I58" s="25">
        <f t="shared" si="1"/>
        <v>761.53576285014958</v>
      </c>
    </row>
    <row r="59" spans="1:9">
      <c r="A59" s="37" t="s">
        <v>113</v>
      </c>
      <c r="B59" s="27">
        <f>_xlfn.IFNA(VLOOKUP(A59,[1]進!$C$3:$F$112,4,0),-[2]整車!$B$22)</f>
        <v>1</v>
      </c>
      <c r="C59" s="27">
        <f>_xlfn.IFNA(VLOOKUP(A59,[1]進!$C$3:$F$150,3,0),-[2]整車!$B$22)</f>
        <v>859</v>
      </c>
      <c r="D59" s="23">
        <f t="shared" si="0"/>
        <v>859</v>
      </c>
      <c r="E59" s="28">
        <f>_xlfn.IFNA(VLOOKUP(A59,[1]進同!$C$3:$H$129,6,0),-[2]整車!$B$22)</f>
        <v>2007</v>
      </c>
      <c r="F59" s="24">
        <f t="shared" si="5"/>
        <v>9.8865534006886604E-3</v>
      </c>
      <c r="G59" s="28">
        <f>_xlfn.IFNA(VLOOKUP(A59,[1]進同!$C$3:$F$530,4,0),-[2]整車!$B$22)</f>
        <v>1449322</v>
      </c>
      <c r="H59" s="24">
        <f t="shared" si="4"/>
        <v>5.414493489537462E-2</v>
      </c>
      <c r="I59" s="25">
        <f t="shared" si="1"/>
        <v>722.13353263577483</v>
      </c>
    </row>
    <row r="60" spans="1:9">
      <c r="A60" s="37" t="s">
        <v>114</v>
      </c>
      <c r="B60" s="27">
        <f>_xlfn.IFNA(VLOOKUP(A60,[1]進!$C$3:$F$112,4,0),-[2]整車!$B$22)</f>
        <v>0</v>
      </c>
      <c r="C60" s="27">
        <f>_xlfn.IFNA(VLOOKUP(A60,[1]進!$C$3:$F$150,3,0),-[2]整車!$B$22)</f>
        <v>0</v>
      </c>
      <c r="D60" s="23">
        <f t="shared" si="0"/>
        <v>0</v>
      </c>
      <c r="E60" s="28">
        <f>_xlfn.IFNA(VLOOKUP(A60,[1]進同!$C$3:$H$129,6,0),-[2]整車!$B$22)</f>
        <v>1</v>
      </c>
      <c r="F60" s="24">
        <f t="shared" si="5"/>
        <v>4.9260355758289284E-6</v>
      </c>
      <c r="G60" s="28">
        <f>_xlfn.IFNA(VLOOKUP(A60,[1]進同!$C$3:$F$530,4,0),-[2]整車!$B$22)</f>
        <v>188</v>
      </c>
      <c r="H60" s="24">
        <f t="shared" si="4"/>
        <v>7.0234549398480315E-6</v>
      </c>
      <c r="I60" s="25">
        <f t="shared" si="1"/>
        <v>188</v>
      </c>
    </row>
    <row r="61" spans="1:9">
      <c r="A61" s="37" t="s">
        <v>115</v>
      </c>
      <c r="B61" s="27">
        <f>_xlfn.IFNA(VLOOKUP(A61,[1]進!$C$3:$F$112,4,0),-[2]整車!$B$22)</f>
        <v>16433</v>
      </c>
      <c r="C61" s="27">
        <f>_xlfn.IFNA(VLOOKUP(A61,[1]進!$C$3:$F$150,3,0),-[2]整車!$B$22)</f>
        <v>1572551</v>
      </c>
      <c r="D61" s="23">
        <f t="shared" si="0"/>
        <v>95.694699689648871</v>
      </c>
      <c r="E61" s="28">
        <f>_xlfn.IFNA(VLOOKUP(A61,[1]進同!$C$3:$H$129,6,0),-[2]整車!$B$22)</f>
        <v>193989</v>
      </c>
      <c r="F61" s="24">
        <f t="shared" si="5"/>
        <v>0.95559671531947799</v>
      </c>
      <c r="G61" s="28">
        <f>_xlfn.IFNA(VLOOKUP(A61,[1]進同!$C$3:$F$530,4,0),-[2]整車!$B$22)</f>
        <v>17941006</v>
      </c>
      <c r="H61" s="24">
        <f t="shared" si="4"/>
        <v>0.67025450647097429</v>
      </c>
      <c r="I61" s="25">
        <f t="shared" si="1"/>
        <v>92.484656346493878</v>
      </c>
    </row>
    <row r="62" spans="1:9">
      <c r="A62" s="37" t="s">
        <v>392</v>
      </c>
      <c r="B62" s="27">
        <f>_xlfn.IFNA(VLOOKUP(A62,[1]進!$C$3:$F$112,4,0),-[2]整車!$B$22)</f>
        <v>0</v>
      </c>
      <c r="C62" s="27">
        <f>_xlfn.IFNA(VLOOKUP(A62,[1]進!$C$3:$F$150,3,0),-[2]整車!$B$22)</f>
        <v>0</v>
      </c>
      <c r="D62" s="23">
        <f t="shared" si="0"/>
        <v>0</v>
      </c>
      <c r="E62" s="28">
        <f>_xlfn.IFNA(VLOOKUP(A62,[1]進同!$C$3:$H$129,6,0),-[2]整車!$B$22)</f>
        <v>0</v>
      </c>
      <c r="F62" s="24">
        <f t="shared" si="5"/>
        <v>0</v>
      </c>
      <c r="G62" s="28">
        <f>_xlfn.IFNA(VLOOKUP(A62,[1]進同!$C$3:$F$530,4,0),-[2]整車!$B$22)</f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393</v>
      </c>
      <c r="B63" s="27">
        <f>_xlfn.IFNA(VLOOKUP(A63,[1]進!$C$3:$F$112,4,0),-[2]整車!$B$22)</f>
        <v>0</v>
      </c>
      <c r="C63" s="27">
        <f>_xlfn.IFNA(VLOOKUP(A63,[1]進!$C$3:$F$150,3,0),-[2]整車!$B$22)</f>
        <v>0</v>
      </c>
      <c r="D63" s="23">
        <f t="shared" si="0"/>
        <v>0</v>
      </c>
      <c r="E63" s="28">
        <f>_xlfn.IFNA(VLOOKUP(A63,[1]進同!$C$3:$H$129,6,0),-[2]整車!$B$22)</f>
        <v>0</v>
      </c>
      <c r="F63" s="24">
        <f t="shared" si="5"/>
        <v>0</v>
      </c>
      <c r="G63" s="28">
        <f>_xlfn.IFNA(VLOOKUP(A63,[1]進同!$C$3:$F$530,4,0),-[2]整車!$B$22)</f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394</v>
      </c>
      <c r="B64" s="27">
        <f>_xlfn.IFNA(VLOOKUP(A64,[1]進!$C$3:$F$112,4,0),-[2]整車!$B$22)</f>
        <v>0</v>
      </c>
      <c r="C64" s="27">
        <f>_xlfn.IFNA(VLOOKUP(A64,[1]進!$C$3:$F$150,3,0),-[2]整車!$B$22)</f>
        <v>0</v>
      </c>
      <c r="D64" s="23">
        <f t="shared" si="0"/>
        <v>0</v>
      </c>
      <c r="E64" s="28">
        <f>_xlfn.IFNA(VLOOKUP(A64,[1]進同!$C$3:$H$129,6,0),-[2]整車!$B$22)</f>
        <v>0</v>
      </c>
      <c r="F64" s="24">
        <f t="shared" si="5"/>
        <v>0</v>
      </c>
      <c r="G64" s="28">
        <f>_xlfn.IFNA(VLOOKUP(A64,[1]進同!$C$3:$F$530,4,0),-[2]整車!$B$22)</f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30</v>
      </c>
      <c r="B65" s="27">
        <f>B66-B47-B41-B12-B7</f>
        <v>214</v>
      </c>
      <c r="C65" s="27">
        <f>C66-C47-C41-C12-C7</f>
        <v>39333</v>
      </c>
      <c r="D65" s="23">
        <f t="shared" si="0"/>
        <v>183.79906542056074</v>
      </c>
      <c r="E65" s="27">
        <f>E66-E47-E41-E12-E7</f>
        <v>1091</v>
      </c>
      <c r="F65" s="24">
        <f t="shared" si="5"/>
        <v>5.3743048132293613E-3</v>
      </c>
      <c r="G65" s="27">
        <f>G66-G47-G41-G12-G7</f>
        <v>1534144</v>
      </c>
      <c r="H65" s="24">
        <f t="shared" si="4"/>
        <v>5.731378327254371E-2</v>
      </c>
      <c r="I65" s="25">
        <f t="shared" si="1"/>
        <v>1406.1814848762604</v>
      </c>
    </row>
    <row r="66" spans="1:9" ht="17.25" thickBot="1">
      <c r="A66" s="171" t="s">
        <v>403</v>
      </c>
      <c r="B66" s="172">
        <f>VLOOKUP(A66,[1]進!$B$2:$F$2,5,0)</f>
        <v>17038</v>
      </c>
      <c r="C66" s="172">
        <f>VLOOKUP(A66,[1]進!$B$2:$F$2,4,0)</f>
        <v>1882391</v>
      </c>
      <c r="D66" s="175">
        <f t="shared" ref="D66" si="6">C66/B66</f>
        <v>110.48192276088743</v>
      </c>
      <c r="E66" s="173">
        <f>VLOOKUP(A66,[1]進同!$B$2:$H$2,7,0)</f>
        <v>203003</v>
      </c>
      <c r="F66" s="174">
        <f t="shared" si="5"/>
        <v>1</v>
      </c>
      <c r="G66" s="173">
        <f>VLOOKUP(A66,[1]進同!$B$2:$H$2,5,0)</f>
        <v>26767453</v>
      </c>
      <c r="H66" s="174">
        <f t="shared" si="4"/>
        <v>1</v>
      </c>
      <c r="I66" s="175">
        <f>G66/E66</f>
        <v>131.85742575232879</v>
      </c>
    </row>
    <row r="67" spans="1:9" ht="17.25" thickTop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153</v>
      </c>
      <c r="B68" s="101"/>
      <c r="C68" s="101"/>
      <c r="D68" s="176"/>
      <c r="E68" s="101"/>
      <c r="F68" s="177"/>
      <c r="G68" s="101"/>
      <c r="H68" s="178"/>
      <c r="I68" s="179"/>
    </row>
    <row r="69" spans="1:9">
      <c r="A69" s="563" t="s">
        <v>464</v>
      </c>
      <c r="B69" s="563" t="s">
        <v>465</v>
      </c>
      <c r="C69" s="563" t="s">
        <v>466</v>
      </c>
      <c r="D69" s="564" t="s">
        <v>1</v>
      </c>
      <c r="E69" s="10" t="s">
        <v>467</v>
      </c>
      <c r="F69" s="11" t="s">
        <v>2</v>
      </c>
      <c r="G69" s="8" t="s">
        <v>468</v>
      </c>
      <c r="H69" s="11" t="s">
        <v>2</v>
      </c>
      <c r="I69" s="12" t="s">
        <v>1</v>
      </c>
    </row>
    <row r="70" spans="1:9">
      <c r="A70" s="565"/>
      <c r="B70" s="566" t="s">
        <v>3</v>
      </c>
      <c r="C70" s="567" t="s">
        <v>4</v>
      </c>
      <c r="D70" s="568" t="s">
        <v>4</v>
      </c>
      <c r="E70" s="46" t="s">
        <v>3</v>
      </c>
      <c r="F70" s="44"/>
      <c r="G70" s="49" t="s">
        <v>4</v>
      </c>
      <c r="H70" s="50"/>
      <c r="I70" s="43" t="s">
        <v>4</v>
      </c>
    </row>
    <row r="71" spans="1:9">
      <c r="A71" s="569" t="s">
        <v>31</v>
      </c>
      <c r="B71" s="570">
        <v>13</v>
      </c>
      <c r="C71" s="570">
        <v>49030</v>
      </c>
      <c r="D71" s="571">
        <f>C71/B71</f>
        <v>3771.5384615384614</v>
      </c>
      <c r="E71" s="28">
        <v>2911</v>
      </c>
      <c r="F71" s="520">
        <v>1</v>
      </c>
      <c r="G71" s="27">
        <v>511491</v>
      </c>
      <c r="H71" s="52">
        <v>1</v>
      </c>
      <c r="I71" s="51">
        <f>G71/E71</f>
        <v>175.70972174510479</v>
      </c>
    </row>
    <row r="72" spans="1:9" ht="16.149999999999999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56</v>
      </c>
      <c r="B73" s="13"/>
      <c r="C73" s="167"/>
      <c r="D73" s="180"/>
      <c r="E73" s="13"/>
      <c r="F73" s="167"/>
      <c r="G73" s="168"/>
      <c r="H73" s="13"/>
      <c r="I73" s="18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workbookViewId="0">
      <selection activeCell="A2" sqref="A2"/>
    </sheetView>
  </sheetViews>
  <sheetFormatPr defaultRowHeight="16.5"/>
  <cols>
    <col min="1" max="1" width="16.875" style="5" customWidth="1"/>
    <col min="2" max="2" width="14" style="5" bestFit="1" customWidth="1"/>
    <col min="3" max="3" width="12.125" style="58" customWidth="1"/>
    <col min="4" max="4" width="13.75" style="59" customWidth="1"/>
    <col min="5" max="5" width="15" style="5" customWidth="1"/>
    <col min="6" max="6" width="15.125" style="58" customWidth="1"/>
    <col min="7" max="7" width="12.25" style="59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470</v>
      </c>
      <c r="B1" s="1"/>
      <c r="C1" s="56"/>
      <c r="D1" s="57"/>
      <c r="E1" s="1"/>
      <c r="F1" s="56"/>
      <c r="G1" s="57"/>
    </row>
    <row r="2" spans="1:10">
      <c r="G2" s="60"/>
    </row>
    <row r="3" spans="1:10">
      <c r="A3" s="61" t="s">
        <v>108</v>
      </c>
      <c r="B3" s="62"/>
      <c r="C3" s="63"/>
      <c r="D3" s="64"/>
      <c r="E3" s="62"/>
      <c r="F3" s="65"/>
      <c r="G3" s="66"/>
      <c r="H3" s="67"/>
      <c r="I3" s="67"/>
      <c r="J3" s="68"/>
    </row>
    <row r="4" spans="1:10">
      <c r="A4" s="69" t="s">
        <v>471</v>
      </c>
      <c r="B4" s="8" t="s">
        <v>424</v>
      </c>
      <c r="C4" s="70" t="s">
        <v>425</v>
      </c>
      <c r="D4" s="71" t="s">
        <v>159</v>
      </c>
      <c r="E4" s="8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74" t="s">
        <v>160</v>
      </c>
    </row>
    <row r="5" spans="1:10">
      <c r="A5" s="14"/>
      <c r="B5" s="8" t="s">
        <v>33</v>
      </c>
      <c r="C5" s="75" t="s">
        <v>33</v>
      </c>
      <c r="D5" s="450" t="s">
        <v>2</v>
      </c>
      <c r="E5" s="76" t="s">
        <v>34</v>
      </c>
      <c r="F5" s="75" t="s">
        <v>34</v>
      </c>
      <c r="G5" s="450" t="s">
        <v>2</v>
      </c>
      <c r="H5" s="77" t="s">
        <v>109</v>
      </c>
      <c r="I5" s="78" t="s">
        <v>110</v>
      </c>
      <c r="J5" s="450" t="s">
        <v>2</v>
      </c>
    </row>
    <row r="6" spans="1:10">
      <c r="A6" s="79" t="s">
        <v>5</v>
      </c>
      <c r="B6" s="17"/>
      <c r="C6" s="80"/>
      <c r="D6" s="81"/>
      <c r="E6" s="17"/>
      <c r="F6" s="80"/>
      <c r="G6" s="81"/>
      <c r="H6" s="82"/>
      <c r="I6" s="83"/>
      <c r="J6" s="81"/>
    </row>
    <row r="7" spans="1:10">
      <c r="A7" s="79" t="s">
        <v>6</v>
      </c>
      <c r="B7" s="22">
        <f>SUM(B8:B10)</f>
        <v>487703</v>
      </c>
      <c r="C7" s="84">
        <f>SUM(C8:C10)</f>
        <v>879192</v>
      </c>
      <c r="D7" s="512">
        <f>IF(C7,(B7-C7)/C7,0)</f>
        <v>-0.44528271412842702</v>
      </c>
      <c r="E7" s="22">
        <f>SUM(E8:E10)</f>
        <v>518848027</v>
      </c>
      <c r="F7" s="84">
        <f>SUM(F8:F10)</f>
        <v>751057190</v>
      </c>
      <c r="G7" s="512">
        <f>IF(F7,(E7-F7)/F7,0)</f>
        <v>-0.30917640639323352</v>
      </c>
      <c r="H7" s="86">
        <f>IF(B7,E7/B7,0)</f>
        <v>1063.8606426452166</v>
      </c>
      <c r="I7" s="87">
        <f>IF(C7,F7/C7,0)</f>
        <v>854.25844411687092</v>
      </c>
      <c r="J7" s="512">
        <f>IF(I7,(H7-I7)/I7,0)</f>
        <v>0.24536157643139433</v>
      </c>
    </row>
    <row r="8" spans="1:10">
      <c r="A8" s="454" t="s">
        <v>201</v>
      </c>
      <c r="B8" s="28">
        <f>整車!E8</f>
        <v>440058</v>
      </c>
      <c r="C8" s="88">
        <f>_xlfn.IFNA(VLOOKUP(A8,[1]出同!$C$3:$H$107,5,0),-[2]整車!$B$22)</f>
        <v>806551</v>
      </c>
      <c r="D8" s="512">
        <f t="shared" ref="D8:D67" si="0">IF(C8,(B8-C8)/C8,0)</f>
        <v>-0.45439532032072366</v>
      </c>
      <c r="E8" s="27">
        <f>整車!G8</f>
        <v>455285868</v>
      </c>
      <c r="F8" s="88">
        <f>_xlfn.IFNA(VLOOKUP(A8,[1]出同!$C$3:$H$107,3,0),-[2]整車!$B$22)</f>
        <v>675317309</v>
      </c>
      <c r="G8" s="512">
        <f t="shared" ref="G8:G67" si="1">IF(F8,(E8-F8)/F8,0)</f>
        <v>-0.32581934161560194</v>
      </c>
      <c r="H8" s="86">
        <f t="shared" ref="H8:H10" si="2">IF(B8,E8/B8,0)</f>
        <v>1034.6042294424826</v>
      </c>
      <c r="I8" s="87">
        <f t="shared" ref="I8:I10" si="3">IF(C8,F8/C8,0)</f>
        <v>837.29027550644662</v>
      </c>
      <c r="J8" s="512">
        <f t="shared" ref="J8:J67" si="4">IF(I8,(H8-I8)/I8,0)</f>
        <v>0.23565776375067526</v>
      </c>
    </row>
    <row r="9" spans="1:10">
      <c r="A9" s="455" t="s">
        <v>7</v>
      </c>
      <c r="B9" s="28">
        <f>整車!E9</f>
        <v>38569</v>
      </c>
      <c r="C9" s="88">
        <f>_xlfn.IFNA(VLOOKUP(A9,[1]出同!$C$3:$H$107,5,0),-[2]整車!$B$22)</f>
        <v>51203</v>
      </c>
      <c r="D9" s="512">
        <f t="shared" si="0"/>
        <v>-0.24674335488154991</v>
      </c>
      <c r="E9" s="27">
        <f>整車!G9</f>
        <v>51109110</v>
      </c>
      <c r="F9" s="88">
        <f>_xlfn.IFNA(VLOOKUP(A9,[1]出同!$C$3:$H$107,3,0),-[2]整車!$B$22)</f>
        <v>58882892</v>
      </c>
      <c r="G9" s="512">
        <f t="shared" si="1"/>
        <v>-0.13202106309588191</v>
      </c>
      <c r="H9" s="86">
        <f t="shared" si="2"/>
        <v>1325.1344343903136</v>
      </c>
      <c r="I9" s="87">
        <f t="shared" si="3"/>
        <v>1149.9891022010429</v>
      </c>
      <c r="J9" s="512">
        <f t="shared" si="4"/>
        <v>0.15230173212428538</v>
      </c>
    </row>
    <row r="10" spans="1:10">
      <c r="A10" s="455" t="s">
        <v>8</v>
      </c>
      <c r="B10" s="28">
        <f>整車!E10</f>
        <v>9076</v>
      </c>
      <c r="C10" s="88">
        <f>_xlfn.IFNA(VLOOKUP(A10,[1]出同!$C$3:$H$107,5,0),-[2]整車!$B$22)</f>
        <v>21438</v>
      </c>
      <c r="D10" s="512">
        <f t="shared" si="0"/>
        <v>-0.57663961190409552</v>
      </c>
      <c r="E10" s="27">
        <f>整車!G10</f>
        <v>12453049</v>
      </c>
      <c r="F10" s="88">
        <f>_xlfn.IFNA(VLOOKUP(A10,[1]出同!$C$3:$H$107,3,0),-[2]整車!$B$22)</f>
        <v>16856989</v>
      </c>
      <c r="G10" s="512">
        <f t="shared" si="1"/>
        <v>-0.26125306245379881</v>
      </c>
      <c r="H10" s="86">
        <f t="shared" si="2"/>
        <v>1372.0856104010577</v>
      </c>
      <c r="I10" s="87">
        <f t="shared" si="3"/>
        <v>786.3135087228286</v>
      </c>
      <c r="J10" s="512">
        <f t="shared" si="4"/>
        <v>0.74495998756230286</v>
      </c>
    </row>
    <row r="11" spans="1:10">
      <c r="A11" s="30"/>
      <c r="B11" s="28"/>
      <c r="C11" s="89"/>
      <c r="D11" s="512"/>
      <c r="E11" s="27"/>
      <c r="F11" s="89"/>
      <c r="G11" s="512"/>
      <c r="H11" s="86"/>
      <c r="I11" s="87"/>
      <c r="J11" s="512"/>
    </row>
    <row r="12" spans="1:10">
      <c r="A12" s="32" t="s">
        <v>9</v>
      </c>
      <c r="B12" s="33">
        <f>SUM(B13:B39)</f>
        <v>384611</v>
      </c>
      <c r="C12" s="90">
        <f>SUM(C13:C39)</f>
        <v>525852</v>
      </c>
      <c r="D12" s="512">
        <f t="shared" si="0"/>
        <v>-0.26859458554878557</v>
      </c>
      <c r="E12" s="33">
        <f>SUM(E13:E39)</f>
        <v>373452369</v>
      </c>
      <c r="F12" s="90">
        <f>SUM(F13:F39)</f>
        <v>349769332</v>
      </c>
      <c r="G12" s="512">
        <f t="shared" si="1"/>
        <v>6.7710444665285863E-2</v>
      </c>
      <c r="H12" s="86">
        <f t="shared" ref="H12:H66" si="5">IF(B12,E12/B12,0)</f>
        <v>970.98722865440664</v>
      </c>
      <c r="I12" s="87">
        <f t="shared" ref="I12:I66" si="6">IF(C12,F12/C12,0)</f>
        <v>665.14785909343311</v>
      </c>
      <c r="J12" s="512">
        <f t="shared" si="4"/>
        <v>0.45980659094027448</v>
      </c>
    </row>
    <row r="13" spans="1:10">
      <c r="A13" s="454" t="s">
        <v>202</v>
      </c>
      <c r="B13" s="27">
        <f>整車!E13</f>
        <v>124269</v>
      </c>
      <c r="C13" s="88">
        <f>_xlfn.IFNA(VLOOKUP(A13,[1]出同!$C$3:$H$107,5,0),-[2]整車!$B$22)</f>
        <v>152387</v>
      </c>
      <c r="D13" s="512">
        <f t="shared" si="0"/>
        <v>-0.18451705197949955</v>
      </c>
      <c r="E13" s="27">
        <f>整車!G13</f>
        <v>173586595</v>
      </c>
      <c r="F13" s="88">
        <f>_xlfn.IFNA(VLOOKUP(A13,[1]出同!$C$3:$H$107,3,0),-[2]整車!$B$22)</f>
        <v>159352924</v>
      </c>
      <c r="G13" s="512">
        <f t="shared" si="1"/>
        <v>8.9321680724226943E-2</v>
      </c>
      <c r="H13" s="86">
        <f t="shared" si="5"/>
        <v>1396.8616066758402</v>
      </c>
      <c r="I13" s="87">
        <f t="shared" si="6"/>
        <v>1045.7120620525372</v>
      </c>
      <c r="J13" s="512">
        <f t="shared" si="4"/>
        <v>0.33579945891994595</v>
      </c>
    </row>
    <row r="14" spans="1:10">
      <c r="A14" s="454" t="s">
        <v>203</v>
      </c>
      <c r="B14" s="27">
        <f>整車!E14</f>
        <v>87122</v>
      </c>
      <c r="C14" s="88">
        <f>_xlfn.IFNA(VLOOKUP(A14,[1]出同!$C$3:$H$107,5,0),-[2]整車!$B$22)</f>
        <v>91079</v>
      </c>
      <c r="D14" s="512">
        <f t="shared" si="0"/>
        <v>-4.3445799800173476E-2</v>
      </c>
      <c r="E14" s="27">
        <f>整車!G14</f>
        <v>54841286</v>
      </c>
      <c r="F14" s="88">
        <f>_xlfn.IFNA(VLOOKUP(A14,[1]出同!$C$3:$H$107,3,0),-[2]整車!$B$22)</f>
        <v>36223487</v>
      </c>
      <c r="G14" s="512">
        <f t="shared" si="1"/>
        <v>0.51397036955608388</v>
      </c>
      <c r="H14" s="86">
        <f t="shared" si="5"/>
        <v>629.47689446982395</v>
      </c>
      <c r="I14" s="87">
        <f t="shared" si="6"/>
        <v>397.71502761339059</v>
      </c>
      <c r="J14" s="512">
        <f t="shared" si="4"/>
        <v>0.58273349198593427</v>
      </c>
    </row>
    <row r="15" spans="1:10">
      <c r="A15" s="455" t="s">
        <v>10</v>
      </c>
      <c r="B15" s="27">
        <f>整車!E15</f>
        <v>12436</v>
      </c>
      <c r="C15" s="88">
        <f>_xlfn.IFNA(VLOOKUP(A15,[1]出同!$C$3:$H$107,5,0),-[2]整車!$B$22)</f>
        <v>13917</v>
      </c>
      <c r="D15" s="512">
        <f t="shared" si="0"/>
        <v>-0.1064166127757419</v>
      </c>
      <c r="E15" s="27">
        <f>整車!G15</f>
        <v>15120815</v>
      </c>
      <c r="F15" s="88">
        <f>_xlfn.IFNA(VLOOKUP(A15,[1]出同!$C$3:$H$107,3,0),-[2]整車!$B$22)</f>
        <v>7137141</v>
      </c>
      <c r="G15" s="512">
        <f t="shared" si="1"/>
        <v>1.1186095384692554</v>
      </c>
      <c r="H15" s="86">
        <f t="shared" si="5"/>
        <v>1215.8905596654872</v>
      </c>
      <c r="I15" s="87">
        <f t="shared" si="6"/>
        <v>512.83617158870447</v>
      </c>
      <c r="J15" s="512">
        <f t="shared" si="4"/>
        <v>1.3709141964358817</v>
      </c>
    </row>
    <row r="16" spans="1:10">
      <c r="A16" s="454" t="s">
        <v>204</v>
      </c>
      <c r="B16" s="27">
        <f>整車!E16</f>
        <v>38090</v>
      </c>
      <c r="C16" s="88">
        <f>_xlfn.IFNA(VLOOKUP(A16,[1]出同!$C$3:$H$107,5,0),-[2]整車!$B$22)</f>
        <v>39053</v>
      </c>
      <c r="D16" s="512">
        <f t="shared" si="0"/>
        <v>-2.4658797019435127E-2</v>
      </c>
      <c r="E16" s="27">
        <f>整車!G16</f>
        <v>34481079</v>
      </c>
      <c r="F16" s="88">
        <f>_xlfn.IFNA(VLOOKUP(A16,[1]出同!$C$3:$H$107,3,0),-[2]整車!$B$22)</f>
        <v>33326048</v>
      </c>
      <c r="G16" s="512">
        <f t="shared" si="1"/>
        <v>3.4658504962844679E-2</v>
      </c>
      <c r="H16" s="86">
        <f t="shared" si="5"/>
        <v>905.25279600945134</v>
      </c>
      <c r="I16" s="87">
        <f t="shared" si="6"/>
        <v>853.35436458146626</v>
      </c>
      <c r="J16" s="512">
        <f t="shared" si="4"/>
        <v>6.0816975434864091E-2</v>
      </c>
    </row>
    <row r="17" spans="1:10">
      <c r="A17" s="455" t="s">
        <v>11</v>
      </c>
      <c r="B17" s="27">
        <f>整車!E17</f>
        <v>13559</v>
      </c>
      <c r="C17" s="88">
        <f>_xlfn.IFNA(VLOOKUP(A17,[1]出同!$C$3:$H$107,5,0),-[2]整車!$B$22)</f>
        <v>22054</v>
      </c>
      <c r="D17" s="512">
        <f t="shared" si="0"/>
        <v>-0.38519089507572324</v>
      </c>
      <c r="E17" s="27">
        <f>整車!G17</f>
        <v>19759127</v>
      </c>
      <c r="F17" s="88">
        <f>_xlfn.IFNA(VLOOKUP(A17,[1]出同!$C$3:$H$107,3,0),-[2]整車!$B$22)</f>
        <v>25039867</v>
      </c>
      <c r="G17" s="512">
        <f t="shared" si="1"/>
        <v>-0.21089329268402265</v>
      </c>
      <c r="H17" s="86">
        <f t="shared" si="5"/>
        <v>1457.2702264178774</v>
      </c>
      <c r="I17" s="87">
        <f t="shared" si="6"/>
        <v>1135.3889090414436</v>
      </c>
      <c r="J17" s="512">
        <f t="shared" si="4"/>
        <v>0.28349873317697222</v>
      </c>
    </row>
    <row r="18" spans="1:10">
      <c r="A18" s="455" t="s">
        <v>12</v>
      </c>
      <c r="B18" s="27">
        <f>整車!E18</f>
        <v>33729</v>
      </c>
      <c r="C18" s="88">
        <f>_xlfn.IFNA(VLOOKUP(A18,[1]出同!$C$3:$H$107,5,0),-[2]整車!$B$22)</f>
        <v>61038</v>
      </c>
      <c r="D18" s="512">
        <f t="shared" si="0"/>
        <v>-0.44740981028211935</v>
      </c>
      <c r="E18" s="27">
        <f>整車!G18</f>
        <v>45610147</v>
      </c>
      <c r="F18" s="88">
        <f>_xlfn.IFNA(VLOOKUP(A18,[1]出同!$C$3:$H$107,3,0),-[2]整車!$B$22)</f>
        <v>46960849</v>
      </c>
      <c r="G18" s="512">
        <f t="shared" si="1"/>
        <v>-2.8762299420949565E-2</v>
      </c>
      <c r="H18" s="86">
        <f t="shared" si="5"/>
        <v>1352.2531649322541</v>
      </c>
      <c r="I18" s="87">
        <f t="shared" si="6"/>
        <v>769.37070349618273</v>
      </c>
      <c r="J18" s="512">
        <f t="shared" si="4"/>
        <v>0.75760937970126829</v>
      </c>
    </row>
    <row r="19" spans="1:10">
      <c r="A19" s="454" t="s">
        <v>205</v>
      </c>
      <c r="B19" s="27">
        <f>整車!E19</f>
        <v>17981</v>
      </c>
      <c r="C19" s="88">
        <f>_xlfn.IFNA(VLOOKUP(A19,[1]出同!$C$3:$H$107,5,0),-[2]整車!$B$22)</f>
        <v>28650</v>
      </c>
      <c r="D19" s="512">
        <f t="shared" si="0"/>
        <v>-0.37239092495637</v>
      </c>
      <c r="E19" s="27">
        <f>整車!G19</f>
        <v>5504533</v>
      </c>
      <c r="F19" s="88">
        <f>_xlfn.IFNA(VLOOKUP(A19,[1]出同!$C$3:$H$107,3,0),-[2]整車!$B$22)</f>
        <v>8474042</v>
      </c>
      <c r="G19" s="512">
        <f t="shared" si="1"/>
        <v>-0.35042415414037364</v>
      </c>
      <c r="H19" s="86">
        <f t="shared" si="5"/>
        <v>306.13052666703743</v>
      </c>
      <c r="I19" s="87">
        <f t="shared" si="6"/>
        <v>295.77808027923209</v>
      </c>
      <c r="J19" s="512">
        <f t="shared" si="4"/>
        <v>3.5000722088776894E-2</v>
      </c>
    </row>
    <row r="20" spans="1:10">
      <c r="A20" s="455" t="s">
        <v>206</v>
      </c>
      <c r="B20" s="27">
        <f>整車!E20</f>
        <v>85</v>
      </c>
      <c r="C20" s="88">
        <f>_xlfn.IFNA(VLOOKUP(A20,[1]出同!$C$3:$H$107,5,0),-[2]整車!$B$22)</f>
        <v>24</v>
      </c>
      <c r="D20" s="512">
        <f t="shared" si="0"/>
        <v>2.5416666666666665</v>
      </c>
      <c r="E20" s="27">
        <f>整車!G20</f>
        <v>175126</v>
      </c>
      <c r="F20" s="88">
        <f>_xlfn.IFNA(VLOOKUP(A20,[1]出同!$C$3:$H$107,3,0),-[2]整車!$B$22)</f>
        <v>54691</v>
      </c>
      <c r="G20" s="512">
        <f t="shared" si="1"/>
        <v>2.2020990656597976</v>
      </c>
      <c r="H20" s="86">
        <f t="shared" si="5"/>
        <v>2060.3058823529414</v>
      </c>
      <c r="I20" s="87">
        <f t="shared" si="6"/>
        <v>2278.7916666666665</v>
      </c>
      <c r="J20" s="512">
        <f t="shared" si="4"/>
        <v>-9.5877910872527547E-2</v>
      </c>
    </row>
    <row r="21" spans="1:10">
      <c r="A21" s="454" t="s">
        <v>207</v>
      </c>
      <c r="B21" s="27">
        <f>整車!E21</f>
        <v>1895</v>
      </c>
      <c r="C21" s="88">
        <f>_xlfn.IFNA(VLOOKUP(A21,[1]出同!$C$3:$H$107,5,0),-[2]整車!$B$22)</f>
        <v>3696</v>
      </c>
      <c r="D21" s="512">
        <f t="shared" si="0"/>
        <v>-0.48728354978354976</v>
      </c>
      <c r="E21" s="27">
        <f>整車!G21</f>
        <v>445459</v>
      </c>
      <c r="F21" s="88">
        <f>_xlfn.IFNA(VLOOKUP(A21,[1]出同!$C$3:$H$107,3,0),-[2]整車!$B$22)</f>
        <v>556897</v>
      </c>
      <c r="G21" s="512">
        <f t="shared" si="1"/>
        <v>-0.20010522592148997</v>
      </c>
      <c r="H21" s="86">
        <f t="shared" si="5"/>
        <v>235.0707124010554</v>
      </c>
      <c r="I21" s="87">
        <f t="shared" si="6"/>
        <v>150.67559523809524</v>
      </c>
      <c r="J21" s="512">
        <f t="shared" si="4"/>
        <v>0.56011139049824432</v>
      </c>
    </row>
    <row r="22" spans="1:10">
      <c r="A22" s="455" t="s">
        <v>14</v>
      </c>
      <c r="B22" s="27">
        <f>整車!E22</f>
        <v>0</v>
      </c>
      <c r="C22" s="88">
        <f>_xlfn.IFNA(VLOOKUP(A22,[1]出同!$C$3:$H$107,5,0),-[2]整車!$B$22)</f>
        <v>0</v>
      </c>
      <c r="D22" s="512">
        <f t="shared" si="0"/>
        <v>0</v>
      </c>
      <c r="E22" s="27">
        <f>整車!G22</f>
        <v>0</v>
      </c>
      <c r="F22" s="88">
        <f>_xlfn.IFNA(VLOOKUP(A22,[1]出同!$C$3:$H$107,3,0),-[2]整車!$B$22)</f>
        <v>0</v>
      </c>
      <c r="G22" s="512">
        <f t="shared" si="1"/>
        <v>0</v>
      </c>
      <c r="H22" s="86">
        <f t="shared" si="5"/>
        <v>0</v>
      </c>
      <c r="I22" s="87">
        <f t="shared" si="6"/>
        <v>0</v>
      </c>
      <c r="J22" s="512">
        <f t="shared" si="4"/>
        <v>0</v>
      </c>
    </row>
    <row r="23" spans="1:10">
      <c r="A23" s="455" t="s">
        <v>15</v>
      </c>
      <c r="B23" s="27">
        <f>整車!E23</f>
        <v>161</v>
      </c>
      <c r="C23" s="88">
        <f>_xlfn.IFNA(VLOOKUP(A23,[1]出同!$C$3:$H$107,5,0),-[2]整車!$B$22)</f>
        <v>179</v>
      </c>
      <c r="D23" s="512">
        <f t="shared" si="0"/>
        <v>-0.1005586592178771</v>
      </c>
      <c r="E23" s="27">
        <f>整車!G23</f>
        <v>414738</v>
      </c>
      <c r="F23" s="88">
        <f>_xlfn.IFNA(VLOOKUP(A23,[1]出同!$C$3:$H$107,3,0),-[2]整車!$B$22)</f>
        <v>441570</v>
      </c>
      <c r="G23" s="512">
        <f t="shared" si="1"/>
        <v>-6.0764997622121071E-2</v>
      </c>
      <c r="H23" s="86">
        <f t="shared" si="5"/>
        <v>2576.0124223602484</v>
      </c>
      <c r="I23" s="87">
        <f t="shared" si="6"/>
        <v>2466.8715083798884</v>
      </c>
      <c r="J23" s="512">
        <f t="shared" si="4"/>
        <v>4.4242642395281466E-2</v>
      </c>
    </row>
    <row r="24" spans="1:10">
      <c r="A24" s="455" t="s">
        <v>16</v>
      </c>
      <c r="B24" s="27">
        <f>整車!E24</f>
        <v>1650</v>
      </c>
      <c r="C24" s="88">
        <f>_xlfn.IFNA(VLOOKUP(A24,[1]出同!$C$3:$H$107,5,0),-[2]整車!$B$22)</f>
        <v>4270</v>
      </c>
      <c r="D24" s="512">
        <f t="shared" si="0"/>
        <v>-0.61358313817330212</v>
      </c>
      <c r="E24" s="27">
        <f>整車!G24</f>
        <v>1159739</v>
      </c>
      <c r="F24" s="88">
        <f>_xlfn.IFNA(VLOOKUP(A24,[1]出同!$C$3:$H$107,3,0),-[2]整車!$B$22)</f>
        <v>1742810</v>
      </c>
      <c r="G24" s="512">
        <f t="shared" si="1"/>
        <v>-0.33455798394546737</v>
      </c>
      <c r="H24" s="86">
        <f t="shared" si="5"/>
        <v>702.87212121212121</v>
      </c>
      <c r="I24" s="87">
        <f t="shared" si="6"/>
        <v>408.15222482435598</v>
      </c>
      <c r="J24" s="512">
        <f t="shared" si="4"/>
        <v>0.72208327791082072</v>
      </c>
    </row>
    <row r="25" spans="1:10">
      <c r="A25" s="454" t="s">
        <v>208</v>
      </c>
      <c r="B25" s="27">
        <f>整車!E25</f>
        <v>22195</v>
      </c>
      <c r="C25" s="88">
        <f>_xlfn.IFNA(VLOOKUP(A25,[1]出同!$C$3:$H$107,5,0),-[2]整車!$B$22)</f>
        <v>36771</v>
      </c>
      <c r="D25" s="512">
        <f t="shared" si="0"/>
        <v>-0.39639933643360259</v>
      </c>
      <c r="E25" s="27">
        <f>整車!G25</f>
        <v>4910709</v>
      </c>
      <c r="F25" s="88">
        <f>_xlfn.IFNA(VLOOKUP(A25,[1]出同!$C$3:$H$107,3,0),-[2]整車!$B$22)</f>
        <v>8368193</v>
      </c>
      <c r="G25" s="512">
        <f t="shared" si="1"/>
        <v>-0.41316972493344739</v>
      </c>
      <c r="H25" s="86">
        <f t="shared" si="5"/>
        <v>221.25293985131788</v>
      </c>
      <c r="I25" s="87">
        <f t="shared" si="6"/>
        <v>227.57588860787033</v>
      </c>
      <c r="J25" s="512">
        <f t="shared" si="4"/>
        <v>-2.7783913292534018E-2</v>
      </c>
    </row>
    <row r="26" spans="1:10">
      <c r="A26" s="454" t="s">
        <v>209</v>
      </c>
      <c r="B26" s="27">
        <f>整車!E26</f>
        <v>1936</v>
      </c>
      <c r="C26" s="88">
        <f>_xlfn.IFNA(VLOOKUP(A26,[1]出同!$C$3:$H$107,5,0),-[2]整車!$B$22)</f>
        <v>3967</v>
      </c>
      <c r="D26" s="512">
        <f t="shared" si="0"/>
        <v>-0.51197378371565416</v>
      </c>
      <c r="E26" s="27">
        <f>整車!G26</f>
        <v>1070806</v>
      </c>
      <c r="F26" s="88">
        <f>_xlfn.IFNA(VLOOKUP(A26,[1]出同!$C$3:$H$107,3,0),-[2]整車!$B$22)</f>
        <v>1558158</v>
      </c>
      <c r="G26" s="512">
        <f t="shared" si="1"/>
        <v>-0.31277444264317228</v>
      </c>
      <c r="H26" s="86">
        <f t="shared" si="5"/>
        <v>553.10227272727275</v>
      </c>
      <c r="I26" s="87">
        <f t="shared" si="6"/>
        <v>392.77993445928911</v>
      </c>
      <c r="J26" s="512">
        <f t="shared" si="4"/>
        <v>0.40817344319965698</v>
      </c>
    </row>
    <row r="27" spans="1:10">
      <c r="A27" s="456" t="s">
        <v>210</v>
      </c>
      <c r="B27" s="27">
        <f>整車!E27</f>
        <v>13748</v>
      </c>
      <c r="C27" s="88">
        <f>_xlfn.IFNA(VLOOKUP(A27,[1]出同!$C$3:$H$107,5,0),-[2]整車!$B$22)</f>
        <v>32139</v>
      </c>
      <c r="D27" s="512">
        <f t="shared" si="0"/>
        <v>-0.57223311241793462</v>
      </c>
      <c r="E27" s="27">
        <f>整車!G27</f>
        <v>8470846</v>
      </c>
      <c r="F27" s="88">
        <f>_xlfn.IFNA(VLOOKUP(A27,[1]出同!$C$3:$H$107,3,0),-[2]整車!$B$22)</f>
        <v>11028433</v>
      </c>
      <c r="G27" s="512">
        <f t="shared" si="1"/>
        <v>-0.23190846786664979</v>
      </c>
      <c r="H27" s="86">
        <f t="shared" si="5"/>
        <v>616.15114925807393</v>
      </c>
      <c r="I27" s="87">
        <f t="shared" si="6"/>
        <v>343.1479822023087</v>
      </c>
      <c r="J27" s="512">
        <f t="shared" si="4"/>
        <v>0.79558435781449999</v>
      </c>
    </row>
    <row r="28" spans="1:10">
      <c r="A28" s="456" t="s">
        <v>211</v>
      </c>
      <c r="B28" s="27">
        <f>整車!E28</f>
        <v>8944</v>
      </c>
      <c r="C28" s="88">
        <f>_xlfn.IFNA(VLOOKUP(A28,[1]出同!$C$3:$H$107,5,0),-[2]整車!$B$22)</f>
        <v>19990</v>
      </c>
      <c r="D28" s="512">
        <f t="shared" si="0"/>
        <v>-0.552576288144072</v>
      </c>
      <c r="E28" s="27">
        <f>整車!G28</f>
        <v>4249823</v>
      </c>
      <c r="F28" s="88">
        <f>_xlfn.IFNA(VLOOKUP(A28,[1]出同!$C$3:$H$107,3,0),-[2]整車!$B$22)</f>
        <v>5834718</v>
      </c>
      <c r="G28" s="512">
        <f t="shared" si="1"/>
        <v>-0.27163180808395537</v>
      </c>
      <c r="H28" s="86">
        <f t="shared" si="5"/>
        <v>475.15910107334525</v>
      </c>
      <c r="I28" s="87">
        <f t="shared" si="6"/>
        <v>291.88184092046021</v>
      </c>
      <c r="J28" s="512">
        <f t="shared" si="4"/>
        <v>0.62791593877479124</v>
      </c>
    </row>
    <row r="29" spans="1:10">
      <c r="A29" s="455" t="s">
        <v>212</v>
      </c>
      <c r="B29" s="27">
        <f>整車!E29</f>
        <v>1701</v>
      </c>
      <c r="C29" s="88">
        <f>_xlfn.IFNA(VLOOKUP(A29,[1]出同!$C$3:$H$107,5,0),-[2]整車!$B$22)</f>
        <v>5708</v>
      </c>
      <c r="D29" s="512">
        <f t="shared" si="0"/>
        <v>-0.70199719691660822</v>
      </c>
      <c r="E29" s="27">
        <f>整車!G29</f>
        <v>834624</v>
      </c>
      <c r="F29" s="88">
        <f>_xlfn.IFNA(VLOOKUP(A29,[1]出同!$C$3:$H$107,3,0),-[2]整車!$B$22)</f>
        <v>958412</v>
      </c>
      <c r="G29" s="512">
        <f t="shared" si="1"/>
        <v>-0.12915948464752111</v>
      </c>
      <c r="H29" s="86">
        <f t="shared" si="5"/>
        <v>490.66666666666669</v>
      </c>
      <c r="I29" s="87">
        <f t="shared" si="6"/>
        <v>167.90679747722496</v>
      </c>
      <c r="J29" s="512">
        <f t="shared" si="4"/>
        <v>1.9222561208888591</v>
      </c>
    </row>
    <row r="30" spans="1:10">
      <c r="A30" s="455" t="s">
        <v>213</v>
      </c>
      <c r="B30" s="27">
        <f>整車!E30</f>
        <v>22</v>
      </c>
      <c r="C30" s="88">
        <f>_xlfn.IFNA(VLOOKUP(A30,[1]出同!$C$3:$H$107,5,0),-[2]整車!$B$22)</f>
        <v>52</v>
      </c>
      <c r="D30" s="512">
        <f t="shared" si="0"/>
        <v>-0.57692307692307687</v>
      </c>
      <c r="E30" s="27">
        <f>整車!G30</f>
        <v>4265</v>
      </c>
      <c r="F30" s="88">
        <f>_xlfn.IFNA(VLOOKUP(A30,[1]出同!$C$3:$H$107,3,0),-[2]整車!$B$22)</f>
        <v>9005</v>
      </c>
      <c r="G30" s="512">
        <f t="shared" si="1"/>
        <v>-0.52637423653525817</v>
      </c>
      <c r="H30" s="86">
        <f t="shared" si="5"/>
        <v>193.86363636363637</v>
      </c>
      <c r="I30" s="87">
        <f t="shared" si="6"/>
        <v>173.17307692307693</v>
      </c>
      <c r="J30" s="512">
        <f t="shared" si="4"/>
        <v>0.11947907728029881</v>
      </c>
    </row>
    <row r="31" spans="1:10">
      <c r="A31" s="455" t="s">
        <v>17</v>
      </c>
      <c r="B31" s="27">
        <f>整車!E31</f>
        <v>1471</v>
      </c>
      <c r="C31" s="88">
        <f>_xlfn.IFNA(VLOOKUP(A31,[1]出同!$C$3:$H$107,5,0),-[2]整車!$B$22)</f>
        <v>2662</v>
      </c>
      <c r="D31" s="512">
        <f t="shared" si="0"/>
        <v>-0.44740796393688953</v>
      </c>
      <c r="E31" s="389">
        <f>整車!G31</f>
        <v>1583777</v>
      </c>
      <c r="F31" s="88">
        <f>_xlfn.IFNA(VLOOKUP(A31,[1]出同!$C$3:$H$107,3,0),-[2]整車!$B$22)</f>
        <v>828039</v>
      </c>
      <c r="G31" s="512">
        <f t="shared" si="1"/>
        <v>0.91268406439793293</v>
      </c>
      <c r="H31" s="86">
        <f t="shared" si="5"/>
        <v>1076.6668932698844</v>
      </c>
      <c r="I31" s="87">
        <f t="shared" si="6"/>
        <v>311.05897821187079</v>
      </c>
      <c r="J31" s="512">
        <f t="shared" si="4"/>
        <v>2.4612950234040092</v>
      </c>
    </row>
    <row r="32" spans="1:10">
      <c r="A32" s="455" t="s">
        <v>18</v>
      </c>
      <c r="B32" s="27">
        <f>整車!E32</f>
        <v>50</v>
      </c>
      <c r="C32" s="88">
        <f>_xlfn.IFNA(VLOOKUP(A32,[1]出同!$C$3:$H$107,5,0),-[2]整車!$B$22)</f>
        <v>470</v>
      </c>
      <c r="D32" s="512">
        <f t="shared" si="0"/>
        <v>-0.8936170212765957</v>
      </c>
      <c r="E32" s="27">
        <f>整車!G32</f>
        <v>6219</v>
      </c>
      <c r="F32" s="88">
        <f>_xlfn.IFNA(VLOOKUP(A32,[1]出同!$C$3:$H$107,3,0),-[2]整車!$B$22)</f>
        <v>77364</v>
      </c>
      <c r="G32" s="512">
        <f t="shared" si="1"/>
        <v>-0.91961377384830156</v>
      </c>
      <c r="H32" s="86">
        <f t="shared" si="5"/>
        <v>124.38</v>
      </c>
      <c r="I32" s="87">
        <f t="shared" si="6"/>
        <v>164.60425531914893</v>
      </c>
      <c r="J32" s="512">
        <f t="shared" si="4"/>
        <v>-0.24436947417403446</v>
      </c>
    </row>
    <row r="33" spans="1:10">
      <c r="A33" s="455" t="s">
        <v>214</v>
      </c>
      <c r="B33" s="27">
        <f>整車!E33</f>
        <v>1385</v>
      </c>
      <c r="C33" s="88">
        <f>_xlfn.IFNA(VLOOKUP(A33,[1]出同!$C$3:$H$107,5,0),-[2]整車!$B$22)</f>
        <v>2031</v>
      </c>
      <c r="D33" s="512">
        <f t="shared" si="0"/>
        <v>-0.31806991629739045</v>
      </c>
      <c r="E33" s="27">
        <f>整車!G33</f>
        <v>651362</v>
      </c>
      <c r="F33" s="88">
        <f>_xlfn.IFNA(VLOOKUP(A33,[1]出同!$C$3:$H$107,3,0),-[2]整車!$B$22)</f>
        <v>476510</v>
      </c>
      <c r="G33" s="512">
        <f t="shared" si="1"/>
        <v>0.36694298125957481</v>
      </c>
      <c r="H33" s="86">
        <f t="shared" si="5"/>
        <v>470.29747292418773</v>
      </c>
      <c r="I33" s="87">
        <f t="shared" si="6"/>
        <v>234.61841457410142</v>
      </c>
      <c r="J33" s="512">
        <f t="shared" si="4"/>
        <v>1.0045207183669289</v>
      </c>
    </row>
    <row r="34" spans="1:10">
      <c r="A34" s="455" t="s">
        <v>215</v>
      </c>
      <c r="B34" s="27">
        <f>整車!E34</f>
        <v>427</v>
      </c>
      <c r="C34" s="88">
        <f>_xlfn.IFNA(VLOOKUP(A34,[1]出同!$C$3:$H$107,5,0),-[2]整車!$B$22)</f>
        <v>2302</v>
      </c>
      <c r="D34" s="512">
        <f t="shared" si="0"/>
        <v>-0.814509122502172</v>
      </c>
      <c r="E34" s="27">
        <f>整車!G34</f>
        <v>114645</v>
      </c>
      <c r="F34" s="88">
        <f>_xlfn.IFNA(VLOOKUP(A34,[1]出同!$C$3:$H$107,3,0),-[2]整車!$B$22)</f>
        <v>573917</v>
      </c>
      <c r="G34" s="512">
        <f t="shared" si="1"/>
        <v>-0.80024114985267902</v>
      </c>
      <c r="H34" s="86">
        <f t="shared" si="5"/>
        <v>268.4894613583138</v>
      </c>
      <c r="I34" s="87">
        <f t="shared" si="6"/>
        <v>249.3123370981755</v>
      </c>
      <c r="J34" s="512">
        <f t="shared" si="4"/>
        <v>7.6920077375018284E-2</v>
      </c>
    </row>
    <row r="35" spans="1:10">
      <c r="A35" s="455" t="s">
        <v>216</v>
      </c>
      <c r="B35" s="27">
        <f>整車!E35</f>
        <v>519</v>
      </c>
      <c r="C35" s="88">
        <f>_xlfn.IFNA(VLOOKUP(A35,[1]出同!$C$3:$H$107,5,0),-[2]整車!$B$22)</f>
        <v>1009</v>
      </c>
      <c r="D35" s="512">
        <f t="shared" si="0"/>
        <v>-0.48562933597621405</v>
      </c>
      <c r="E35" s="27">
        <f>整車!G35</f>
        <v>205924</v>
      </c>
      <c r="F35" s="88">
        <f>_xlfn.IFNA(VLOOKUP(A35,[1]出同!$C$3:$H$107,3,0),-[2]整車!$B$22)</f>
        <v>261981</v>
      </c>
      <c r="G35" s="512">
        <f t="shared" si="1"/>
        <v>-0.21397353243174122</v>
      </c>
      <c r="H35" s="86">
        <f t="shared" si="5"/>
        <v>396.77071290944122</v>
      </c>
      <c r="I35" s="87">
        <f t="shared" si="6"/>
        <v>259.64420218037662</v>
      </c>
      <c r="J35" s="512">
        <f t="shared" si="4"/>
        <v>0.52813238107200966</v>
      </c>
    </row>
    <row r="36" spans="1:10">
      <c r="A36" s="455" t="s">
        <v>217</v>
      </c>
      <c r="B36" s="27">
        <f>整車!E36</f>
        <v>210</v>
      </c>
      <c r="C36" s="88">
        <f>_xlfn.IFNA(VLOOKUP(A36,[1]出同!$C$3:$H$107,5,0),-[2]整車!$B$22)</f>
        <v>755</v>
      </c>
      <c r="D36" s="512">
        <f t="shared" si="0"/>
        <v>-0.72185430463576161</v>
      </c>
      <c r="E36" s="27">
        <f>整車!G36</f>
        <v>33789</v>
      </c>
      <c r="F36" s="88">
        <f>_xlfn.IFNA(VLOOKUP(A36,[1]出同!$C$3:$H$107,3,0),-[2]整車!$B$22)</f>
        <v>138272</v>
      </c>
      <c r="G36" s="512">
        <f t="shared" si="1"/>
        <v>-0.75563382318907657</v>
      </c>
      <c r="H36" s="86">
        <f t="shared" si="5"/>
        <v>160.9</v>
      </c>
      <c r="I36" s="87">
        <f t="shared" si="6"/>
        <v>183.14172185430465</v>
      </c>
      <c r="J36" s="512">
        <f t="shared" si="4"/>
        <v>-0.1214454119416802</v>
      </c>
    </row>
    <row r="37" spans="1:10">
      <c r="A37" s="455" t="s">
        <v>218</v>
      </c>
      <c r="B37" s="27">
        <f>整車!E37</f>
        <v>53</v>
      </c>
      <c r="C37" s="88">
        <f>_xlfn.IFNA(VLOOKUP(A37,[1]出同!$C$3:$H$107,5,0),-[2]整車!$B$22)</f>
        <v>142</v>
      </c>
      <c r="D37" s="512">
        <f t="shared" si="0"/>
        <v>-0.62676056338028174</v>
      </c>
      <c r="E37" s="27">
        <f>整車!G37</f>
        <v>6811</v>
      </c>
      <c r="F37" s="88">
        <f>_xlfn.IFNA(VLOOKUP(A37,[1]出同!$C$3:$H$107,3,0),-[2]整車!$B$22)</f>
        <v>16956</v>
      </c>
      <c r="G37" s="512">
        <f t="shared" si="1"/>
        <v>-0.59831328143430051</v>
      </c>
      <c r="H37" s="86">
        <f t="shared" si="5"/>
        <v>128.50943396226415</v>
      </c>
      <c r="I37" s="87">
        <f t="shared" si="6"/>
        <v>119.40845070422536</v>
      </c>
      <c r="J37" s="512">
        <f t="shared" si="4"/>
        <v>7.6217245968477759E-2</v>
      </c>
    </row>
    <row r="38" spans="1:10">
      <c r="A38" s="455" t="s">
        <v>219</v>
      </c>
      <c r="B38" s="27">
        <f>整車!E38</f>
        <v>395</v>
      </c>
      <c r="C38" s="88">
        <f>_xlfn.IFNA(VLOOKUP(A38,[1]出同!$C$3:$H$107,5,0),-[2]整車!$B$22)</f>
        <v>390</v>
      </c>
      <c r="D38" s="512">
        <f t="shared" si="0"/>
        <v>1.282051282051282E-2</v>
      </c>
      <c r="E38" s="27">
        <f>整車!G38</f>
        <v>61429</v>
      </c>
      <c r="F38" s="88">
        <f>_xlfn.IFNA(VLOOKUP(A38,[1]出同!$C$3:$H$107,3,0),-[2]整車!$B$22)</f>
        <v>71607</v>
      </c>
      <c r="G38" s="512">
        <f t="shared" si="1"/>
        <v>-0.14213694191908613</v>
      </c>
      <c r="H38" s="86">
        <f t="shared" si="5"/>
        <v>155.51645569620254</v>
      </c>
      <c r="I38" s="87">
        <f t="shared" si="6"/>
        <v>183.6076923076923</v>
      </c>
      <c r="J38" s="512">
        <f t="shared" si="4"/>
        <v>-0.15299596797074319</v>
      </c>
    </row>
    <row r="39" spans="1:10">
      <c r="A39" s="455" t="s">
        <v>19</v>
      </c>
      <c r="B39" s="27">
        <f>整車!E39</f>
        <v>578</v>
      </c>
      <c r="C39" s="88">
        <f>_xlfn.IFNA(VLOOKUP(A39,[1]出同!$C$3:$H$107,5,0),-[2]整車!$B$22)</f>
        <v>1117</v>
      </c>
      <c r="D39" s="512">
        <f t="shared" si="0"/>
        <v>-0.48254252461951658</v>
      </c>
      <c r="E39" s="27">
        <f>整車!G39</f>
        <v>148696</v>
      </c>
      <c r="F39" s="88">
        <f>_xlfn.IFNA(VLOOKUP(A39,[1]出同!$C$3:$H$107,3,0),-[2]整車!$B$22)</f>
        <v>257441</v>
      </c>
      <c r="G39" s="512">
        <f t="shared" si="1"/>
        <v>-0.42240746423452363</v>
      </c>
      <c r="H39" s="86">
        <f t="shared" si="5"/>
        <v>257.25951557093424</v>
      </c>
      <c r="I39" s="87">
        <f t="shared" si="6"/>
        <v>230.47538048343779</v>
      </c>
      <c r="J39" s="512">
        <f t="shared" si="4"/>
        <v>0.11621256479245161</v>
      </c>
    </row>
    <row r="40" spans="1:10">
      <c r="A40" s="30"/>
      <c r="B40" s="27"/>
      <c r="C40" s="89"/>
      <c r="D40" s="512"/>
      <c r="E40" s="27"/>
      <c r="F40" s="89"/>
      <c r="G40" s="512"/>
      <c r="H40" s="86"/>
      <c r="I40" s="87"/>
      <c r="J40" s="512"/>
    </row>
    <row r="41" spans="1:10" ht="16.149999999999999" customHeight="1">
      <c r="A41" s="36" t="s">
        <v>20</v>
      </c>
      <c r="B41" s="33">
        <f>SUM(B42:B45)</f>
        <v>38841</v>
      </c>
      <c r="C41" s="90">
        <f>SUM(C42:C45)</f>
        <v>43458</v>
      </c>
      <c r="D41" s="512">
        <f t="shared" si="0"/>
        <v>-0.10624050807676377</v>
      </c>
      <c r="E41" s="33">
        <f>SUM(E42:E45)</f>
        <v>31012039</v>
      </c>
      <c r="F41" s="90">
        <f>SUM(F42:F45)</f>
        <v>43060551</v>
      </c>
      <c r="G41" s="512">
        <f t="shared" si="1"/>
        <v>-0.27980394398576086</v>
      </c>
      <c r="H41" s="86">
        <f t="shared" si="5"/>
        <v>798.43564789783989</v>
      </c>
      <c r="I41" s="87">
        <f t="shared" si="6"/>
        <v>990.85441115559854</v>
      </c>
      <c r="J41" s="512">
        <f t="shared" si="4"/>
        <v>-0.1941947889532504</v>
      </c>
    </row>
    <row r="42" spans="1:10">
      <c r="A42" s="454" t="s">
        <v>220</v>
      </c>
      <c r="B42" s="27">
        <f>整車!E42</f>
        <v>14267</v>
      </c>
      <c r="C42" s="88">
        <f>_xlfn.IFNA(VLOOKUP(A42,[1]出同!$C$3:$H$107,5,0),-[2]整車!$B$22)</f>
        <v>22457</v>
      </c>
      <c r="D42" s="512">
        <f t="shared" si="0"/>
        <v>-0.3646969764438705</v>
      </c>
      <c r="E42" s="27">
        <f>整車!G42</f>
        <v>18891460</v>
      </c>
      <c r="F42" s="88">
        <f>_xlfn.IFNA(VLOOKUP(A42,[1]出同!$C$3:$H$107,3,0),-[2]整車!$B$22)</f>
        <v>33262524</v>
      </c>
      <c r="G42" s="512">
        <f t="shared" si="1"/>
        <v>-0.43204971456766178</v>
      </c>
      <c r="H42" s="86">
        <f t="shared" si="5"/>
        <v>1324.1368192331954</v>
      </c>
      <c r="I42" s="87">
        <f t="shared" si="6"/>
        <v>1481.1650710246249</v>
      </c>
      <c r="J42" s="512">
        <f t="shared" si="4"/>
        <v>-0.10601671269685164</v>
      </c>
    </row>
    <row r="43" spans="1:10">
      <c r="A43" s="454" t="s">
        <v>221</v>
      </c>
      <c r="B43" s="27">
        <f>整車!E43</f>
        <v>24354</v>
      </c>
      <c r="C43" s="88">
        <f>_xlfn.IFNA(VLOOKUP(A43,[1]出同!$C$3:$H$107,5,0),-[2]整車!$B$22)</f>
        <v>20946</v>
      </c>
      <c r="D43" s="512">
        <f t="shared" si="0"/>
        <v>0.16270409624749355</v>
      </c>
      <c r="E43" s="27">
        <f>整車!G43</f>
        <v>12014054</v>
      </c>
      <c r="F43" s="88">
        <f>_xlfn.IFNA(VLOOKUP(A43,[1]出同!$C$3:$H$107,3,0),-[2]整車!$B$22)</f>
        <v>9735627</v>
      </c>
      <c r="G43" s="512">
        <f t="shared" si="1"/>
        <v>0.23402981646687984</v>
      </c>
      <c r="H43" s="86">
        <f t="shared" si="5"/>
        <v>493.30927157756429</v>
      </c>
      <c r="I43" s="87">
        <f t="shared" si="6"/>
        <v>464.79647665425381</v>
      </c>
      <c r="J43" s="512">
        <f t="shared" si="4"/>
        <v>6.1344688170947931E-2</v>
      </c>
    </row>
    <row r="44" spans="1:10">
      <c r="A44" s="454" t="s">
        <v>222</v>
      </c>
      <c r="B44" s="27">
        <f>整車!E44</f>
        <v>220</v>
      </c>
      <c r="C44" s="88">
        <f>_xlfn.IFNA(VLOOKUP(A44,[1]出同!$C$3:$H$107,5,0),-[2]整車!$B$22)</f>
        <v>55</v>
      </c>
      <c r="D44" s="512">
        <f t="shared" si="0"/>
        <v>3</v>
      </c>
      <c r="E44" s="27">
        <f>整車!G44</f>
        <v>106525</v>
      </c>
      <c r="F44" s="88">
        <f>_xlfn.IFNA(VLOOKUP(A44,[1]出同!$C$3:$H$107,3,0),-[2]整車!$B$22)</f>
        <v>62400</v>
      </c>
      <c r="G44" s="512">
        <f t="shared" si="1"/>
        <v>0.70713141025641024</v>
      </c>
      <c r="H44" s="86">
        <f t="shared" si="5"/>
        <v>484.20454545454544</v>
      </c>
      <c r="I44" s="87">
        <f t="shared" si="6"/>
        <v>1134.5454545454545</v>
      </c>
      <c r="J44" s="512">
        <f t="shared" si="4"/>
        <v>-0.57321714743589736</v>
      </c>
    </row>
    <row r="45" spans="1:10">
      <c r="A45" s="30" t="s">
        <v>21</v>
      </c>
      <c r="B45" s="27">
        <f>整車!E45</f>
        <v>0</v>
      </c>
      <c r="C45" s="88">
        <f>_xlfn.IFNA(VLOOKUP(A45,[1]出同!$C$3:$H$107,5,0),-[2]整車!$B$22)</f>
        <v>0</v>
      </c>
      <c r="D45" s="512">
        <f t="shared" si="0"/>
        <v>0</v>
      </c>
      <c r="E45" s="27">
        <f>整車!G45</f>
        <v>0</v>
      </c>
      <c r="F45" s="88">
        <f>_xlfn.IFNA(VLOOKUP(A45,[1]出同!$C$3:$H$107,3,0),-[2]整車!$B$22)</f>
        <v>0</v>
      </c>
      <c r="G45" s="512">
        <f t="shared" si="1"/>
        <v>0</v>
      </c>
      <c r="H45" s="86">
        <f t="shared" si="5"/>
        <v>0</v>
      </c>
      <c r="I45" s="87">
        <f t="shared" si="6"/>
        <v>0</v>
      </c>
      <c r="J45" s="512">
        <f t="shared" si="4"/>
        <v>0</v>
      </c>
    </row>
    <row r="46" spans="1:10" ht="17.45" customHeight="1">
      <c r="A46" s="30"/>
      <c r="B46" s="27"/>
      <c r="C46" s="89"/>
      <c r="D46" s="512"/>
      <c r="E46" s="27"/>
      <c r="F46" s="89"/>
      <c r="G46" s="512"/>
      <c r="H46" s="86"/>
      <c r="I46" s="87"/>
      <c r="J46" s="512"/>
    </row>
    <row r="47" spans="1:10">
      <c r="A47" s="36" t="s">
        <v>22</v>
      </c>
      <c r="B47" s="33">
        <f>SUM(B48:B65)</f>
        <v>383613</v>
      </c>
      <c r="C47" s="90">
        <f>SUM(C48:C65)</f>
        <v>461622</v>
      </c>
      <c r="D47" s="512">
        <f t="shared" si="0"/>
        <v>-0.16898891300674579</v>
      </c>
      <c r="E47" s="33">
        <f>SUM(E48:E65)</f>
        <v>420500287</v>
      </c>
      <c r="F47" s="90">
        <f>SUM(F48:F65)</f>
        <v>423709065</v>
      </c>
      <c r="G47" s="512">
        <f t="shared" si="1"/>
        <v>-7.5730690349992864E-3</v>
      </c>
      <c r="H47" s="86">
        <f t="shared" si="5"/>
        <v>1096.1575520120539</v>
      </c>
      <c r="I47" s="87">
        <f t="shared" si="6"/>
        <v>917.87017299868728</v>
      </c>
      <c r="J47" s="512">
        <f t="shared" si="4"/>
        <v>0.19424030136081302</v>
      </c>
    </row>
    <row r="48" spans="1:10">
      <c r="A48" s="487" t="s">
        <v>163</v>
      </c>
      <c r="B48" s="27">
        <f>整車!E48</f>
        <v>77343</v>
      </c>
      <c r="C48" s="88">
        <f>_xlfn.IFNA(VLOOKUP(A48,[1]出同!$C$3:$H$107,5,0),-[2]整車!$B$22)</f>
        <v>133507</v>
      </c>
      <c r="D48" s="512">
        <f t="shared" si="0"/>
        <v>-0.42068206161474681</v>
      </c>
      <c r="E48" s="27">
        <f>整車!G48</f>
        <v>71878744</v>
      </c>
      <c r="F48" s="88">
        <f>_xlfn.IFNA(VLOOKUP(A48,[1]出同!$C$3:$H$107,3,0),-[2]整車!$B$22)</f>
        <v>89543824</v>
      </c>
      <c r="G48" s="512">
        <f t="shared" si="1"/>
        <v>-0.19727859734915945</v>
      </c>
      <c r="H48" s="86">
        <f t="shared" si="5"/>
        <v>929.35034844782331</v>
      </c>
      <c r="I48" s="87">
        <f t="shared" si="6"/>
        <v>670.70508662467137</v>
      </c>
      <c r="J48" s="512">
        <f t="shared" si="4"/>
        <v>0.38563187752874556</v>
      </c>
    </row>
    <row r="49" spans="1:10">
      <c r="A49" s="454" t="s">
        <v>223</v>
      </c>
      <c r="B49" s="27">
        <f>整車!E49</f>
        <v>62787</v>
      </c>
      <c r="C49" s="88">
        <f>_xlfn.IFNA(VLOOKUP(A49,[1]出同!$C$3:$H$107,5,0),-[2]整車!$B$22)</f>
        <v>64130</v>
      </c>
      <c r="D49" s="512">
        <f t="shared" si="0"/>
        <v>-2.0941836893809448E-2</v>
      </c>
      <c r="E49" s="27">
        <f>整車!G49</f>
        <v>51018724</v>
      </c>
      <c r="F49" s="88">
        <f>_xlfn.IFNA(VLOOKUP(A49,[1]出同!$C$3:$H$107,3,0),-[2]整車!$B$22)</f>
        <v>43989092</v>
      </c>
      <c r="G49" s="512">
        <f t="shared" si="1"/>
        <v>0.15980398049589203</v>
      </c>
      <c r="H49" s="86">
        <f t="shared" si="5"/>
        <v>812.56827050185552</v>
      </c>
      <c r="I49" s="87">
        <f t="shared" si="6"/>
        <v>685.93625448308126</v>
      </c>
      <c r="J49" s="512">
        <f t="shared" si="4"/>
        <v>0.18461193032318088</v>
      </c>
    </row>
    <row r="50" spans="1:10">
      <c r="A50" s="293" t="s">
        <v>224</v>
      </c>
      <c r="B50" s="27">
        <f>整車!E50</f>
        <v>3112</v>
      </c>
      <c r="C50" s="88">
        <f>_xlfn.IFNA(VLOOKUP(A50,[1]出同!$C$3:$H$107,5,0),-[2]整車!$B$22)</f>
        <v>3287</v>
      </c>
      <c r="D50" s="512">
        <f t="shared" si="0"/>
        <v>-5.3240036507453604E-2</v>
      </c>
      <c r="E50" s="27">
        <f>整車!G50</f>
        <v>3404206</v>
      </c>
      <c r="F50" s="88">
        <f>_xlfn.IFNA(VLOOKUP(A50,[1]出同!$C$3:$H$107,3,0),-[2]整車!$B$22)</f>
        <v>3797320</v>
      </c>
      <c r="G50" s="512">
        <f t="shared" si="1"/>
        <v>-0.10352406434011355</v>
      </c>
      <c r="H50" s="86">
        <f t="shared" si="5"/>
        <v>1093.8965295629821</v>
      </c>
      <c r="I50" s="87">
        <f t="shared" si="6"/>
        <v>1155.2540310313357</v>
      </c>
      <c r="J50" s="512">
        <f t="shared" si="4"/>
        <v>-5.3111696492915576E-2</v>
      </c>
    </row>
    <row r="51" spans="1:10">
      <c r="A51" s="454" t="s">
        <v>225</v>
      </c>
      <c r="B51" s="27">
        <f>整車!E51</f>
        <v>3747</v>
      </c>
      <c r="C51" s="88">
        <f>_xlfn.IFNA(VLOOKUP(A51,[1]出同!$C$3:$H$107,5,0),-[2]整車!$B$22)</f>
        <v>4753</v>
      </c>
      <c r="D51" s="512">
        <f t="shared" si="0"/>
        <v>-0.21165579633915421</v>
      </c>
      <c r="E51" s="27">
        <f>整車!G51</f>
        <v>5723041</v>
      </c>
      <c r="F51" s="88">
        <f>_xlfn.IFNA(VLOOKUP(A51,[1]出同!$C$3:$H$107,3,0),-[2]整車!$B$22)</f>
        <v>6791658</v>
      </c>
      <c r="G51" s="512">
        <f t="shared" si="1"/>
        <v>-0.15734258114881522</v>
      </c>
      <c r="H51" s="86">
        <f t="shared" si="5"/>
        <v>1527.3661595943422</v>
      </c>
      <c r="I51" s="87">
        <f t="shared" si="6"/>
        <v>1428.9202608878602</v>
      </c>
      <c r="J51" s="512">
        <f t="shared" si="4"/>
        <v>6.8895306058094949E-2</v>
      </c>
    </row>
    <row r="52" spans="1:10">
      <c r="A52" s="455" t="s">
        <v>23</v>
      </c>
      <c r="B52" s="27">
        <f>整車!E52</f>
        <v>731</v>
      </c>
      <c r="C52" s="88">
        <f>_xlfn.IFNA(VLOOKUP(A52,[1]出同!$C$3:$H$107,5,0),-[2]整車!$B$22)</f>
        <v>2492</v>
      </c>
      <c r="D52" s="512">
        <f t="shared" si="0"/>
        <v>-0.706661316211878</v>
      </c>
      <c r="E52" s="27">
        <f>整車!G52</f>
        <v>1197048</v>
      </c>
      <c r="F52" s="88">
        <f>_xlfn.IFNA(VLOOKUP(A52,[1]出同!$C$3:$H$107,3,0),-[2]整車!$B$22)</f>
        <v>1947644</v>
      </c>
      <c r="G52" s="512">
        <f t="shared" si="1"/>
        <v>-0.385386651770036</v>
      </c>
      <c r="H52" s="86">
        <f t="shared" si="5"/>
        <v>1637.5485636114911</v>
      </c>
      <c r="I52" s="87">
        <f t="shared" si="6"/>
        <v>781.5585874799358</v>
      </c>
      <c r="J52" s="512">
        <f t="shared" si="4"/>
        <v>1.0952345605869633</v>
      </c>
    </row>
    <row r="53" spans="1:10">
      <c r="A53" s="454" t="s">
        <v>226</v>
      </c>
      <c r="B53" s="27">
        <f>整車!E53</f>
        <v>3026</v>
      </c>
      <c r="C53" s="88">
        <f>_xlfn.IFNA(VLOOKUP(A53,[1]出同!$C$3:$H$107,5,0),-[2]整車!$B$22)</f>
        <v>11269</v>
      </c>
      <c r="D53" s="512">
        <f t="shared" si="0"/>
        <v>-0.73147572987842757</v>
      </c>
      <c r="E53" s="27">
        <f>整車!G53</f>
        <v>4731061</v>
      </c>
      <c r="F53" s="88">
        <f>_xlfn.IFNA(VLOOKUP(A53,[1]出同!$C$3:$H$107,3,0),-[2]整車!$B$22)</f>
        <v>11084608</v>
      </c>
      <c r="G53" s="512">
        <f t="shared" si="1"/>
        <v>-0.57318644015196563</v>
      </c>
      <c r="H53" s="86">
        <f t="shared" si="5"/>
        <v>1563.4702577660278</v>
      </c>
      <c r="I53" s="87">
        <f t="shared" si="6"/>
        <v>983.63723489218205</v>
      </c>
      <c r="J53" s="512">
        <f t="shared" si="4"/>
        <v>0.589478521456543</v>
      </c>
    </row>
    <row r="54" spans="1:10">
      <c r="A54" s="455" t="s">
        <v>227</v>
      </c>
      <c r="B54" s="27">
        <f>整車!E54</f>
        <v>51510</v>
      </c>
      <c r="C54" s="88">
        <f>_xlfn.IFNA(VLOOKUP(A54,[1]出同!$C$3:$H$107,5,0),-[2]整車!$B$22)</f>
        <v>89021</v>
      </c>
      <c r="D54" s="512">
        <f t="shared" si="0"/>
        <v>-0.42137248514395481</v>
      </c>
      <c r="E54" s="27">
        <f>整車!G54</f>
        <v>68257851</v>
      </c>
      <c r="F54" s="88">
        <f>_xlfn.IFNA(VLOOKUP(A54,[1]出同!$C$3:$H$107,3,0),-[2]整車!$B$22)</f>
        <v>90208649</v>
      </c>
      <c r="G54" s="512">
        <f t="shared" si="1"/>
        <v>-0.24333362979418968</v>
      </c>
      <c r="H54" s="86">
        <f t="shared" si="5"/>
        <v>1325.1378567268491</v>
      </c>
      <c r="I54" s="87">
        <f t="shared" si="6"/>
        <v>1013.341222857528</v>
      </c>
      <c r="J54" s="512">
        <f t="shared" si="4"/>
        <v>0.30769165098216728</v>
      </c>
    </row>
    <row r="55" spans="1:10">
      <c r="A55" s="455" t="s">
        <v>24</v>
      </c>
      <c r="B55" s="27">
        <f>整車!E55</f>
        <v>3833</v>
      </c>
      <c r="C55" s="88">
        <f>_xlfn.IFNA(VLOOKUP(A55,[1]出同!$C$3:$H$107,5,0),-[2]整車!$B$22)</f>
        <v>5646</v>
      </c>
      <c r="D55" s="512">
        <f t="shared" si="0"/>
        <v>-0.32111229188806234</v>
      </c>
      <c r="E55" s="27">
        <f>整車!G55</f>
        <v>4776747</v>
      </c>
      <c r="F55" s="88">
        <f>_xlfn.IFNA(VLOOKUP(A55,[1]出同!$C$3:$H$107,3,0),-[2]整車!$B$22)</f>
        <v>6570930</v>
      </c>
      <c r="G55" s="512">
        <f t="shared" si="1"/>
        <v>-0.27304856390191345</v>
      </c>
      <c r="H55" s="86">
        <f t="shared" si="5"/>
        <v>1246.2162796764935</v>
      </c>
      <c r="I55" s="87">
        <f t="shared" si="6"/>
        <v>1163.8204038257172</v>
      </c>
      <c r="J55" s="512">
        <f t="shared" si="4"/>
        <v>7.0797758468509484E-2</v>
      </c>
    </row>
    <row r="56" spans="1:10">
      <c r="A56" s="455" t="s">
        <v>228</v>
      </c>
      <c r="B56" s="27">
        <f>整車!E56</f>
        <v>121488</v>
      </c>
      <c r="C56" s="88">
        <f>_xlfn.IFNA(VLOOKUP(A56,[1]出同!$C$3:$H$107,5,0),-[2]整車!$B$22)</f>
        <v>55760</v>
      </c>
      <c r="D56" s="512">
        <f t="shared" si="0"/>
        <v>1.1787661406025824</v>
      </c>
      <c r="E56" s="27">
        <f>整車!G56</f>
        <v>130663744</v>
      </c>
      <c r="F56" s="88">
        <f>_xlfn.IFNA(VLOOKUP(A56,[1]出同!$C$3:$H$107,3,0),-[2]整車!$B$22)</f>
        <v>54259099</v>
      </c>
      <c r="G56" s="512">
        <f t="shared" si="1"/>
        <v>1.4081443740892197</v>
      </c>
      <c r="H56" s="86">
        <f t="shared" si="5"/>
        <v>1075.527986303174</v>
      </c>
      <c r="I56" s="87">
        <f t="shared" si="6"/>
        <v>973.08283715925393</v>
      </c>
      <c r="J56" s="512">
        <f t="shared" si="4"/>
        <v>0.10527896005543663</v>
      </c>
    </row>
    <row r="57" spans="1:10">
      <c r="A57" s="457" t="s">
        <v>229</v>
      </c>
      <c r="B57" s="27">
        <f>整車!E57</f>
        <v>26719</v>
      </c>
      <c r="C57" s="88">
        <f>_xlfn.IFNA(VLOOKUP(A57,[1]出同!$C$3:$H$107,5,0),-[2]整車!$B$22)</f>
        <v>36785</v>
      </c>
      <c r="D57" s="512">
        <f t="shared" si="0"/>
        <v>-0.27364414843006662</v>
      </c>
      <c r="E57" s="27">
        <f>整車!G57</f>
        <v>37591811</v>
      </c>
      <c r="F57" s="88">
        <f>_xlfn.IFNA(VLOOKUP(A57,[1]出同!$C$3:$H$107,3,0),-[2]整車!$B$22)</f>
        <v>47798879</v>
      </c>
      <c r="G57" s="512">
        <f t="shared" si="1"/>
        <v>-0.21354199540955762</v>
      </c>
      <c r="H57" s="86">
        <f t="shared" si="5"/>
        <v>1406.9318088251805</v>
      </c>
      <c r="I57" s="87">
        <f t="shared" si="6"/>
        <v>1299.4122332472475</v>
      </c>
      <c r="J57" s="512">
        <f t="shared" si="4"/>
        <v>8.2744777082204471E-2</v>
      </c>
    </row>
    <row r="58" spans="1:10">
      <c r="A58" s="455" t="s">
        <v>25</v>
      </c>
      <c r="B58" s="27">
        <f>整車!E58</f>
        <v>4880</v>
      </c>
      <c r="C58" s="88">
        <f>_xlfn.IFNA(VLOOKUP(A58,[1]出同!$C$3:$H$107,5,0),-[2]整車!$B$22)</f>
        <v>5904</v>
      </c>
      <c r="D58" s="512">
        <f t="shared" si="0"/>
        <v>-0.17344173441734417</v>
      </c>
      <c r="E58" s="27">
        <f>整車!G58</f>
        <v>2444902</v>
      </c>
      <c r="F58" s="88">
        <f>_xlfn.IFNA(VLOOKUP(A58,[1]出同!$C$3:$H$107,3,0),-[2]整車!$B$22)</f>
        <v>2157412</v>
      </c>
      <c r="G58" s="512">
        <f t="shared" si="1"/>
        <v>0.13325688371066816</v>
      </c>
      <c r="H58" s="86">
        <f t="shared" si="5"/>
        <v>501.0045081967213</v>
      </c>
      <c r="I58" s="87">
        <f t="shared" si="6"/>
        <v>365.41531165311653</v>
      </c>
      <c r="J58" s="512">
        <f t="shared" si="4"/>
        <v>0.37105504947290668</v>
      </c>
    </row>
    <row r="59" spans="1:10">
      <c r="A59" s="455" t="s">
        <v>26</v>
      </c>
      <c r="B59" s="27">
        <f>整車!E59</f>
        <v>119</v>
      </c>
      <c r="C59" s="88">
        <f>_xlfn.IFNA(VLOOKUP(A59,[1]出同!$C$3:$H$107,5,0),-[2]整車!$B$22)</f>
        <v>223</v>
      </c>
      <c r="D59" s="512">
        <f t="shared" si="0"/>
        <v>-0.46636771300448432</v>
      </c>
      <c r="E59" s="27">
        <f>整車!G59</f>
        <v>44021</v>
      </c>
      <c r="F59" s="88">
        <f>_xlfn.IFNA(VLOOKUP(A59,[1]出同!$C$3:$H$107,3,0),-[2]整車!$B$22)</f>
        <v>48470</v>
      </c>
      <c r="G59" s="512">
        <f t="shared" si="1"/>
        <v>-9.1788735300185678E-2</v>
      </c>
      <c r="H59" s="86">
        <f t="shared" si="5"/>
        <v>369.92436974789916</v>
      </c>
      <c r="I59" s="87">
        <f t="shared" si="6"/>
        <v>217.35426008968611</v>
      </c>
      <c r="J59" s="512">
        <f t="shared" si="4"/>
        <v>0.70194211788284522</v>
      </c>
    </row>
    <row r="60" spans="1:10">
      <c r="A60" s="455" t="s">
        <v>27</v>
      </c>
      <c r="B60" s="27">
        <f>整車!E60</f>
        <v>10100</v>
      </c>
      <c r="C60" s="88">
        <f>_xlfn.IFNA(VLOOKUP(A60,[1]出同!$C$3:$H$107,5,0),-[2]整車!$B$22)</f>
        <v>20927</v>
      </c>
      <c r="D60" s="512">
        <f t="shared" si="0"/>
        <v>-0.51736990490753576</v>
      </c>
      <c r="E60" s="27">
        <f>整車!G60</f>
        <v>13372947</v>
      </c>
      <c r="F60" s="88">
        <f>_xlfn.IFNA(VLOOKUP(A60,[1]出同!$C$3:$H$107,3,0),-[2]整車!$B$22)</f>
        <v>24207487</v>
      </c>
      <c r="G60" s="512">
        <f t="shared" si="1"/>
        <v>-0.44756979524557838</v>
      </c>
      <c r="H60" s="86">
        <f t="shared" si="5"/>
        <v>1324.0541584158416</v>
      </c>
      <c r="I60" s="87">
        <f t="shared" si="6"/>
        <v>1156.7585893821379</v>
      </c>
      <c r="J60" s="512">
        <f t="shared" si="4"/>
        <v>0.14462444503918634</v>
      </c>
    </row>
    <row r="61" spans="1:10">
      <c r="A61" s="456" t="s">
        <v>230</v>
      </c>
      <c r="B61" s="27">
        <f>整車!E61</f>
        <v>4814</v>
      </c>
      <c r="C61" s="88">
        <f>_xlfn.IFNA(VLOOKUP(A61,[1]出同!$C$3:$H$107,5,0),-[2]整車!$B$22)</f>
        <v>7098</v>
      </c>
      <c r="D61" s="512">
        <f t="shared" si="0"/>
        <v>-0.32178078331924487</v>
      </c>
      <c r="E61" s="27">
        <f>整車!G61</f>
        <v>10148759</v>
      </c>
      <c r="F61" s="88">
        <f>_xlfn.IFNA(VLOOKUP(A61,[1]出同!$C$3:$H$107,3,0),-[2]整車!$B$22)</f>
        <v>11454807</v>
      </c>
      <c r="G61" s="512">
        <f t="shared" si="1"/>
        <v>-0.11401746009339137</v>
      </c>
      <c r="H61" s="86">
        <f t="shared" si="5"/>
        <v>2108.1759451599501</v>
      </c>
      <c r="I61" s="87">
        <f t="shared" si="6"/>
        <v>1613.8076923076924</v>
      </c>
      <c r="J61" s="512">
        <f t="shared" si="4"/>
        <v>0.30633653266661975</v>
      </c>
    </row>
    <row r="62" spans="1:10">
      <c r="A62" s="455" t="s">
        <v>28</v>
      </c>
      <c r="B62" s="27">
        <f>整車!E62</f>
        <v>3898</v>
      </c>
      <c r="C62" s="88">
        <f>_xlfn.IFNA(VLOOKUP(A62,[1]出同!$C$3:$H$107,5,0),-[2]整車!$B$22)</f>
        <v>9240</v>
      </c>
      <c r="D62" s="512">
        <f t="shared" si="0"/>
        <v>-0.57813852813852817</v>
      </c>
      <c r="E62" s="27">
        <f>整車!G62</f>
        <v>6321884</v>
      </c>
      <c r="F62" s="88">
        <f>_xlfn.IFNA(VLOOKUP(A62,[1]出同!$C$3:$H$107,3,0),-[2]整車!$B$22)</f>
        <v>13662697</v>
      </c>
      <c r="G62" s="512">
        <f t="shared" si="1"/>
        <v>-0.53728872125320504</v>
      </c>
      <c r="H62" s="86">
        <f t="shared" si="5"/>
        <v>1621.8276038994356</v>
      </c>
      <c r="I62" s="87">
        <f t="shared" si="6"/>
        <v>1478.6468614718615</v>
      </c>
      <c r="J62" s="512">
        <f t="shared" si="4"/>
        <v>9.6832276967774758E-2</v>
      </c>
    </row>
    <row r="63" spans="1:10">
      <c r="A63" s="296" t="s">
        <v>231</v>
      </c>
      <c r="B63" s="27">
        <f>整車!E63</f>
        <v>510</v>
      </c>
      <c r="C63" s="88">
        <f>_xlfn.IFNA(VLOOKUP(A63,[1]出同!$C$3:$H$107,5,0),-[2]整車!$B$22)</f>
        <v>1858</v>
      </c>
      <c r="D63" s="512">
        <f t="shared" si="0"/>
        <v>-0.72551130247578044</v>
      </c>
      <c r="E63" s="27">
        <f>整車!G63</f>
        <v>1010897</v>
      </c>
      <c r="F63" s="88">
        <f>_xlfn.IFNA(VLOOKUP(A63,[1]出同!$C$3:$H$107,3,0),-[2]整車!$B$22)</f>
        <v>2394049</v>
      </c>
      <c r="G63" s="512">
        <f t="shared" si="1"/>
        <v>-0.57774590244393498</v>
      </c>
      <c r="H63" s="86">
        <f t="shared" si="5"/>
        <v>1982.150980392157</v>
      </c>
      <c r="I63" s="87">
        <f t="shared" si="6"/>
        <v>1288.5086114101184</v>
      </c>
      <c r="J63" s="512">
        <f t="shared" si="4"/>
        <v>0.53832963384150767</v>
      </c>
    </row>
    <row r="64" spans="1:10">
      <c r="A64" s="455" t="s">
        <v>29</v>
      </c>
      <c r="B64" s="27">
        <f>整車!E64</f>
        <v>2792</v>
      </c>
      <c r="C64" s="88">
        <f>_xlfn.IFNA(VLOOKUP(A64,[1]出同!$C$3:$H$107,5,0),-[2]整車!$B$22)</f>
        <v>4998</v>
      </c>
      <c r="D64" s="512">
        <f t="shared" si="0"/>
        <v>-0.44137655062024811</v>
      </c>
      <c r="E64" s="27">
        <f>整車!G64</f>
        <v>5261957</v>
      </c>
      <c r="F64" s="88">
        <f>_xlfn.IFNA(VLOOKUP(A64,[1]出同!$C$3:$H$107,3,0),-[2]整車!$B$22)</f>
        <v>7812749</v>
      </c>
      <c r="G64" s="512">
        <f t="shared" si="1"/>
        <v>-0.3264909700798016</v>
      </c>
      <c r="H64" s="86">
        <f t="shared" si="5"/>
        <v>1884.6550859598854</v>
      </c>
      <c r="I64" s="87">
        <f t="shared" si="6"/>
        <v>1563.1750700280113</v>
      </c>
      <c r="J64" s="512">
        <f t="shared" si="4"/>
        <v>0.20565835656918025</v>
      </c>
    </row>
    <row r="65" spans="1:10">
      <c r="A65" s="296" t="s">
        <v>232</v>
      </c>
      <c r="B65" s="27">
        <f>整車!E65</f>
        <v>2204</v>
      </c>
      <c r="C65" s="88">
        <f>_xlfn.IFNA(VLOOKUP(A65,[1]出同!$C$3:$H$107,5,0),-[2]整車!$B$22)</f>
        <v>4724</v>
      </c>
      <c r="D65" s="512">
        <f t="shared" si="0"/>
        <v>-0.53344623200677388</v>
      </c>
      <c r="E65" s="27">
        <f>整車!G65</f>
        <v>2651943</v>
      </c>
      <c r="F65" s="88">
        <f>_xlfn.IFNA(VLOOKUP(A65,[1]出同!$C$3:$H$107,3,0),-[2]整車!$B$22)</f>
        <v>5979691</v>
      </c>
      <c r="G65" s="512">
        <f t="shared" si="1"/>
        <v>-0.55650835469591986</v>
      </c>
      <c r="H65" s="86">
        <f t="shared" si="5"/>
        <v>1203.2409255898367</v>
      </c>
      <c r="I65" s="87">
        <f t="shared" si="6"/>
        <v>1265.8109652836579</v>
      </c>
      <c r="J65" s="512">
        <f t="shared" si="4"/>
        <v>-4.9430792914485253E-2</v>
      </c>
    </row>
    <row r="66" spans="1:10">
      <c r="A66" s="30" t="s">
        <v>30</v>
      </c>
      <c r="B66" s="27">
        <f>B67-B47-B41-B12-B7</f>
        <v>29114</v>
      </c>
      <c r="C66" s="89">
        <f>C67-C47-C41-C12-C7</f>
        <v>42477</v>
      </c>
      <c r="D66" s="512">
        <f t="shared" si="0"/>
        <v>-0.31459378016338252</v>
      </c>
      <c r="E66" s="27">
        <f>E67-E47-E41-E12-E7</f>
        <v>39922892</v>
      </c>
      <c r="F66" s="89">
        <f>F67-F47-F41-F12-F7</f>
        <v>50060307</v>
      </c>
      <c r="G66" s="512">
        <f t="shared" si="1"/>
        <v>-0.20250405176300657</v>
      </c>
      <c r="H66" s="86">
        <f t="shared" si="5"/>
        <v>1371.2609741018066</v>
      </c>
      <c r="I66" s="87">
        <f t="shared" si="6"/>
        <v>1178.5273677519599</v>
      </c>
      <c r="J66" s="512">
        <f t="shared" si="4"/>
        <v>0.16353765862687256</v>
      </c>
    </row>
    <row r="67" spans="1:10">
      <c r="A67" s="32" t="s">
        <v>403</v>
      </c>
      <c r="B67" s="33">
        <f>整車!E67</f>
        <v>1323882</v>
      </c>
      <c r="C67" s="88">
        <f>VLOOKUP(A67,[1]出同!$B$2:$H$2,6,0)</f>
        <v>1952601</v>
      </c>
      <c r="D67" s="512">
        <f t="shared" si="0"/>
        <v>-0.32199051419107128</v>
      </c>
      <c r="E67" s="33">
        <f>整車!G67</f>
        <v>1383735614</v>
      </c>
      <c r="F67" s="88">
        <f>VLOOKUP(A67,[1]出同!$B$2:$H$2,4,0)</f>
        <v>1617656445</v>
      </c>
      <c r="G67" s="512">
        <f t="shared" si="1"/>
        <v>-0.14460476556874843</v>
      </c>
      <c r="H67" s="86">
        <f t="shared" ref="H67:I67" si="7">E67/B67</f>
        <v>1045.2106864509074</v>
      </c>
      <c r="I67" s="87">
        <f t="shared" si="7"/>
        <v>828.46236635134369</v>
      </c>
      <c r="J67" s="512">
        <f t="shared" si="4"/>
        <v>0.26162723728073678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3"/>
      <c r="J68" s="94"/>
    </row>
    <row r="69" spans="1:10">
      <c r="A69" s="100" t="s">
        <v>438</v>
      </c>
      <c r="B69" s="101"/>
      <c r="C69" s="102"/>
      <c r="D69" s="103"/>
      <c r="E69" s="101"/>
      <c r="F69" s="102"/>
      <c r="G69" s="104"/>
      <c r="H69" s="93"/>
      <c r="I69" s="93"/>
      <c r="J69" s="94"/>
    </row>
    <row r="70" spans="1:10">
      <c r="A70" s="69" t="s">
        <v>471</v>
      </c>
      <c r="B70" s="8" t="s">
        <v>424</v>
      </c>
      <c r="C70" s="70" t="s">
        <v>425</v>
      </c>
      <c r="D70" s="71" t="s">
        <v>159</v>
      </c>
      <c r="E70" s="8" t="s">
        <v>424</v>
      </c>
      <c r="F70" s="70" t="s">
        <v>425</v>
      </c>
      <c r="G70" s="73" t="s">
        <v>160</v>
      </c>
      <c r="H70" s="8" t="s">
        <v>424</v>
      </c>
      <c r="I70" s="70" t="s">
        <v>425</v>
      </c>
      <c r="J70" s="74" t="s">
        <v>37</v>
      </c>
    </row>
    <row r="71" spans="1:10">
      <c r="A71" s="45"/>
      <c r="B71" s="105" t="s">
        <v>33</v>
      </c>
      <c r="C71" s="106" t="s">
        <v>33</v>
      </c>
      <c r="D71" s="450" t="s">
        <v>2</v>
      </c>
      <c r="E71" s="47" t="s">
        <v>34</v>
      </c>
      <c r="F71" s="106" t="s">
        <v>34</v>
      </c>
      <c r="G71" s="451" t="s">
        <v>2</v>
      </c>
      <c r="H71" s="77" t="s">
        <v>35</v>
      </c>
      <c r="I71" s="78" t="s">
        <v>111</v>
      </c>
      <c r="J71" s="450" t="s">
        <v>2</v>
      </c>
    </row>
    <row r="72" spans="1:10">
      <c r="A72" s="32" t="s">
        <v>31</v>
      </c>
      <c r="B72" s="33">
        <f>整車!E72</f>
        <v>32166</v>
      </c>
      <c r="C72" s="88">
        <v>48855</v>
      </c>
      <c r="D72" s="85">
        <f>(B72-C72)/C72</f>
        <v>-0.34160270187288916</v>
      </c>
      <c r="E72" s="33">
        <f>整車!G72</f>
        <v>12171698</v>
      </c>
      <c r="F72" s="88">
        <v>19361425</v>
      </c>
      <c r="G72" s="92">
        <f>(E72-F72)/F72</f>
        <v>-0.3713428634514247</v>
      </c>
      <c r="H72" s="86">
        <f>E72/B72</f>
        <v>378.40259901759623</v>
      </c>
      <c r="I72" s="521">
        <f>F72/C72</f>
        <v>396.30385835636065</v>
      </c>
      <c r="J72" s="91">
        <f>(H72-I72)/I72</f>
        <v>-4.5170540133039574E-2</v>
      </c>
    </row>
    <row r="73" spans="1:10">
      <c r="A73" s="107"/>
      <c r="B73" s="108"/>
      <c r="C73" s="10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3" t="s">
        <v>32</v>
      </c>
      <c r="B74" s="13"/>
      <c r="C74" s="58"/>
      <c r="D74" s="59"/>
      <c r="E74" s="13"/>
      <c r="F74" s="58"/>
      <c r="G74" s="59"/>
      <c r="H74" s="5"/>
      <c r="I74" s="5"/>
      <c r="J74" s="5"/>
    </row>
  </sheetData>
  <phoneticPr fontId="3" type="noConversion"/>
  <conditionalFormatting sqref="D1:D4 J6:J70 D72:D1048576">
    <cfRule type="cellIs" dxfId="92" priority="9" operator="greaterThanOrEqual">
      <formula>0</formula>
    </cfRule>
    <cfRule type="cellIs" dxfId="91" priority="10" operator="lessThan">
      <formula>0</formula>
    </cfRule>
  </conditionalFormatting>
  <conditionalFormatting sqref="D6:D70">
    <cfRule type="cellIs" dxfId="90" priority="3" operator="greaterThanOrEqual">
      <formula>0</formula>
    </cfRule>
    <cfRule type="cellIs" dxfId="89" priority="4" operator="lessThan">
      <formula>0</formula>
    </cfRule>
  </conditionalFormatting>
  <conditionalFormatting sqref="G1:G4 G72:G1048576">
    <cfRule type="cellIs" dxfId="88" priority="7" operator="greaterThanOrEqual">
      <formula>0</formula>
    </cfRule>
    <cfRule type="cellIs" dxfId="87" priority="8" operator="lessThan">
      <formula>0</formula>
    </cfRule>
  </conditionalFormatting>
  <conditionalFormatting sqref="G6:G70">
    <cfRule type="cellIs" dxfId="86" priority="1" operator="greaterThanOrEqual">
      <formula>0</formula>
    </cfRule>
    <cfRule type="cellIs" dxfId="85" priority="2" operator="lessThan">
      <formula>0</formula>
    </cfRule>
  </conditionalFormatting>
  <conditionalFormatting sqref="J1:J3 J72:J1048576">
    <cfRule type="cellIs" dxfId="84" priority="5" operator="greaterThanOrEqual">
      <formula>0</formula>
    </cfRule>
    <cfRule type="cellIs" dxfId="83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8" customWidth="1"/>
    <col min="5" max="5" width="15.625" style="5" customWidth="1"/>
    <col min="6" max="6" width="15.125" style="58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9" t="s">
        <v>473</v>
      </c>
      <c r="B1" s="128"/>
      <c r="C1" s="129"/>
      <c r="D1" s="130"/>
      <c r="E1" s="128"/>
      <c r="F1" s="129"/>
      <c r="G1" s="130"/>
    </row>
    <row r="3" spans="1:7" s="121" customFormat="1">
      <c r="A3" s="131" t="s">
        <v>415</v>
      </c>
      <c r="B3" s="132"/>
      <c r="C3" s="133"/>
      <c r="D3" s="134"/>
      <c r="E3" s="132"/>
      <c r="F3" s="135"/>
      <c r="G3" s="136"/>
    </row>
    <row r="4" spans="1:7">
      <c r="A4" s="137" t="s">
        <v>460</v>
      </c>
      <c r="B4" s="67"/>
      <c r="C4" s="138"/>
      <c r="D4" s="139"/>
      <c r="E4" s="67"/>
      <c r="F4" s="140"/>
      <c r="G4" s="141"/>
    </row>
    <row r="5" spans="1:7">
      <c r="A5" s="558" t="s">
        <v>52</v>
      </c>
      <c r="B5" s="142" t="s">
        <v>53</v>
      </c>
      <c r="C5" s="143"/>
      <c r="D5" s="144"/>
      <c r="E5" s="145" t="s">
        <v>54</v>
      </c>
      <c r="F5" s="143"/>
      <c r="G5" s="144"/>
    </row>
    <row r="6" spans="1:7">
      <c r="A6" s="559"/>
      <c r="B6" s="30" t="s">
        <v>436</v>
      </c>
      <c r="C6" s="146" t="s">
        <v>437</v>
      </c>
      <c r="D6" s="147" t="s">
        <v>416</v>
      </c>
      <c r="E6" s="30" t="s">
        <v>436</v>
      </c>
      <c r="F6" s="146" t="s">
        <v>437</v>
      </c>
      <c r="G6" s="147" t="s">
        <v>416</v>
      </c>
    </row>
    <row r="7" spans="1:7">
      <c r="A7" s="31">
        <v>1</v>
      </c>
      <c r="B7" s="379">
        <v>162493</v>
      </c>
      <c r="C7" s="385">
        <v>156750</v>
      </c>
      <c r="D7" s="492">
        <f>IFERROR((B7-C7)/C7,0)</f>
        <v>3.6637958532695372E-2</v>
      </c>
      <c r="E7" s="493">
        <v>151997099</v>
      </c>
      <c r="F7" s="385">
        <v>110756298</v>
      </c>
      <c r="G7" s="492">
        <f>IFERROR((E7-F7)/F7,0)</f>
        <v>0.37235626095050595</v>
      </c>
    </row>
    <row r="8" spans="1:7">
      <c r="A8" s="31">
        <v>2</v>
      </c>
      <c r="B8" s="379">
        <v>115013</v>
      </c>
      <c r="C8" s="385">
        <v>182722</v>
      </c>
      <c r="D8" s="492">
        <f>IFERROR((B8-C8)/C8,0)</f>
        <v>-0.37055745887194758</v>
      </c>
      <c r="E8" s="493">
        <v>109496132</v>
      </c>
      <c r="F8" s="385">
        <v>126655157</v>
      </c>
      <c r="G8" s="492">
        <f t="shared" ref="G8:G18" si="0">IFERROR((E8-F8)/F8,0)</f>
        <v>-0.1354782971845355</v>
      </c>
    </row>
    <row r="9" spans="1:7">
      <c r="A9" s="31">
        <v>3</v>
      </c>
      <c r="B9" s="379">
        <v>134607</v>
      </c>
      <c r="C9" s="385">
        <v>181306</v>
      </c>
      <c r="D9" s="492">
        <f t="shared" ref="D9:D18" si="1">IFERROR((B9-C9)/C9,0)</f>
        <v>-0.25757007490099609</v>
      </c>
      <c r="E9" s="493">
        <v>122131450</v>
      </c>
      <c r="F9" s="385">
        <v>132191658</v>
      </c>
      <c r="G9" s="492">
        <f t="shared" si="0"/>
        <v>-7.6103198584588444E-2</v>
      </c>
    </row>
    <row r="10" spans="1:7">
      <c r="A10" s="31">
        <v>4</v>
      </c>
      <c r="B10" s="383">
        <v>133349</v>
      </c>
      <c r="C10" s="382">
        <v>153555</v>
      </c>
      <c r="D10" s="492">
        <f t="shared" si="1"/>
        <v>-0.13158803034743252</v>
      </c>
      <c r="E10" s="493">
        <v>126190344</v>
      </c>
      <c r="F10" s="382">
        <v>112165448</v>
      </c>
      <c r="G10" s="492">
        <f t="shared" si="0"/>
        <v>0.1250375784171967</v>
      </c>
    </row>
    <row r="11" spans="1:7">
      <c r="A11" s="31">
        <v>5</v>
      </c>
      <c r="B11" s="379">
        <v>130700</v>
      </c>
      <c r="C11" s="385">
        <v>160369</v>
      </c>
      <c r="D11" s="492">
        <f t="shared" si="1"/>
        <v>-0.18500458318004104</v>
      </c>
      <c r="E11" s="493">
        <v>124913855</v>
      </c>
      <c r="F11" s="385">
        <v>123108958</v>
      </c>
      <c r="G11" s="492">
        <f t="shared" si="0"/>
        <v>1.4660972112199992E-2</v>
      </c>
    </row>
    <row r="12" spans="1:7">
      <c r="A12" s="31">
        <v>6</v>
      </c>
      <c r="B12" s="379">
        <v>105847</v>
      </c>
      <c r="C12" s="385">
        <v>130624</v>
      </c>
      <c r="D12" s="492">
        <f t="shared" si="1"/>
        <v>-0.18968183488486037</v>
      </c>
      <c r="E12" s="493">
        <v>117464564</v>
      </c>
      <c r="F12" s="385">
        <v>102593572</v>
      </c>
      <c r="G12" s="492">
        <f t="shared" si="0"/>
        <v>0.14495052380084789</v>
      </c>
    </row>
    <row r="13" spans="1:7">
      <c r="A13" s="31">
        <v>7</v>
      </c>
      <c r="B13" s="379">
        <v>104885</v>
      </c>
      <c r="C13" s="385">
        <v>168045</v>
      </c>
      <c r="D13" s="492">
        <f t="shared" si="1"/>
        <v>-0.37585170638816984</v>
      </c>
      <c r="E13" s="493">
        <v>119683695</v>
      </c>
      <c r="F13" s="385">
        <v>147431792</v>
      </c>
      <c r="G13" s="492">
        <f t="shared" si="0"/>
        <v>-0.18820972480616663</v>
      </c>
    </row>
    <row r="14" spans="1:7">
      <c r="A14" s="31">
        <v>8</v>
      </c>
      <c r="B14" s="379">
        <v>110278</v>
      </c>
      <c r="C14" s="385">
        <v>172476</v>
      </c>
      <c r="D14" s="492">
        <f t="shared" si="1"/>
        <v>-0.36061828892135717</v>
      </c>
      <c r="E14" s="493">
        <v>131898544</v>
      </c>
      <c r="F14" s="385">
        <v>148755369</v>
      </c>
      <c r="G14" s="492">
        <f t="shared" si="0"/>
        <v>-0.1133191031242711</v>
      </c>
    </row>
    <row r="15" spans="1:7">
      <c r="A15" s="31">
        <v>9</v>
      </c>
      <c r="B15" s="27">
        <v>92961</v>
      </c>
      <c r="C15" s="89">
        <v>161525</v>
      </c>
      <c r="D15" s="492">
        <f t="shared" si="1"/>
        <v>-0.42447918278904195</v>
      </c>
      <c r="E15" s="493">
        <v>107794928</v>
      </c>
      <c r="F15" s="89">
        <v>150331127</v>
      </c>
      <c r="G15" s="492">
        <f t="shared" si="0"/>
        <v>-0.2829500440051913</v>
      </c>
    </row>
    <row r="16" spans="1:7">
      <c r="A16" s="31">
        <v>10</v>
      </c>
      <c r="B16" s="27">
        <v>82311</v>
      </c>
      <c r="C16" s="89">
        <v>179556</v>
      </c>
      <c r="D16" s="492">
        <f t="shared" si="1"/>
        <v>-0.54158591191605965</v>
      </c>
      <c r="E16" s="493">
        <v>89508196</v>
      </c>
      <c r="F16" s="89">
        <v>158797929</v>
      </c>
      <c r="G16" s="492">
        <f t="shared" si="0"/>
        <v>-0.43633902177653716</v>
      </c>
    </row>
    <row r="17" spans="1:7">
      <c r="A17" s="31">
        <v>11</v>
      </c>
      <c r="B17" s="27">
        <v>77309</v>
      </c>
      <c r="C17" s="89">
        <v>170162</v>
      </c>
      <c r="D17" s="492">
        <f t="shared" si="1"/>
        <v>-0.54567412230697809</v>
      </c>
      <c r="E17" s="493">
        <v>91145450</v>
      </c>
      <c r="F17" s="89">
        <v>165962802</v>
      </c>
      <c r="G17" s="492">
        <f t="shared" si="0"/>
        <v>-0.45080795876174712</v>
      </c>
    </row>
    <row r="18" spans="1:7">
      <c r="A18" s="31">
        <v>12</v>
      </c>
      <c r="B18" s="27">
        <v>74129</v>
      </c>
      <c r="C18" s="89">
        <v>135511</v>
      </c>
      <c r="D18" s="492">
        <f t="shared" si="1"/>
        <v>-0.45296691781478993</v>
      </c>
      <c r="E18" s="493">
        <v>91492950</v>
      </c>
      <c r="F18" s="89">
        <v>138906335</v>
      </c>
      <c r="G18" s="492">
        <f t="shared" si="0"/>
        <v>-0.34133349641684807</v>
      </c>
    </row>
    <row r="19" spans="1:7" s="114" customFormat="1">
      <c r="A19" s="32" t="s">
        <v>51</v>
      </c>
      <c r="B19" s="33">
        <f>SUM(B7:B18)</f>
        <v>1323882</v>
      </c>
      <c r="C19" s="89">
        <f>SUM(C7:C18)</f>
        <v>1952601</v>
      </c>
      <c r="D19" s="492">
        <f>(B19-C19)/C19</f>
        <v>-0.32199051419107128</v>
      </c>
      <c r="E19" s="33">
        <f>SUM(E7:E18)</f>
        <v>1383717207</v>
      </c>
      <c r="F19" s="89">
        <f>SUM(F7:F18)</f>
        <v>1617656445</v>
      </c>
      <c r="G19" s="553">
        <f>(E19-F19)/F19</f>
        <v>-0.14461614437545173</v>
      </c>
    </row>
    <row r="20" spans="1:7" s="114" customFormat="1">
      <c r="A20" s="38"/>
      <c r="B20" s="39"/>
      <c r="C20" s="494"/>
      <c r="D20" s="148"/>
      <c r="E20" s="39"/>
      <c r="F20" s="494"/>
      <c r="G20" s="148"/>
    </row>
    <row r="21" spans="1:7" ht="19.5">
      <c r="A21" s="1" t="s">
        <v>472</v>
      </c>
      <c r="B21" s="128"/>
      <c r="C21" s="129"/>
      <c r="D21" s="130"/>
      <c r="E21" s="128"/>
      <c r="F21" s="129"/>
      <c r="G21" s="130"/>
    </row>
    <row r="22" spans="1:7">
      <c r="B22" s="96"/>
      <c r="C22" s="149"/>
      <c r="D22" s="150"/>
      <c r="E22" s="96"/>
      <c r="F22" s="149"/>
      <c r="G22" s="150"/>
    </row>
    <row r="23" spans="1:7" s="121" customFormat="1">
      <c r="A23" s="151" t="s">
        <v>417</v>
      </c>
      <c r="B23" s="152"/>
      <c r="C23" s="153"/>
      <c r="D23" s="154"/>
      <c r="E23" s="152"/>
      <c r="F23" s="155"/>
      <c r="G23" s="156"/>
    </row>
    <row r="24" spans="1:7">
      <c r="A24" s="137" t="s">
        <v>461</v>
      </c>
      <c r="B24" s="157"/>
      <c r="C24" s="158"/>
      <c r="D24" s="159"/>
      <c r="E24" s="157"/>
      <c r="F24" s="160"/>
      <c r="G24" s="161"/>
    </row>
    <row r="25" spans="1:7">
      <c r="A25" s="558" t="s">
        <v>52</v>
      </c>
      <c r="B25" s="162" t="s">
        <v>53</v>
      </c>
      <c r="C25" s="163"/>
      <c r="D25" s="164"/>
      <c r="E25" s="165" t="s">
        <v>54</v>
      </c>
      <c r="F25" s="163"/>
      <c r="G25" s="164"/>
    </row>
    <row r="26" spans="1:7">
      <c r="A26" s="559"/>
      <c r="B26" s="30" t="s">
        <v>436</v>
      </c>
      <c r="C26" s="146" t="s">
        <v>437</v>
      </c>
      <c r="D26" s="147" t="s">
        <v>416</v>
      </c>
      <c r="E26" s="30" t="s">
        <v>436</v>
      </c>
      <c r="F26" s="146" t="s">
        <v>437</v>
      </c>
      <c r="G26" s="147" t="s">
        <v>416</v>
      </c>
    </row>
    <row r="27" spans="1:7">
      <c r="A27" s="31">
        <v>1</v>
      </c>
      <c r="B27" s="495">
        <v>1565</v>
      </c>
      <c r="C27" s="385">
        <v>7451</v>
      </c>
      <c r="D27" s="492">
        <f>IFERROR((B27-C27)/C27,0)</f>
        <v>-0.78996107904979196</v>
      </c>
      <c r="E27" s="493">
        <v>764739</v>
      </c>
      <c r="F27" s="385">
        <v>1940085</v>
      </c>
      <c r="G27" s="492">
        <f>IFERROR((E27-F27)/F27,0)</f>
        <v>-0.60582190986477391</v>
      </c>
    </row>
    <row r="28" spans="1:7">
      <c r="A28" s="31">
        <v>2</v>
      </c>
      <c r="B28" s="495">
        <v>1930</v>
      </c>
      <c r="C28" s="385">
        <v>2436</v>
      </c>
      <c r="D28" s="492">
        <f>IFERROR((B28-C28)/C28,0)</f>
        <v>-0.2077175697865353</v>
      </c>
      <c r="E28" s="27">
        <v>1217458</v>
      </c>
      <c r="F28" s="385">
        <v>837495</v>
      </c>
      <c r="G28" s="492">
        <f t="shared" ref="G28:G39" si="2">IFERROR((E28-F28)/F28,0)</f>
        <v>0.45368987277535983</v>
      </c>
    </row>
    <row r="29" spans="1:7">
      <c r="A29" s="31">
        <v>3</v>
      </c>
      <c r="B29" s="495">
        <v>3134</v>
      </c>
      <c r="C29" s="385">
        <v>2801</v>
      </c>
      <c r="D29" s="492">
        <f t="shared" ref="D29:D39" si="3">IFERROR((B29-C29)/C29,0)</f>
        <v>0.11888611210282042</v>
      </c>
      <c r="E29" s="493">
        <v>1286924</v>
      </c>
      <c r="F29" s="385">
        <v>1797048</v>
      </c>
      <c r="G29" s="492">
        <f t="shared" si="2"/>
        <v>-0.28386776535740837</v>
      </c>
    </row>
    <row r="30" spans="1:7">
      <c r="A30" s="31">
        <v>4</v>
      </c>
      <c r="B30" s="495">
        <v>4931</v>
      </c>
      <c r="C30" s="496">
        <v>2583</v>
      </c>
      <c r="D30" s="492">
        <f t="shared" si="3"/>
        <v>0.90902051877661638</v>
      </c>
      <c r="E30" s="384">
        <v>1618535</v>
      </c>
      <c r="F30" s="382">
        <v>1203258</v>
      </c>
      <c r="G30" s="492">
        <f t="shared" si="2"/>
        <v>0.34512714646401688</v>
      </c>
    </row>
    <row r="31" spans="1:7">
      <c r="A31" s="31">
        <v>5</v>
      </c>
      <c r="B31" s="495">
        <v>5530</v>
      </c>
      <c r="C31" s="385">
        <v>4746</v>
      </c>
      <c r="D31" s="492">
        <f t="shared" si="3"/>
        <v>0.16519174041297935</v>
      </c>
      <c r="E31" s="493">
        <v>2047150</v>
      </c>
      <c r="F31" s="385">
        <v>1612117</v>
      </c>
      <c r="G31" s="492">
        <f t="shared" si="2"/>
        <v>0.26985200205692267</v>
      </c>
    </row>
    <row r="32" spans="1:7">
      <c r="A32" s="31">
        <v>6</v>
      </c>
      <c r="B32" s="495">
        <v>2471</v>
      </c>
      <c r="C32" s="385">
        <v>5142</v>
      </c>
      <c r="D32" s="492">
        <f t="shared" si="3"/>
        <v>-0.51944768572539868</v>
      </c>
      <c r="E32" s="493">
        <v>1171692</v>
      </c>
      <c r="F32" s="385">
        <v>1685222</v>
      </c>
      <c r="G32" s="492">
        <f t="shared" si="2"/>
        <v>-0.30472543083344511</v>
      </c>
    </row>
    <row r="33" spans="1:12">
      <c r="A33" s="31">
        <v>7</v>
      </c>
      <c r="B33" s="495">
        <v>2849</v>
      </c>
      <c r="C33" s="385">
        <v>4426</v>
      </c>
      <c r="D33" s="492">
        <f t="shared" si="3"/>
        <v>-0.3563036601897876</v>
      </c>
      <c r="E33" s="493">
        <v>726920</v>
      </c>
      <c r="F33" s="385">
        <v>1937710</v>
      </c>
      <c r="G33" s="492">
        <f t="shared" si="2"/>
        <v>-0.62485614462432459</v>
      </c>
    </row>
    <row r="34" spans="1:12">
      <c r="A34" s="31">
        <v>8</v>
      </c>
      <c r="B34" s="495">
        <v>2069</v>
      </c>
      <c r="C34" s="385">
        <v>3683</v>
      </c>
      <c r="D34" s="492">
        <f t="shared" si="3"/>
        <v>-0.43822970404561501</v>
      </c>
      <c r="E34" s="493">
        <v>778476</v>
      </c>
      <c r="F34" s="385">
        <v>1642710</v>
      </c>
      <c r="G34" s="492">
        <f t="shared" si="2"/>
        <v>-0.52610259875449716</v>
      </c>
    </row>
    <row r="35" spans="1:12">
      <c r="A35" s="31">
        <v>9</v>
      </c>
      <c r="B35" s="497">
        <v>1907</v>
      </c>
      <c r="C35" s="89">
        <v>3101</v>
      </c>
      <c r="D35" s="492">
        <f t="shared" si="3"/>
        <v>-0.38503708481135118</v>
      </c>
      <c r="E35" s="27">
        <v>737123</v>
      </c>
      <c r="F35" s="89">
        <v>1603776</v>
      </c>
      <c r="G35" s="492">
        <f t="shared" si="2"/>
        <v>-0.54038282154116291</v>
      </c>
    </row>
    <row r="36" spans="1:12">
      <c r="A36" s="31">
        <v>10</v>
      </c>
      <c r="B36" s="497">
        <v>2024</v>
      </c>
      <c r="C36" s="89">
        <v>4994</v>
      </c>
      <c r="D36" s="492">
        <f t="shared" si="3"/>
        <v>-0.59471365638766516</v>
      </c>
      <c r="E36" s="27">
        <v>477901</v>
      </c>
      <c r="F36" s="89">
        <v>2269587</v>
      </c>
      <c r="G36" s="492">
        <f t="shared" si="2"/>
        <v>-0.78943261483256644</v>
      </c>
    </row>
    <row r="37" spans="1:12">
      <c r="A37" s="31">
        <v>11</v>
      </c>
      <c r="B37" s="497">
        <v>1703</v>
      </c>
      <c r="C37" s="89">
        <v>4224</v>
      </c>
      <c r="D37" s="492">
        <f t="shared" si="3"/>
        <v>-0.59682765151515149</v>
      </c>
      <c r="E37" s="27">
        <v>618451</v>
      </c>
      <c r="F37" s="89">
        <v>1536431</v>
      </c>
      <c r="G37" s="492">
        <f t="shared" si="2"/>
        <v>-0.59747557814181051</v>
      </c>
      <c r="I37" s="489"/>
      <c r="J37" s="489"/>
      <c r="K37" s="489"/>
      <c r="L37" s="489"/>
    </row>
    <row r="38" spans="1:12">
      <c r="A38" s="31">
        <v>12</v>
      </c>
      <c r="B38" s="27">
        <v>2053</v>
      </c>
      <c r="C38" s="89">
        <v>3268</v>
      </c>
      <c r="D38" s="492">
        <f t="shared" si="3"/>
        <v>-0.37178702570379435</v>
      </c>
      <c r="E38" s="27">
        <v>726329</v>
      </c>
      <c r="F38" s="89">
        <v>1295986</v>
      </c>
      <c r="G38" s="492">
        <f t="shared" si="2"/>
        <v>-0.43955490259925645</v>
      </c>
      <c r="I38" s="489"/>
      <c r="J38" s="489"/>
      <c r="K38" s="489"/>
      <c r="L38" s="489"/>
    </row>
    <row r="39" spans="1:12" s="114" customFormat="1">
      <c r="A39" s="32" t="s">
        <v>51</v>
      </c>
      <c r="B39" s="33">
        <f>SUM(B27:B38)</f>
        <v>32166</v>
      </c>
      <c r="C39" s="89">
        <f>SUM(C27:C38)</f>
        <v>48855</v>
      </c>
      <c r="D39" s="492">
        <f t="shared" si="3"/>
        <v>-0.34160270187288916</v>
      </c>
      <c r="E39" s="33">
        <f>SUM(E27:E38)</f>
        <v>12171698</v>
      </c>
      <c r="F39" s="89">
        <f>SUM(F27:F38)</f>
        <v>19361425</v>
      </c>
      <c r="G39" s="492">
        <f t="shared" si="2"/>
        <v>-0.3713428634514247</v>
      </c>
    </row>
    <row r="40" spans="1:12" s="114" customFormat="1">
      <c r="A40" s="38"/>
      <c r="B40" s="39"/>
      <c r="C40" s="494"/>
      <c r="D40" s="148"/>
      <c r="E40" s="39"/>
      <c r="F40" s="494"/>
      <c r="G40" s="166"/>
    </row>
    <row r="41" spans="1:12" s="13" customFormat="1">
      <c r="A41" s="54" t="s">
        <v>418</v>
      </c>
      <c r="C41" s="167"/>
      <c r="D41" s="168"/>
      <c r="F41" s="167"/>
      <c r="G41" s="168"/>
    </row>
  </sheetData>
  <mergeCells count="2">
    <mergeCell ref="A5:A6"/>
    <mergeCell ref="A25:A26"/>
  </mergeCells>
  <phoneticPr fontId="3" type="noConversion"/>
  <conditionalFormatting sqref="B7:C9">
    <cfRule type="cellIs" dxfId="82" priority="21" operator="lessThan">
      <formula>0</formula>
    </cfRule>
  </conditionalFormatting>
  <conditionalFormatting sqref="B11:C14">
    <cfRule type="cellIs" dxfId="81" priority="9" operator="lessThan">
      <formula>0</formula>
    </cfRule>
  </conditionalFormatting>
  <conditionalFormatting sqref="B27:C29 B30">
    <cfRule type="cellIs" dxfId="80" priority="18" operator="lessThan">
      <formula>0</formula>
    </cfRule>
    <cfRule type="cellIs" dxfId="79" priority="19" operator="lessThan">
      <formula>0</formula>
    </cfRule>
  </conditionalFormatting>
  <conditionalFormatting sqref="B31:C34">
    <cfRule type="cellIs" dxfId="78" priority="6" operator="lessThan">
      <formula>0</formula>
    </cfRule>
    <cfRule type="cellIs" dxfId="77" priority="7" operator="lessThan">
      <formula>0</formula>
    </cfRule>
  </conditionalFormatting>
  <conditionalFormatting sqref="E10">
    <cfRule type="cellIs" dxfId="76" priority="10" operator="lessThan">
      <formula>0</formula>
    </cfRule>
  </conditionalFormatting>
  <conditionalFormatting sqref="E14:E18">
    <cfRule type="cellIs" dxfId="75" priority="1" operator="lessThan">
      <formula>0</formula>
    </cfRule>
  </conditionalFormatting>
  <conditionalFormatting sqref="E7:F9 F14">
    <cfRule type="cellIs" dxfId="74" priority="20" operator="lessThan">
      <formula>0</formula>
    </cfRule>
  </conditionalFormatting>
  <conditionalFormatting sqref="E11:F13">
    <cfRule type="cellIs" dxfId="73" priority="8" operator="lessThan">
      <formula>0</formula>
    </cfRule>
  </conditionalFormatting>
  <conditionalFormatting sqref="E27:F29">
    <cfRule type="cellIs" dxfId="72" priority="16" operator="lessThan">
      <formula>0</formula>
    </cfRule>
    <cfRule type="cellIs" dxfId="71" priority="17" operator="lessThan">
      <formula>0</formula>
    </cfRule>
  </conditionalFormatting>
  <conditionalFormatting sqref="E31:F34">
    <cfRule type="cellIs" dxfId="70" priority="2" operator="lessThan">
      <formula>0</formula>
    </cfRule>
    <cfRule type="cellIs" dxfId="69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90" t="s">
        <v>152</v>
      </c>
      <c r="B1" s="391"/>
      <c r="C1" s="391"/>
      <c r="D1" s="391"/>
      <c r="E1" s="391"/>
      <c r="F1" s="391"/>
      <c r="G1" s="391"/>
      <c r="H1" s="391"/>
      <c r="I1" s="391"/>
      <c r="J1" s="392"/>
      <c r="K1" s="393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</row>
    <row r="2" spans="1:27">
      <c r="A2" s="394" t="s">
        <v>233</v>
      </c>
      <c r="B2" s="391"/>
      <c r="C2" s="391"/>
      <c r="D2" s="391"/>
      <c r="E2" s="391"/>
      <c r="F2" s="391"/>
      <c r="G2" s="391"/>
      <c r="H2" s="391"/>
      <c r="I2" s="391"/>
      <c r="J2" s="392"/>
      <c r="K2" s="393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</row>
    <row r="3" spans="1:27">
      <c r="A3" s="395" t="s">
        <v>121</v>
      </c>
      <c r="B3" s="391"/>
      <c r="C3" s="391"/>
      <c r="D3" s="391"/>
      <c r="E3" s="391"/>
      <c r="F3" s="391"/>
      <c r="G3" s="391"/>
      <c r="H3" s="391"/>
      <c r="I3" s="391"/>
      <c r="J3" s="392"/>
      <c r="K3" s="393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</row>
    <row r="4" spans="1:27">
      <c r="A4" s="395" t="s">
        <v>122</v>
      </c>
      <c r="B4" s="391"/>
      <c r="C4" s="391"/>
      <c r="D4" s="391"/>
      <c r="E4" s="391"/>
      <c r="F4" s="391"/>
      <c r="G4" s="391"/>
      <c r="H4" s="391"/>
      <c r="I4" s="391"/>
      <c r="J4" s="392"/>
      <c r="K4" s="393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</row>
    <row r="5" spans="1:27">
      <c r="A5" s="396" t="s">
        <v>123</v>
      </c>
      <c r="B5" s="391"/>
      <c r="C5" s="391"/>
      <c r="D5" s="391"/>
      <c r="E5" s="391"/>
      <c r="F5" s="391"/>
      <c r="G5" s="391"/>
      <c r="H5" s="391"/>
      <c r="I5" s="391"/>
      <c r="J5" s="392"/>
      <c r="K5" s="393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</row>
    <row r="6" spans="1:27">
      <c r="A6" s="397"/>
      <c r="B6" s="398" t="s">
        <v>124</v>
      </c>
      <c r="C6" s="399"/>
      <c r="D6" s="398" t="s">
        <v>125</v>
      </c>
      <c r="E6" s="399"/>
      <c r="F6" s="398" t="s">
        <v>126</v>
      </c>
      <c r="G6" s="399"/>
      <c r="H6" s="398" t="s">
        <v>127</v>
      </c>
      <c r="I6" s="399"/>
      <c r="J6" s="400" t="s">
        <v>128</v>
      </c>
      <c r="K6" s="401"/>
      <c r="L6" s="398" t="s">
        <v>129</v>
      </c>
      <c r="M6" s="399"/>
      <c r="N6" s="398" t="s">
        <v>130</v>
      </c>
      <c r="O6" s="399"/>
      <c r="P6" s="398" t="s">
        <v>131</v>
      </c>
      <c r="Q6" s="399"/>
      <c r="R6" s="398" t="s">
        <v>132</v>
      </c>
      <c r="S6" s="399"/>
      <c r="T6" s="398" t="s">
        <v>133</v>
      </c>
      <c r="U6" s="399"/>
      <c r="V6" s="398" t="s">
        <v>134</v>
      </c>
      <c r="W6" s="399"/>
      <c r="X6" s="398" t="s">
        <v>135</v>
      </c>
      <c r="Y6" s="399"/>
      <c r="Z6" s="398" t="s">
        <v>107</v>
      </c>
      <c r="AA6" s="399"/>
    </row>
    <row r="7" spans="1:27">
      <c r="A7" s="402" t="s">
        <v>136</v>
      </c>
      <c r="B7" s="403" t="s">
        <v>137</v>
      </c>
      <c r="C7" s="403" t="s">
        <v>138</v>
      </c>
      <c r="D7" s="403" t="s">
        <v>139</v>
      </c>
      <c r="E7" s="403" t="s">
        <v>140</v>
      </c>
      <c r="F7" s="403" t="s">
        <v>139</v>
      </c>
      <c r="G7" s="403" t="s">
        <v>140</v>
      </c>
      <c r="H7" s="403" t="s">
        <v>139</v>
      </c>
      <c r="I7" s="403" t="s">
        <v>140</v>
      </c>
      <c r="J7" s="404" t="s">
        <v>139</v>
      </c>
      <c r="K7" s="405" t="s">
        <v>140</v>
      </c>
      <c r="L7" s="403" t="s">
        <v>139</v>
      </c>
      <c r="M7" s="403" t="s">
        <v>140</v>
      </c>
      <c r="N7" s="403" t="s">
        <v>139</v>
      </c>
      <c r="O7" s="403" t="s">
        <v>140</v>
      </c>
      <c r="P7" s="403" t="s">
        <v>139</v>
      </c>
      <c r="Q7" s="403" t="s">
        <v>140</v>
      </c>
      <c r="R7" s="403" t="s">
        <v>139</v>
      </c>
      <c r="S7" s="403" t="s">
        <v>140</v>
      </c>
      <c r="T7" s="403" t="s">
        <v>139</v>
      </c>
      <c r="U7" s="403" t="s">
        <v>140</v>
      </c>
      <c r="V7" s="403" t="s">
        <v>139</v>
      </c>
      <c r="W7" s="403" t="s">
        <v>140</v>
      </c>
      <c r="X7" s="403" t="s">
        <v>139</v>
      </c>
      <c r="Y7" s="403" t="s">
        <v>140</v>
      </c>
      <c r="Z7" s="403" t="s">
        <v>139</v>
      </c>
      <c r="AA7" s="403" t="s">
        <v>140</v>
      </c>
    </row>
    <row r="8" spans="1:27">
      <c r="A8" s="406"/>
      <c r="B8" s="407"/>
      <c r="C8" s="407"/>
      <c r="D8" s="407"/>
      <c r="E8" s="407"/>
      <c r="F8" s="407"/>
      <c r="G8" s="407"/>
      <c r="H8" s="407"/>
      <c r="I8" s="407"/>
      <c r="J8" s="408"/>
      <c r="K8" s="409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</row>
    <row r="9" spans="1:27">
      <c r="A9" s="410" t="s">
        <v>107</v>
      </c>
      <c r="B9" s="411">
        <f t="shared" ref="B9:Y9" si="0">B11+B36+B85+B97+B102+B136+B151+B189</f>
        <v>149387</v>
      </c>
      <c r="C9" s="411">
        <f t="shared" si="0"/>
        <v>83642274</v>
      </c>
      <c r="D9" s="411">
        <f t="shared" si="0"/>
        <v>134859</v>
      </c>
      <c r="E9" s="411">
        <f t="shared" si="0"/>
        <v>77838400</v>
      </c>
      <c r="F9" s="411">
        <f t="shared" si="0"/>
        <v>116197</v>
      </c>
      <c r="G9" s="411">
        <f t="shared" si="0"/>
        <v>70981672</v>
      </c>
      <c r="H9" s="411">
        <f>H11+H36+H85+H97+H102+H136+H151+H189</f>
        <v>96180</v>
      </c>
      <c r="I9" s="411">
        <f t="shared" si="0"/>
        <v>53927495</v>
      </c>
      <c r="J9" s="412">
        <f t="shared" si="0"/>
        <v>135293</v>
      </c>
      <c r="K9" s="413">
        <f t="shared" si="0"/>
        <v>86108621</v>
      </c>
      <c r="L9" s="411">
        <f t="shared" si="0"/>
        <v>137464</v>
      </c>
      <c r="M9" s="411">
        <f t="shared" si="0"/>
        <v>97259100</v>
      </c>
      <c r="N9" s="411">
        <f t="shared" si="0"/>
        <v>135636</v>
      </c>
      <c r="O9" s="411">
        <f>O11+O36+O85+O97+O102+O136+O151+O189</f>
        <v>113137191</v>
      </c>
      <c r="P9" s="411">
        <f t="shared" ref="P9:Q9" si="1">P11+P36+P85+P97+P102+P136+P151+P189</f>
        <v>180175</v>
      </c>
      <c r="Q9" s="411">
        <f t="shared" si="1"/>
        <v>130469911</v>
      </c>
      <c r="R9" s="411">
        <f t="shared" si="0"/>
        <v>138272</v>
      </c>
      <c r="S9" s="411">
        <f t="shared" si="0"/>
        <v>91374787</v>
      </c>
      <c r="T9" s="411">
        <f t="shared" si="0"/>
        <v>158604</v>
      </c>
      <c r="U9" s="411">
        <f t="shared" si="0"/>
        <v>99046159</v>
      </c>
      <c r="V9" s="411">
        <f>V11+V36+V85+V97+V102+V136+V151+V189</f>
        <v>154200</v>
      </c>
      <c r="W9" s="411">
        <f>W11+W36+W85+W97+W102+W136+W151+W189</f>
        <v>91747985</v>
      </c>
      <c r="X9" s="411">
        <f t="shared" si="0"/>
        <v>162659</v>
      </c>
      <c r="Y9" s="411">
        <f t="shared" si="0"/>
        <v>102455347</v>
      </c>
      <c r="Z9" s="411">
        <f>SUM(B9,D9,F9,H9,J9,L9,N9,P9,R9,T9,V9,X9)</f>
        <v>1698926</v>
      </c>
      <c r="AA9" s="411">
        <f>SUM(C9,E9,G9,I9,K9,M9,O9,Q9,S9,U9,W9,Y9)</f>
        <v>1097988942</v>
      </c>
    </row>
    <row r="10" spans="1:27">
      <c r="A10" s="414"/>
      <c r="B10" s="415"/>
      <c r="C10" s="415"/>
      <c r="D10" s="415"/>
      <c r="E10" s="415"/>
      <c r="F10" s="415"/>
      <c r="G10" s="415"/>
      <c r="H10" s="415"/>
      <c r="I10" s="415"/>
      <c r="J10" s="408"/>
      <c r="K10" s="409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</row>
    <row r="11" spans="1:27">
      <c r="A11" s="416" t="s">
        <v>141</v>
      </c>
      <c r="B11" s="417">
        <f t="shared" ref="B11:Y11" si="2">SUM(B12:B34)</f>
        <v>9822</v>
      </c>
      <c r="C11" s="417">
        <f t="shared" si="2"/>
        <v>7689072</v>
      </c>
      <c r="D11" s="417">
        <f t="shared" si="2"/>
        <v>13182</v>
      </c>
      <c r="E11" s="417">
        <f t="shared" si="2"/>
        <v>9988636</v>
      </c>
      <c r="F11" s="417">
        <f t="shared" si="2"/>
        <v>12924</v>
      </c>
      <c r="G11" s="417">
        <f t="shared" si="2"/>
        <v>10303881</v>
      </c>
      <c r="H11" s="417">
        <f t="shared" si="2"/>
        <v>8794</v>
      </c>
      <c r="I11" s="417">
        <f t="shared" si="2"/>
        <v>7937732</v>
      </c>
      <c r="J11" s="418">
        <f t="shared" si="2"/>
        <v>14153</v>
      </c>
      <c r="K11" s="419">
        <f>SUM(K12:K34)</f>
        <v>9985367</v>
      </c>
      <c r="L11" s="417">
        <f t="shared" si="2"/>
        <v>13721</v>
      </c>
      <c r="M11" s="417">
        <f t="shared" si="2"/>
        <v>10777159</v>
      </c>
      <c r="N11" s="417">
        <f t="shared" si="2"/>
        <v>17223</v>
      </c>
      <c r="O11" s="417">
        <f t="shared" si="2"/>
        <v>14149868</v>
      </c>
      <c r="P11" s="417">
        <f t="shared" si="2"/>
        <v>16854</v>
      </c>
      <c r="Q11" s="417">
        <f t="shared" si="2"/>
        <v>16948467</v>
      </c>
      <c r="R11" s="417">
        <f t="shared" si="2"/>
        <v>13693</v>
      </c>
      <c r="S11" s="417">
        <f t="shared" si="2"/>
        <v>11152146</v>
      </c>
      <c r="T11" s="417">
        <f t="shared" si="2"/>
        <v>11159</v>
      </c>
      <c r="U11" s="417">
        <f t="shared" si="2"/>
        <v>10364638</v>
      </c>
      <c r="V11" s="417">
        <f>SUM(V12:V34)</f>
        <v>11101</v>
      </c>
      <c r="W11" s="417">
        <f>SUM(W12:W34)</f>
        <v>10615154</v>
      </c>
      <c r="X11" s="417">
        <f t="shared" si="2"/>
        <v>15058</v>
      </c>
      <c r="Y11" s="417">
        <f t="shared" si="2"/>
        <v>14072707</v>
      </c>
      <c r="Z11" s="417">
        <f t="shared" ref="Z11:Z34" si="3">SUM(B11,D11,F11,H11,J11,L11,N11,P11,R11,T11,V11,X11)</f>
        <v>157684</v>
      </c>
      <c r="AA11" s="417">
        <f t="shared" ref="AA11:AA34" si="4">SUM(C11,E11,G11,I11,K11,M11,O11,Q11,S11,U11,W11,Y11)</f>
        <v>133984827</v>
      </c>
    </row>
    <row r="12" spans="1:27">
      <c r="A12" s="420" t="s">
        <v>223</v>
      </c>
      <c r="B12" s="421">
        <v>6052</v>
      </c>
      <c r="C12" s="421">
        <v>4259214</v>
      </c>
      <c r="D12" s="421">
        <v>7754</v>
      </c>
      <c r="E12" s="421">
        <v>4910425</v>
      </c>
      <c r="F12" s="421">
        <v>5600</v>
      </c>
      <c r="G12" s="421">
        <v>3312180</v>
      </c>
      <c r="H12" s="421">
        <v>3341</v>
      </c>
      <c r="I12" s="421">
        <v>2434783</v>
      </c>
      <c r="J12" s="422">
        <v>6917</v>
      </c>
      <c r="K12" s="423">
        <v>3550152</v>
      </c>
      <c r="L12" s="421">
        <v>4508</v>
      </c>
      <c r="M12" s="421">
        <v>3172221</v>
      </c>
      <c r="N12" s="421">
        <v>8345</v>
      </c>
      <c r="O12" s="421">
        <v>5467381</v>
      </c>
      <c r="P12" s="421">
        <v>6542</v>
      </c>
      <c r="Q12" s="421">
        <v>5892377</v>
      </c>
      <c r="R12" s="421">
        <v>4607</v>
      </c>
      <c r="S12" s="421">
        <v>2424966</v>
      </c>
      <c r="T12" s="421">
        <v>3933</v>
      </c>
      <c r="U12" s="421">
        <v>2807435</v>
      </c>
      <c r="V12" s="421">
        <f>_xlfn.IFNA(VLOOKUP(A12,[3]進出口值表查詢結果!$C$11:$F$68,4,0),-[2]整車!$B$22)</f>
        <v>4019</v>
      </c>
      <c r="W12" s="421">
        <f>_xlfn.IFNA(VLOOKUP(A12,[3]進出口值表查詢結果!$C$11:$F$68,3,0),-[2]整車!$B$22)</f>
        <v>3259963</v>
      </c>
      <c r="X12" s="421">
        <f>_xlfn.IFNA(VLOOKUP(A12,[4]進出口值表查詢結果!$C$11:$F$68,4,0),-[2]整車!$B$22)</f>
        <v>5220</v>
      </c>
      <c r="Y12" s="421">
        <f>_xlfn.IFNA(VLOOKUP(A12,[4]進出口值表查詢結果!$C$11:$F$68,3,0),-[2]整車!$B$22)</f>
        <v>3196394</v>
      </c>
      <c r="Z12" s="415">
        <f t="shared" si="3"/>
        <v>66838</v>
      </c>
      <c r="AA12" s="415">
        <f t="shared" si="4"/>
        <v>44687491</v>
      </c>
    </row>
    <row r="13" spans="1:27">
      <c r="A13" s="420" t="s">
        <v>234</v>
      </c>
      <c r="B13" s="421">
        <v>179</v>
      </c>
      <c r="C13" s="421">
        <v>131656</v>
      </c>
      <c r="D13" s="421">
        <v>274</v>
      </c>
      <c r="E13" s="421">
        <v>366955</v>
      </c>
      <c r="F13" s="421">
        <v>379</v>
      </c>
      <c r="G13" s="421">
        <v>326020</v>
      </c>
      <c r="H13" s="421">
        <v>412</v>
      </c>
      <c r="I13" s="421">
        <v>690860</v>
      </c>
      <c r="J13" s="422">
        <v>564</v>
      </c>
      <c r="K13" s="423">
        <v>591178</v>
      </c>
      <c r="L13" s="421">
        <v>419</v>
      </c>
      <c r="M13" s="421">
        <v>628920</v>
      </c>
      <c r="N13" s="421">
        <v>900</v>
      </c>
      <c r="O13" s="421">
        <v>1147430</v>
      </c>
      <c r="P13" s="421">
        <v>1146</v>
      </c>
      <c r="Q13" s="421">
        <v>1244090</v>
      </c>
      <c r="R13" s="421">
        <v>1102</v>
      </c>
      <c r="S13" s="421">
        <v>984782</v>
      </c>
      <c r="T13" s="421">
        <v>754</v>
      </c>
      <c r="U13" s="421">
        <v>962823</v>
      </c>
      <c r="V13" s="421">
        <f>_xlfn.IFNA(VLOOKUP(A13,[3]進出口值表查詢結果!$C$11:$F$68,4,0),-[2]整車!$B$22)</f>
        <v>856</v>
      </c>
      <c r="W13" s="421">
        <f>_xlfn.IFNA(VLOOKUP(A13,[3]進出口值表查詢結果!$C$11:$F$68,3,0),-[2]整車!$B$22)</f>
        <v>955426</v>
      </c>
      <c r="X13" s="421">
        <f>_xlfn.IFNA(VLOOKUP(A13,[4]進出口值表查詢結果!$C$11:$F$68,4,0),-[2]整車!$B$22)</f>
        <v>1391</v>
      </c>
      <c r="Y13" s="421">
        <f>_xlfn.IFNA(VLOOKUP(A13,[4]進出口值表查詢結果!$C$11:$F$68,3,0),-[2]整車!$B$22)</f>
        <v>1781279</v>
      </c>
      <c r="Z13" s="415">
        <f t="shared" si="3"/>
        <v>8376</v>
      </c>
      <c r="AA13" s="415">
        <f t="shared" si="4"/>
        <v>9811419</v>
      </c>
    </row>
    <row r="14" spans="1:27">
      <c r="A14" s="458" t="s">
        <v>235</v>
      </c>
      <c r="B14" s="421">
        <v>524</v>
      </c>
      <c r="C14" s="421">
        <v>127658</v>
      </c>
      <c r="D14" s="421">
        <v>549</v>
      </c>
      <c r="E14" s="421">
        <v>126180</v>
      </c>
      <c r="F14" s="421">
        <v>710</v>
      </c>
      <c r="G14" s="421">
        <v>174742</v>
      </c>
      <c r="H14" s="421">
        <v>864</v>
      </c>
      <c r="I14" s="421">
        <v>362370</v>
      </c>
      <c r="J14" s="422">
        <v>1603</v>
      </c>
      <c r="K14" s="423">
        <v>677515</v>
      </c>
      <c r="L14" s="421">
        <v>1216</v>
      </c>
      <c r="M14" s="421">
        <v>120579</v>
      </c>
      <c r="N14" s="421">
        <v>1021</v>
      </c>
      <c r="O14" s="421">
        <v>611528</v>
      </c>
      <c r="P14" s="421">
        <v>1131</v>
      </c>
      <c r="Q14" s="421">
        <v>586618</v>
      </c>
      <c r="R14" s="421">
        <v>1515</v>
      </c>
      <c r="S14" s="421">
        <v>914097</v>
      </c>
      <c r="T14" s="421">
        <v>818</v>
      </c>
      <c r="U14" s="421">
        <v>265715</v>
      </c>
      <c r="V14" s="421">
        <f>_xlfn.IFNA(VLOOKUP(A14,[3]進出口值表查詢結果!$C$11:$F$68,4,0),-[2]整車!$B$22)</f>
        <v>695</v>
      </c>
      <c r="W14" s="421">
        <f>_xlfn.IFNA(VLOOKUP(A14,[3]進出口值表查詢結果!$C$11:$F$68,3,0),-[2]整車!$B$22)</f>
        <v>379724</v>
      </c>
      <c r="X14" s="421">
        <f>_xlfn.IFNA(VLOOKUP(A14,[4]進出口值表查詢結果!$C$11:$F$68,4,0),-[2]整車!$B$22)</f>
        <v>456</v>
      </c>
      <c r="Y14" s="421">
        <f>_xlfn.IFNA(VLOOKUP(A14,[4]進出口值表查詢結果!$C$11:$F$68,3,0),-[2]整車!$B$22)</f>
        <v>425334</v>
      </c>
      <c r="Z14" s="415">
        <f t="shared" si="3"/>
        <v>11102</v>
      </c>
      <c r="AA14" s="415">
        <f t="shared" si="4"/>
        <v>4772060</v>
      </c>
    </row>
    <row r="15" spans="1:27">
      <c r="A15" s="458" t="s">
        <v>172</v>
      </c>
      <c r="B15" s="421">
        <v>65</v>
      </c>
      <c r="C15" s="421">
        <v>102167</v>
      </c>
      <c r="D15" s="421">
        <v>153</v>
      </c>
      <c r="E15" s="421">
        <v>198502</v>
      </c>
      <c r="F15" s="421">
        <v>171</v>
      </c>
      <c r="G15" s="421">
        <v>186525</v>
      </c>
      <c r="H15" s="421">
        <v>62</v>
      </c>
      <c r="I15" s="421">
        <v>69195</v>
      </c>
      <c r="J15" s="422">
        <v>111</v>
      </c>
      <c r="K15" s="423">
        <v>71668</v>
      </c>
      <c r="L15" s="421">
        <v>156</v>
      </c>
      <c r="M15" s="421">
        <v>125402</v>
      </c>
      <c r="N15" s="421">
        <v>167</v>
      </c>
      <c r="O15" s="421">
        <v>258485</v>
      </c>
      <c r="P15" s="421">
        <v>211</v>
      </c>
      <c r="Q15" s="421">
        <v>238597</v>
      </c>
      <c r="R15" s="421">
        <v>601</v>
      </c>
      <c r="S15" s="421">
        <v>371230</v>
      </c>
      <c r="T15" s="421">
        <v>212</v>
      </c>
      <c r="U15" s="421">
        <v>237659</v>
      </c>
      <c r="V15" s="421">
        <f>_xlfn.IFNA(VLOOKUP(A15,[3]進出口值表查詢結果!$C$11:$F$68,4,0),-[2]整車!$B$22)</f>
        <v>156</v>
      </c>
      <c r="W15" s="421">
        <f>_xlfn.IFNA(VLOOKUP(A15,[3]進出口值表查詢結果!$C$11:$F$68,3,0),-[2]整車!$B$22)</f>
        <v>243778</v>
      </c>
      <c r="X15" s="421">
        <f>_xlfn.IFNA(VLOOKUP(A15,[4]進出口值表查詢結果!$C$11:$F$68,4,0),-[2]整車!$B$22)</f>
        <v>452</v>
      </c>
      <c r="Y15" s="421">
        <f>_xlfn.IFNA(VLOOKUP(A15,[4]進出口值表查詢結果!$C$11:$F$68,3,0),-[2]整車!$B$22)</f>
        <v>279986</v>
      </c>
      <c r="Z15" s="415">
        <f t="shared" si="3"/>
        <v>2517</v>
      </c>
      <c r="AA15" s="415">
        <f t="shared" si="4"/>
        <v>2383194</v>
      </c>
    </row>
    <row r="16" spans="1:27">
      <c r="A16" s="459" t="s">
        <v>178</v>
      </c>
      <c r="B16" s="421">
        <v>1307</v>
      </c>
      <c r="C16" s="421">
        <v>1817059</v>
      </c>
      <c r="D16" s="421">
        <v>1950</v>
      </c>
      <c r="E16" s="421">
        <v>2185577</v>
      </c>
      <c r="F16" s="421">
        <v>2367</v>
      </c>
      <c r="G16" s="421">
        <v>2674246</v>
      </c>
      <c r="H16" s="421">
        <v>2201</v>
      </c>
      <c r="I16" s="421">
        <v>1979400</v>
      </c>
      <c r="J16" s="422">
        <v>2682</v>
      </c>
      <c r="K16" s="423">
        <v>2461078</v>
      </c>
      <c r="L16" s="421">
        <v>2380</v>
      </c>
      <c r="M16" s="421">
        <v>2624768</v>
      </c>
      <c r="N16" s="421">
        <v>2747</v>
      </c>
      <c r="O16" s="421">
        <v>2999359</v>
      </c>
      <c r="P16" s="421">
        <v>3612</v>
      </c>
      <c r="Q16" s="421">
        <v>4516165</v>
      </c>
      <c r="R16" s="421">
        <v>2996</v>
      </c>
      <c r="S16" s="421">
        <v>3713824</v>
      </c>
      <c r="T16" s="421">
        <v>2056</v>
      </c>
      <c r="U16" s="421">
        <v>2891152</v>
      </c>
      <c r="V16" s="421">
        <f>_xlfn.IFNA(VLOOKUP(A16,[3]進出口值表查詢結果!$C$11:$F$68,4,0),-[2]整車!$B$22)</f>
        <v>1790</v>
      </c>
      <c r="W16" s="421">
        <f>_xlfn.IFNA(VLOOKUP(A16,[3]進出口值表查詢結果!$C$11:$F$68,3,0),-[2]整車!$B$22)</f>
        <v>2212342</v>
      </c>
      <c r="X16" s="421">
        <f>_xlfn.IFNA(VLOOKUP(A16,[4]進出口值表查詢結果!$C$11:$F$68,4,0),-[2]整車!$B$22)</f>
        <v>1546</v>
      </c>
      <c r="Y16" s="421">
        <f>_xlfn.IFNA(VLOOKUP(A16,[4]進出口值表查詢結果!$C$11:$F$68,3,0),-[2]整車!$B$22)</f>
        <v>1984044</v>
      </c>
      <c r="Z16" s="415">
        <f t="shared" si="3"/>
        <v>27634</v>
      </c>
      <c r="AA16" s="415">
        <f t="shared" si="4"/>
        <v>32059014</v>
      </c>
    </row>
    <row r="17" spans="1:27">
      <c r="A17" s="458" t="s">
        <v>181</v>
      </c>
      <c r="B17" s="421">
        <v>196</v>
      </c>
      <c r="C17" s="421">
        <v>159614</v>
      </c>
      <c r="D17" s="421">
        <v>25</v>
      </c>
      <c r="E17" s="421">
        <v>14125</v>
      </c>
      <c r="F17" s="421">
        <v>272</v>
      </c>
      <c r="G17" s="421">
        <v>324659</v>
      </c>
      <c r="H17" s="421">
        <v>6</v>
      </c>
      <c r="I17" s="421">
        <v>198</v>
      </c>
      <c r="J17" s="422">
        <v>392</v>
      </c>
      <c r="K17" s="423">
        <v>442301</v>
      </c>
      <c r="L17" s="421">
        <v>213</v>
      </c>
      <c r="M17" s="421">
        <v>334619</v>
      </c>
      <c r="N17" s="421">
        <v>471</v>
      </c>
      <c r="O17" s="421">
        <v>520823</v>
      </c>
      <c r="P17" s="421">
        <v>373</v>
      </c>
      <c r="Q17" s="421">
        <v>455099</v>
      </c>
      <c r="R17" s="421">
        <v>34</v>
      </c>
      <c r="S17" s="421">
        <v>38452</v>
      </c>
      <c r="T17" s="421">
        <v>10</v>
      </c>
      <c r="U17" s="421">
        <v>4200</v>
      </c>
      <c r="V17" s="421">
        <f>_xlfn.IFNA(VLOOKUP(A17,[3]進出口值表查詢結果!$C$11:$F$68,4,0),-[2]整車!$B$22)</f>
        <v>34</v>
      </c>
      <c r="W17" s="421">
        <f>_xlfn.IFNA(VLOOKUP(A17,[3]進出口值表查詢結果!$C$11:$F$68,3,0),-[2]整車!$B$22)</f>
        <v>42910</v>
      </c>
      <c r="X17" s="421">
        <f>_xlfn.IFNA(VLOOKUP(A17,[4]進出口值表查詢結果!$C$11:$F$68,4,0),-[2]整車!$B$22)</f>
        <v>823</v>
      </c>
      <c r="Y17" s="421">
        <f>_xlfn.IFNA(VLOOKUP(A17,[4]進出口值表查詢結果!$C$11:$F$68,3,0),-[2]整車!$B$22)</f>
        <v>958153</v>
      </c>
      <c r="Z17" s="415">
        <f t="shared" si="3"/>
        <v>2849</v>
      </c>
      <c r="AA17" s="415">
        <f t="shared" si="4"/>
        <v>3295153</v>
      </c>
    </row>
    <row r="18" spans="1:27">
      <c r="A18" s="458" t="s">
        <v>183</v>
      </c>
      <c r="B18" s="421">
        <v>246</v>
      </c>
      <c r="C18" s="421">
        <v>218428</v>
      </c>
      <c r="D18" s="421">
        <v>112</v>
      </c>
      <c r="E18" s="421">
        <v>127248</v>
      </c>
      <c r="F18" s="421">
        <v>145</v>
      </c>
      <c r="G18" s="421">
        <v>175938</v>
      </c>
      <c r="H18" s="421">
        <v>76</v>
      </c>
      <c r="I18" s="421">
        <v>84167</v>
      </c>
      <c r="J18" s="422">
        <v>231</v>
      </c>
      <c r="K18" s="423">
        <v>292647</v>
      </c>
      <c r="L18" s="421">
        <v>225</v>
      </c>
      <c r="M18" s="421">
        <v>233311</v>
      </c>
      <c r="N18" s="421">
        <v>442</v>
      </c>
      <c r="O18" s="421">
        <v>515923</v>
      </c>
      <c r="P18" s="421">
        <v>635</v>
      </c>
      <c r="Q18" s="421">
        <v>666047</v>
      </c>
      <c r="R18" s="421">
        <v>372</v>
      </c>
      <c r="S18" s="421">
        <v>415965</v>
      </c>
      <c r="T18" s="421">
        <v>793</v>
      </c>
      <c r="U18" s="421">
        <v>698930</v>
      </c>
      <c r="V18" s="421">
        <f>_xlfn.IFNA(VLOOKUP(A18,[3]進出口值表查詢結果!$C$11:$F$68,4,0),-[2]整車!$B$22)</f>
        <v>332</v>
      </c>
      <c r="W18" s="421">
        <f>_xlfn.IFNA(VLOOKUP(A18,[3]進出口值表查詢結果!$C$11:$F$68,3,0),-[2]整車!$B$22)</f>
        <v>417088</v>
      </c>
      <c r="X18" s="421">
        <f>_xlfn.IFNA(VLOOKUP(A18,[4]進出口值表查詢結果!$C$11:$F$68,4,0),-[2]整車!$B$22)</f>
        <v>830</v>
      </c>
      <c r="Y18" s="421">
        <f>_xlfn.IFNA(VLOOKUP(A18,[4]進出口值表查詢結果!$C$11:$F$68,3,0),-[2]整車!$B$22)</f>
        <v>1167495</v>
      </c>
      <c r="Z18" s="415">
        <f t="shared" si="3"/>
        <v>4439</v>
      </c>
      <c r="AA18" s="415">
        <f t="shared" si="4"/>
        <v>5013187</v>
      </c>
    </row>
    <row r="19" spans="1:27">
      <c r="A19" s="458" t="s">
        <v>182</v>
      </c>
      <c r="B19" s="421">
        <v>38</v>
      </c>
      <c r="C19" s="421">
        <v>34255</v>
      </c>
      <c r="D19" s="421">
        <v>114</v>
      </c>
      <c r="E19" s="421">
        <v>142072</v>
      </c>
      <c r="F19" s="421">
        <v>47</v>
      </c>
      <c r="G19" s="421">
        <v>88748</v>
      </c>
      <c r="H19" s="421">
        <v>116</v>
      </c>
      <c r="I19" s="421">
        <v>179464</v>
      </c>
      <c r="J19" s="422">
        <v>134</v>
      </c>
      <c r="K19" s="423">
        <v>160240</v>
      </c>
      <c r="L19" s="421">
        <v>114</v>
      </c>
      <c r="M19" s="421">
        <v>167091</v>
      </c>
      <c r="N19" s="421">
        <v>103</v>
      </c>
      <c r="O19" s="421">
        <v>156524</v>
      </c>
      <c r="P19" s="421">
        <v>60</v>
      </c>
      <c r="Q19" s="421">
        <v>89867</v>
      </c>
      <c r="R19" s="421">
        <v>291</v>
      </c>
      <c r="S19" s="421">
        <v>452957</v>
      </c>
      <c r="T19" s="421">
        <v>157</v>
      </c>
      <c r="U19" s="421">
        <v>198796</v>
      </c>
      <c r="V19" s="421">
        <f>_xlfn.IFNA(VLOOKUP(A19,[3]進出口值表查詢結果!$C$11:$F$68,4,0),-[2]整車!$B$22)</f>
        <v>161</v>
      </c>
      <c r="W19" s="421">
        <f>_xlfn.IFNA(VLOOKUP(A19,[3]進出口值表查詢結果!$C$11:$F$68,3,0),-[2]整車!$B$22)</f>
        <v>332513</v>
      </c>
      <c r="X19" s="421">
        <f>_xlfn.IFNA(VLOOKUP(A19,[4]進出口值表查詢結果!$C$11:$F$68,4,0),-[2]整車!$B$22)</f>
        <v>82</v>
      </c>
      <c r="Y19" s="421">
        <f>_xlfn.IFNA(VLOOKUP(A19,[4]進出口值表查詢結果!$C$11:$F$68,3,0),-[2]整車!$B$22)</f>
        <v>135445</v>
      </c>
      <c r="Z19" s="415">
        <f t="shared" si="3"/>
        <v>1417</v>
      </c>
      <c r="AA19" s="415">
        <f t="shared" si="4"/>
        <v>2137972</v>
      </c>
    </row>
    <row r="20" spans="1:27">
      <c r="A20" s="458" t="s">
        <v>237</v>
      </c>
      <c r="B20" s="421">
        <v>0</v>
      </c>
      <c r="C20" s="421">
        <v>0</v>
      </c>
      <c r="D20" s="421">
        <v>62</v>
      </c>
      <c r="E20" s="421">
        <v>80913</v>
      </c>
      <c r="F20" s="421">
        <v>0</v>
      </c>
      <c r="G20" s="421"/>
      <c r="H20" s="421">
        <v>0</v>
      </c>
      <c r="I20" s="421">
        <v>0</v>
      </c>
      <c r="J20" s="422">
        <v>14</v>
      </c>
      <c r="K20" s="423">
        <v>18143</v>
      </c>
      <c r="L20" s="421">
        <v>0</v>
      </c>
      <c r="M20" s="421">
        <v>0</v>
      </c>
      <c r="N20" s="421">
        <v>0</v>
      </c>
      <c r="O20" s="421">
        <v>0</v>
      </c>
      <c r="P20" s="421">
        <v>0</v>
      </c>
      <c r="Q20" s="421">
        <v>0</v>
      </c>
      <c r="R20" s="421">
        <v>0</v>
      </c>
      <c r="S20" s="421">
        <v>0</v>
      </c>
      <c r="T20" s="421"/>
      <c r="U20" s="421"/>
      <c r="V20" s="421">
        <f>_xlfn.IFNA(VLOOKUP(A20,[3]進出口值表查詢結果!$C$11:$F$68,4,0),-[2]整車!$B$22)</f>
        <v>0</v>
      </c>
      <c r="W20" s="421">
        <f>_xlfn.IFNA(VLOOKUP(A20,[3]進出口值表查詢結果!$C$11:$F$68,3,0),-[2]整車!$B$22)</f>
        <v>0</v>
      </c>
      <c r="X20" s="421">
        <f>_xlfn.IFNA(VLOOKUP(A20,[4]進出口值表查詢結果!$C$11:$F$68,4,0),-[2]整車!$B$22)</f>
        <v>0</v>
      </c>
      <c r="Y20" s="421">
        <f>_xlfn.IFNA(VLOOKUP(A20,[4]進出口值表查詢結果!$C$11:$F$68,3,0),-[2]整車!$B$22)</f>
        <v>0</v>
      </c>
      <c r="Z20" s="415">
        <f t="shared" si="3"/>
        <v>76</v>
      </c>
      <c r="AA20" s="415">
        <f t="shared" si="4"/>
        <v>99056</v>
      </c>
    </row>
    <row r="21" spans="1:27">
      <c r="A21" s="458" t="s">
        <v>193</v>
      </c>
      <c r="B21" s="421">
        <v>367</v>
      </c>
      <c r="C21" s="421">
        <v>213697</v>
      </c>
      <c r="D21" s="421">
        <v>458</v>
      </c>
      <c r="E21" s="421">
        <v>230710</v>
      </c>
      <c r="F21" s="421">
        <v>165</v>
      </c>
      <c r="G21" s="421">
        <v>82941</v>
      </c>
      <c r="H21" s="421">
        <v>35</v>
      </c>
      <c r="I21" s="421">
        <v>4203</v>
      </c>
      <c r="J21" s="422">
        <v>74</v>
      </c>
      <c r="K21" s="423">
        <v>16703</v>
      </c>
      <c r="L21" s="421">
        <v>938</v>
      </c>
      <c r="M21" s="421">
        <v>178622</v>
      </c>
      <c r="N21" s="421">
        <v>107</v>
      </c>
      <c r="O21" s="421">
        <v>7169</v>
      </c>
      <c r="P21" s="421">
        <v>364</v>
      </c>
      <c r="Q21" s="421">
        <v>13151</v>
      </c>
      <c r="R21" s="421">
        <v>211</v>
      </c>
      <c r="S21" s="421">
        <v>139301</v>
      </c>
      <c r="T21" s="421">
        <v>291</v>
      </c>
      <c r="U21" s="421">
        <v>151421</v>
      </c>
      <c r="V21" s="421">
        <f>_xlfn.IFNA(VLOOKUP(A21,[3]進出口值表查詢結果!$C$11:$F$68,4,0),-[2]整車!$B$22)</f>
        <v>884</v>
      </c>
      <c r="W21" s="421">
        <f>_xlfn.IFNA(VLOOKUP(A21,[3]進出口值表查詢結果!$C$11:$F$68,3,0),-[2]整車!$B$22)</f>
        <v>377477</v>
      </c>
      <c r="X21" s="421">
        <f>_xlfn.IFNA(VLOOKUP(A21,[4]進出口值表查詢結果!$C$11:$F$68,4,0),-[2]整車!$B$22)</f>
        <v>872</v>
      </c>
      <c r="Y21" s="421">
        <f>_xlfn.IFNA(VLOOKUP(A21,[4]進出口值表查詢結果!$C$11:$F$68,3,0),-[2]整車!$B$22)</f>
        <v>486108</v>
      </c>
      <c r="Z21" s="415">
        <f t="shared" si="3"/>
        <v>4766</v>
      </c>
      <c r="AA21" s="415">
        <f t="shared" si="4"/>
        <v>1901503</v>
      </c>
    </row>
    <row r="22" spans="1:27">
      <c r="A22" s="458" t="s">
        <v>238</v>
      </c>
      <c r="B22" s="421">
        <v>0</v>
      </c>
      <c r="C22" s="421">
        <v>0</v>
      </c>
      <c r="D22" s="421"/>
      <c r="E22" s="421"/>
      <c r="F22" s="421">
        <v>0</v>
      </c>
      <c r="G22" s="421"/>
      <c r="H22" s="421">
        <v>0</v>
      </c>
      <c r="I22" s="421">
        <v>0</v>
      </c>
      <c r="J22" s="422">
        <v>0</v>
      </c>
      <c r="K22" s="425" t="s">
        <v>59</v>
      </c>
      <c r="L22" s="421">
        <v>0</v>
      </c>
      <c r="M22" s="421">
        <v>0</v>
      </c>
      <c r="N22" s="421">
        <v>0</v>
      </c>
      <c r="O22" s="421">
        <v>0</v>
      </c>
      <c r="P22" s="421">
        <v>0</v>
      </c>
      <c r="Q22" s="421">
        <v>0</v>
      </c>
      <c r="R22" s="421">
        <v>0</v>
      </c>
      <c r="S22" s="421">
        <v>0</v>
      </c>
      <c r="T22" s="421"/>
      <c r="U22" s="421"/>
      <c r="V22" s="421">
        <f>_xlfn.IFNA(VLOOKUP(A22,[3]進出口值表查詢結果!$C$11:$F$68,4,0),-[2]整車!$B$22)</f>
        <v>0</v>
      </c>
      <c r="W22" s="421">
        <f>_xlfn.IFNA(VLOOKUP(A22,[3]進出口值表查詢結果!$C$11:$F$68,3,0),-[2]整車!$B$22)</f>
        <v>0</v>
      </c>
      <c r="X22" s="421">
        <f>_xlfn.IFNA(VLOOKUP(A22,[4]進出口值表查詢結果!$C$11:$F$68,4,0),-[2]整車!$B$22)</f>
        <v>0</v>
      </c>
      <c r="Y22" s="421">
        <f>_xlfn.IFNA(VLOOKUP(A22,[4]進出口值表查詢結果!$C$11:$F$68,3,0),-[2]整車!$B$22)</f>
        <v>0</v>
      </c>
      <c r="Z22" s="415">
        <f t="shared" si="3"/>
        <v>0</v>
      </c>
      <c r="AA22" s="415">
        <f t="shared" si="4"/>
        <v>0</v>
      </c>
    </row>
    <row r="23" spans="1:27">
      <c r="A23" s="458" t="s">
        <v>180</v>
      </c>
      <c r="B23" s="421">
        <v>4</v>
      </c>
      <c r="C23" s="421">
        <v>12662</v>
      </c>
      <c r="D23" s="421">
        <v>36</v>
      </c>
      <c r="E23" s="421">
        <v>33578</v>
      </c>
      <c r="F23" s="421">
        <v>0</v>
      </c>
      <c r="G23" s="421"/>
      <c r="H23" s="421">
        <v>0</v>
      </c>
      <c r="I23" s="421">
        <v>0</v>
      </c>
      <c r="J23" s="422" t="s">
        <v>59</v>
      </c>
      <c r="K23" s="425" t="s">
        <v>59</v>
      </c>
      <c r="L23" s="421">
        <v>12</v>
      </c>
      <c r="M23" s="421">
        <v>40985</v>
      </c>
      <c r="N23" s="421">
        <v>11</v>
      </c>
      <c r="O23" s="421">
        <v>18898</v>
      </c>
      <c r="P23" s="421">
        <v>15</v>
      </c>
      <c r="Q23" s="421">
        <v>18841</v>
      </c>
      <c r="R23" s="421">
        <v>0</v>
      </c>
      <c r="S23" s="421">
        <v>0</v>
      </c>
      <c r="T23" s="421">
        <v>4</v>
      </c>
      <c r="U23" s="421">
        <v>8709</v>
      </c>
      <c r="V23" s="421">
        <f>_xlfn.IFNA(VLOOKUP(A23,[3]進出口值表查詢結果!$C$11:$F$68,4,0),-[2]整車!$B$22)</f>
        <v>0</v>
      </c>
      <c r="W23" s="421">
        <f>_xlfn.IFNA(VLOOKUP(A23,[3]進出口值表查詢結果!$C$11:$F$68,3,0),-[2]整車!$B$22)</f>
        <v>0</v>
      </c>
      <c r="X23" s="421">
        <f>_xlfn.IFNA(VLOOKUP(A23,[4]進出口值表查詢結果!$C$11:$F$68,4,0),-[2]整車!$B$22)</f>
        <v>23</v>
      </c>
      <c r="Y23" s="421">
        <f>_xlfn.IFNA(VLOOKUP(A23,[4]進出口值表查詢結果!$C$11:$F$68,3,0),-[2]整車!$B$22)</f>
        <v>41742</v>
      </c>
      <c r="Z23" s="415">
        <f t="shared" si="3"/>
        <v>105</v>
      </c>
      <c r="AA23" s="415">
        <f t="shared" si="4"/>
        <v>175415</v>
      </c>
    </row>
    <row r="24" spans="1:27">
      <c r="A24" s="458" t="s">
        <v>239</v>
      </c>
      <c r="B24" s="421">
        <v>0</v>
      </c>
      <c r="C24" s="421">
        <v>0</v>
      </c>
      <c r="D24" s="421"/>
      <c r="E24" s="421"/>
      <c r="F24" s="421">
        <v>0</v>
      </c>
      <c r="G24" s="421"/>
      <c r="H24" s="421">
        <v>0</v>
      </c>
      <c r="I24" s="421">
        <v>0</v>
      </c>
      <c r="J24" s="422">
        <v>1</v>
      </c>
      <c r="K24" s="423">
        <v>2606</v>
      </c>
      <c r="L24" s="421">
        <v>0</v>
      </c>
      <c r="M24" s="415">
        <v>0</v>
      </c>
      <c r="N24" s="421">
        <v>0</v>
      </c>
      <c r="O24" s="421">
        <v>0</v>
      </c>
      <c r="P24" s="421">
        <v>0</v>
      </c>
      <c r="Q24" s="421">
        <v>0</v>
      </c>
      <c r="R24" s="421">
        <v>0</v>
      </c>
      <c r="S24" s="421">
        <v>0</v>
      </c>
      <c r="T24" s="421"/>
      <c r="U24" s="421"/>
      <c r="V24" s="421">
        <f>_xlfn.IFNA(VLOOKUP(A24,[3]進出口值表查詢結果!$C$11:$F$68,4,0),-[2]整車!$B$22)</f>
        <v>0</v>
      </c>
      <c r="W24" s="421">
        <f>_xlfn.IFNA(VLOOKUP(A24,[3]進出口值表查詢結果!$C$11:$F$68,3,0),-[2]整車!$B$22)</f>
        <v>0</v>
      </c>
      <c r="X24" s="421">
        <f>_xlfn.IFNA(VLOOKUP(A24,[4]進出口值表查詢結果!$C$11:$F$68,4,0),-[2]整車!$B$22)</f>
        <v>0</v>
      </c>
      <c r="Y24" s="421">
        <f>_xlfn.IFNA(VLOOKUP(A24,[4]進出口值表查詢結果!$C$11:$F$68,3,0),-[2]整車!$B$22)</f>
        <v>0</v>
      </c>
      <c r="Z24" s="415">
        <f t="shared" si="3"/>
        <v>1</v>
      </c>
      <c r="AA24" s="415">
        <f t="shared" si="4"/>
        <v>2606</v>
      </c>
    </row>
    <row r="25" spans="1:27">
      <c r="A25" s="458" t="s">
        <v>240</v>
      </c>
      <c r="B25" s="421">
        <v>0</v>
      </c>
      <c r="C25" s="421">
        <v>0</v>
      </c>
      <c r="D25" s="421"/>
      <c r="E25" s="421"/>
      <c r="F25" s="421">
        <v>0</v>
      </c>
      <c r="G25" s="421"/>
      <c r="H25" s="421">
        <v>0</v>
      </c>
      <c r="I25" s="421">
        <v>0</v>
      </c>
      <c r="J25" s="422" t="s">
        <v>59</v>
      </c>
      <c r="K25" s="425" t="s">
        <v>59</v>
      </c>
      <c r="L25" s="421">
        <v>0</v>
      </c>
      <c r="M25" s="421">
        <v>0</v>
      </c>
      <c r="N25" s="421">
        <v>0</v>
      </c>
      <c r="O25" s="421">
        <v>0</v>
      </c>
      <c r="P25" s="421">
        <v>0</v>
      </c>
      <c r="Q25" s="421">
        <v>0</v>
      </c>
      <c r="R25" s="421">
        <v>0</v>
      </c>
      <c r="S25" s="421">
        <v>0</v>
      </c>
      <c r="T25" s="421"/>
      <c r="U25" s="421"/>
      <c r="V25" s="421">
        <f>_xlfn.IFNA(VLOOKUP(A25,[3]進出口值表查詢結果!$C$11:$F$68,4,0),-[2]整車!$B$22)</f>
        <v>0</v>
      </c>
      <c r="W25" s="421">
        <f>_xlfn.IFNA(VLOOKUP(A25,[3]進出口值表查詢結果!$C$11:$F$68,3,0),-[2]整車!$B$22)</f>
        <v>0</v>
      </c>
      <c r="X25" s="421">
        <f>_xlfn.IFNA(VLOOKUP(A25,[4]進出口值表查詢結果!$C$11:$F$68,4,0),-[2]整車!$B$22)</f>
        <v>0</v>
      </c>
      <c r="Y25" s="421">
        <f>_xlfn.IFNA(VLOOKUP(A25,[4]進出口值表查詢結果!$C$11:$F$68,3,0),-[2]整車!$B$22)</f>
        <v>0</v>
      </c>
      <c r="Z25" s="415">
        <f t="shared" si="3"/>
        <v>0</v>
      </c>
      <c r="AA25" s="415">
        <f t="shared" si="4"/>
        <v>0</v>
      </c>
    </row>
    <row r="26" spans="1:27">
      <c r="A26" s="458" t="s">
        <v>241</v>
      </c>
      <c r="B26" s="421">
        <v>0</v>
      </c>
      <c r="C26" s="421">
        <v>0</v>
      </c>
      <c r="D26" s="421"/>
      <c r="E26" s="421"/>
      <c r="F26" s="421">
        <v>10</v>
      </c>
      <c r="G26" s="421">
        <v>9226</v>
      </c>
      <c r="H26" s="421">
        <v>0</v>
      </c>
      <c r="I26" s="421">
        <v>0</v>
      </c>
      <c r="J26" s="422" t="s">
        <v>59</v>
      </c>
      <c r="K26" s="425" t="s">
        <v>59</v>
      </c>
      <c r="L26" s="421">
        <v>2</v>
      </c>
      <c r="M26" s="421">
        <v>536</v>
      </c>
      <c r="N26" s="421">
        <v>0</v>
      </c>
      <c r="O26" s="421">
        <v>0</v>
      </c>
      <c r="P26" s="421">
        <v>34</v>
      </c>
      <c r="Q26" s="421">
        <v>17452</v>
      </c>
      <c r="R26" s="421">
        <v>0</v>
      </c>
      <c r="S26" s="421">
        <v>0</v>
      </c>
      <c r="T26" s="421">
        <v>10</v>
      </c>
      <c r="U26" s="421">
        <v>9501</v>
      </c>
      <c r="V26" s="421">
        <f>_xlfn.IFNA(VLOOKUP(A26,[3]進出口值表查詢結果!$C$11:$F$68,4,0),-[2]整車!$B$22)</f>
        <v>0</v>
      </c>
      <c r="W26" s="421">
        <f>_xlfn.IFNA(VLOOKUP(A26,[3]進出口值表查詢結果!$C$11:$F$68,3,0),-[2]整車!$B$22)</f>
        <v>0</v>
      </c>
      <c r="X26" s="421">
        <f>_xlfn.IFNA(VLOOKUP(A26,[4]進出口值表查詢結果!$C$11:$F$68,4,0),-[2]整車!$B$22)</f>
        <v>0</v>
      </c>
      <c r="Y26" s="421">
        <f>_xlfn.IFNA(VLOOKUP(A26,[4]進出口值表查詢結果!$C$11:$F$68,3,0),-[2]整車!$B$22)</f>
        <v>0</v>
      </c>
      <c r="Z26" s="415">
        <f t="shared" si="3"/>
        <v>56</v>
      </c>
      <c r="AA26" s="415">
        <f t="shared" si="4"/>
        <v>36715</v>
      </c>
    </row>
    <row r="27" spans="1:27">
      <c r="A27" s="458" t="s">
        <v>199</v>
      </c>
      <c r="B27" s="421">
        <v>12</v>
      </c>
      <c r="C27" s="421">
        <v>11363</v>
      </c>
      <c r="D27" s="421">
        <v>156</v>
      </c>
      <c r="E27" s="421">
        <v>136343</v>
      </c>
      <c r="F27" s="421">
        <v>53</v>
      </c>
      <c r="G27" s="421">
        <v>48024</v>
      </c>
      <c r="H27" s="421">
        <v>0</v>
      </c>
      <c r="I27" s="421">
        <v>0</v>
      </c>
      <c r="J27" s="422">
        <v>62</v>
      </c>
      <c r="K27" s="423">
        <v>51087</v>
      </c>
      <c r="L27" s="421">
        <v>0</v>
      </c>
      <c r="M27" s="421">
        <v>0</v>
      </c>
      <c r="N27" s="421">
        <v>53</v>
      </c>
      <c r="O27" s="421">
        <v>53415</v>
      </c>
      <c r="P27" s="421">
        <v>125</v>
      </c>
      <c r="Q27" s="421">
        <v>148830</v>
      </c>
      <c r="R27" s="421">
        <v>20</v>
      </c>
      <c r="S27" s="421">
        <v>19056</v>
      </c>
      <c r="T27" s="421">
        <v>26</v>
      </c>
      <c r="U27" s="421">
        <v>35077</v>
      </c>
      <c r="V27" s="421">
        <f>_xlfn.IFNA(VLOOKUP(A27,[3]進出口值表查詢結果!$C$11:$F$68,4,0),-[2]整車!$B$22)</f>
        <v>6</v>
      </c>
      <c r="W27" s="421">
        <f>_xlfn.IFNA(VLOOKUP(A27,[3]進出口值表查詢結果!$C$11:$F$68,3,0),-[2]整車!$B$22)</f>
        <v>6932</v>
      </c>
      <c r="X27" s="421">
        <f>_xlfn.IFNA(VLOOKUP(A27,[4]進出口值表查詢結果!$C$11:$F$68,4,0),-[2]整車!$B$22)</f>
        <v>211</v>
      </c>
      <c r="Y27" s="421">
        <f>_xlfn.IFNA(VLOOKUP(A27,[4]進出口值表查詢結果!$C$11:$F$68,3,0),-[2]整車!$B$22)</f>
        <v>156683</v>
      </c>
      <c r="Z27" s="415">
        <f t="shared" si="3"/>
        <v>724</v>
      </c>
      <c r="AA27" s="415">
        <f t="shared" si="4"/>
        <v>666810</v>
      </c>
    </row>
    <row r="28" spans="1:27">
      <c r="A28" s="458" t="s">
        <v>242</v>
      </c>
      <c r="B28" s="421">
        <v>0</v>
      </c>
      <c r="C28" s="421">
        <v>0</v>
      </c>
      <c r="D28" s="421"/>
      <c r="E28" s="421"/>
      <c r="F28" s="421">
        <v>0</v>
      </c>
      <c r="G28" s="421"/>
      <c r="H28" s="421">
        <v>0</v>
      </c>
      <c r="I28" s="421">
        <v>0</v>
      </c>
      <c r="J28" s="422" t="s">
        <v>59</v>
      </c>
      <c r="K28" s="425" t="s">
        <v>59</v>
      </c>
      <c r="L28" s="421">
        <v>0</v>
      </c>
      <c r="M28" s="421">
        <v>0</v>
      </c>
      <c r="N28" s="421">
        <v>0</v>
      </c>
      <c r="O28" s="421">
        <v>0</v>
      </c>
      <c r="P28" s="421">
        <v>0</v>
      </c>
      <c r="Q28" s="421">
        <v>0</v>
      </c>
      <c r="R28" s="421">
        <v>0</v>
      </c>
      <c r="S28" s="421">
        <v>0</v>
      </c>
      <c r="T28" s="421"/>
      <c r="U28" s="421"/>
      <c r="V28" s="421">
        <f>_xlfn.IFNA(VLOOKUP(A28,[3]進出口值表查詢結果!$C$11:$F$68,4,0),-[2]整車!$B$22)</f>
        <v>0</v>
      </c>
      <c r="W28" s="421">
        <f>_xlfn.IFNA(VLOOKUP(A28,[3]進出口值表查詢結果!$C$11:$F$68,3,0),-[2]整車!$B$22)</f>
        <v>0</v>
      </c>
      <c r="X28" s="421">
        <f>_xlfn.IFNA(VLOOKUP(A28,[4]進出口值表查詢結果!$C$11:$F$68,4,0),-[2]整車!$B$22)</f>
        <v>0</v>
      </c>
      <c r="Y28" s="421">
        <f>_xlfn.IFNA(VLOOKUP(A28,[4]進出口值表查詢結果!$C$11:$F$68,3,0),-[2]整車!$B$22)</f>
        <v>0</v>
      </c>
      <c r="Z28" s="415">
        <f t="shared" si="3"/>
        <v>0</v>
      </c>
      <c r="AA28" s="415">
        <f t="shared" si="4"/>
        <v>0</v>
      </c>
    </row>
    <row r="29" spans="1:27">
      <c r="A29" s="458" t="s">
        <v>169</v>
      </c>
      <c r="B29" s="421">
        <v>832</v>
      </c>
      <c r="C29" s="421">
        <v>601299</v>
      </c>
      <c r="D29" s="421">
        <v>1474</v>
      </c>
      <c r="E29" s="421">
        <v>1335375</v>
      </c>
      <c r="F29" s="421">
        <v>2575</v>
      </c>
      <c r="G29" s="421">
        <v>2824860</v>
      </c>
      <c r="H29" s="421">
        <v>1590</v>
      </c>
      <c r="I29" s="421">
        <v>2035410</v>
      </c>
      <c r="J29" s="422">
        <v>1368</v>
      </c>
      <c r="K29" s="425">
        <v>1650049</v>
      </c>
      <c r="L29" s="421">
        <v>3338</v>
      </c>
      <c r="M29" s="421">
        <v>3123497</v>
      </c>
      <c r="N29" s="421">
        <v>2847</v>
      </c>
      <c r="O29" s="421">
        <v>2378126</v>
      </c>
      <c r="P29" s="421">
        <v>2606</v>
      </c>
      <c r="Q29" s="421">
        <v>3061333</v>
      </c>
      <c r="R29" s="421">
        <v>1944</v>
      </c>
      <c r="S29" s="421">
        <v>1677516</v>
      </c>
      <c r="T29" s="421">
        <v>2095</v>
      </c>
      <c r="U29" s="421">
        <v>2093220</v>
      </c>
      <c r="V29" s="421">
        <f>_xlfn.IFNA(VLOOKUP(A29,[3]進出口值表查詢結果!$C$11:$F$68,4,0),-[2]整車!$B$22)</f>
        <v>2168</v>
      </c>
      <c r="W29" s="421">
        <f>_xlfn.IFNA(VLOOKUP(A29,[3]進出口值表查詢結果!$C$11:$F$68,3,0),-[2]整車!$B$22)</f>
        <v>2387001</v>
      </c>
      <c r="X29" s="421">
        <f>_xlfn.IFNA(VLOOKUP(A29,[4]進出口值表查詢結果!$C$11:$F$68,4,0),-[2]整車!$B$22)</f>
        <v>3104</v>
      </c>
      <c r="Y29" s="421">
        <f>_xlfn.IFNA(VLOOKUP(A29,[4]進出口值表查詢結果!$C$11:$F$68,3,0),-[2]整車!$B$22)</f>
        <v>3401926</v>
      </c>
      <c r="Z29" s="415">
        <f t="shared" si="3"/>
        <v>25941</v>
      </c>
      <c r="AA29" s="415">
        <f t="shared" si="4"/>
        <v>26569612</v>
      </c>
    </row>
    <row r="30" spans="1:27">
      <c r="A30" s="460" t="s">
        <v>244</v>
      </c>
      <c r="B30" s="415">
        <v>0</v>
      </c>
      <c r="C30" s="415">
        <v>0</v>
      </c>
      <c r="D30" s="415"/>
      <c r="E30" s="415"/>
      <c r="F30" s="415">
        <v>0</v>
      </c>
      <c r="G30" s="415"/>
      <c r="H30" s="415">
        <v>0</v>
      </c>
      <c r="I30" s="415">
        <v>0</v>
      </c>
      <c r="J30" s="408" t="s">
        <v>59</v>
      </c>
      <c r="K30" s="425" t="s">
        <v>59</v>
      </c>
      <c r="L30" s="415">
        <v>0</v>
      </c>
      <c r="M30" s="415">
        <v>0</v>
      </c>
      <c r="N30" s="415">
        <v>0</v>
      </c>
      <c r="O30" s="415">
        <v>0</v>
      </c>
      <c r="P30" s="415">
        <v>0</v>
      </c>
      <c r="Q30" s="415">
        <v>0</v>
      </c>
      <c r="R30" s="415">
        <v>0</v>
      </c>
      <c r="S30" s="415">
        <v>0</v>
      </c>
      <c r="T30" s="415"/>
      <c r="U30" s="415"/>
      <c r="V30" s="421">
        <f>_xlfn.IFNA(VLOOKUP(A30,[3]進出口值表查詢結果!$C$11:$F$68,4,0),-[2]整車!$B$22)</f>
        <v>0</v>
      </c>
      <c r="W30" s="421">
        <f>_xlfn.IFNA(VLOOKUP(A30,[3]進出口值表查詢結果!$C$11:$F$68,3,0),-[2]整車!$B$22)</f>
        <v>0</v>
      </c>
      <c r="X30" s="421">
        <f>_xlfn.IFNA(VLOOKUP(A30,[4]進出口值表查詢結果!$C$11:$F$68,4,0),-[2]整車!$B$22)</f>
        <v>0</v>
      </c>
      <c r="Y30" s="421">
        <f>_xlfn.IFNA(VLOOKUP(A30,[4]進出口值表查詢結果!$C$11:$F$68,3,0),-[2]整車!$B$22)</f>
        <v>0</v>
      </c>
      <c r="Z30" s="415">
        <f t="shared" si="3"/>
        <v>0</v>
      </c>
      <c r="AA30" s="415">
        <f t="shared" si="4"/>
        <v>0</v>
      </c>
    </row>
    <row r="31" spans="1:27">
      <c r="A31" s="458" t="s">
        <v>245</v>
      </c>
      <c r="B31" s="415">
        <v>0</v>
      </c>
      <c r="C31" s="415">
        <v>0</v>
      </c>
      <c r="D31" s="421"/>
      <c r="E31" s="421"/>
      <c r="F31" s="421">
        <v>0</v>
      </c>
      <c r="G31" s="421"/>
      <c r="H31" s="421">
        <v>0</v>
      </c>
      <c r="I31" s="421">
        <v>0</v>
      </c>
      <c r="J31" s="422"/>
      <c r="K31" s="425" t="s">
        <v>59</v>
      </c>
      <c r="L31" s="421">
        <v>0</v>
      </c>
      <c r="M31" s="421">
        <v>0</v>
      </c>
      <c r="N31" s="421">
        <v>0</v>
      </c>
      <c r="O31" s="421">
        <v>0</v>
      </c>
      <c r="P31" s="415">
        <v>0</v>
      </c>
      <c r="Q31" s="415">
        <v>0</v>
      </c>
      <c r="R31" s="415">
        <v>0</v>
      </c>
      <c r="S31" s="415">
        <v>0</v>
      </c>
      <c r="T31" s="421"/>
      <c r="U31" s="421"/>
      <c r="V31" s="421">
        <f>_xlfn.IFNA(VLOOKUP(A31,[3]進出口值表查詢結果!$C$11:$F$68,4,0),-[2]整車!$B$22)</f>
        <v>0</v>
      </c>
      <c r="W31" s="421">
        <f>_xlfn.IFNA(VLOOKUP(A31,[3]進出口值表查詢結果!$C$11:$F$68,3,0),-[2]整車!$B$22)</f>
        <v>0</v>
      </c>
      <c r="X31" s="421">
        <f>_xlfn.IFNA(VLOOKUP(A31,[4]進出口值表查詢結果!$C$11:$F$68,4,0),-[2]整車!$B$22)</f>
        <v>0</v>
      </c>
      <c r="Y31" s="421">
        <f>_xlfn.IFNA(VLOOKUP(A31,[4]進出口值表查詢結果!$C$11:$F$68,3,0),-[2]整車!$B$22)</f>
        <v>0</v>
      </c>
      <c r="Z31" s="415">
        <f t="shared" si="3"/>
        <v>0</v>
      </c>
      <c r="AA31" s="415">
        <f t="shared" si="4"/>
        <v>0</v>
      </c>
    </row>
    <row r="32" spans="1:27">
      <c r="A32" s="458" t="s">
        <v>246</v>
      </c>
      <c r="B32" s="415">
        <v>0</v>
      </c>
      <c r="C32" s="415">
        <v>0</v>
      </c>
      <c r="D32" s="421"/>
      <c r="E32" s="421"/>
      <c r="F32" s="421">
        <v>0</v>
      </c>
      <c r="G32" s="421"/>
      <c r="H32" s="421">
        <v>2</v>
      </c>
      <c r="I32" s="421">
        <v>3147</v>
      </c>
      <c r="J32" s="422" t="s">
        <v>59</v>
      </c>
      <c r="K32" s="425" t="s">
        <v>59</v>
      </c>
      <c r="L32" s="421">
        <v>0</v>
      </c>
      <c r="M32" s="421">
        <v>0</v>
      </c>
      <c r="N32" s="421">
        <v>9</v>
      </c>
      <c r="O32" s="421">
        <v>14807</v>
      </c>
      <c r="P32" s="415">
        <v>0</v>
      </c>
      <c r="Q32" s="415">
        <v>0</v>
      </c>
      <c r="R32" s="415">
        <v>0</v>
      </c>
      <c r="S32" s="415">
        <v>0</v>
      </c>
      <c r="T32" s="421"/>
      <c r="U32" s="421"/>
      <c r="V32" s="421">
        <f>_xlfn.IFNA(VLOOKUP(A32,[3]進出口值表查詢結果!$C$11:$F$68,4,0),-[2]整車!$B$22)</f>
        <v>0</v>
      </c>
      <c r="W32" s="421">
        <f>_xlfn.IFNA(VLOOKUP(A32,[3]進出口值表查詢結果!$C$11:$F$68,3,0),-[2]整車!$B$22)</f>
        <v>0</v>
      </c>
      <c r="X32" s="421">
        <f>_xlfn.IFNA(VLOOKUP(A32,[4]進出口值表查詢結果!$C$11:$F$68,4,0),-[2]整車!$B$22)</f>
        <v>12</v>
      </c>
      <c r="Y32" s="421">
        <f>_xlfn.IFNA(VLOOKUP(A32,[4]進出口值表查詢結果!$C$11:$F$68,3,0),-[2]整車!$B$22)</f>
        <v>16410</v>
      </c>
      <c r="Z32" s="415">
        <f t="shared" si="3"/>
        <v>23</v>
      </c>
      <c r="AA32" s="415">
        <f t="shared" si="4"/>
        <v>34364</v>
      </c>
    </row>
    <row r="33" spans="1:27">
      <c r="A33" s="458" t="s">
        <v>247</v>
      </c>
      <c r="B33" s="415">
        <v>0</v>
      </c>
      <c r="C33" s="415">
        <v>0</v>
      </c>
      <c r="D33" s="421">
        <v>65</v>
      </c>
      <c r="E33" s="421">
        <v>100633</v>
      </c>
      <c r="F33" s="415">
        <v>430</v>
      </c>
      <c r="G33" s="421">
        <v>75772</v>
      </c>
      <c r="H33" s="421">
        <v>89</v>
      </c>
      <c r="I33" s="421">
        <v>94535</v>
      </c>
      <c r="J33" s="422" t="s">
        <v>59</v>
      </c>
      <c r="K33" s="425" t="s">
        <v>59</v>
      </c>
      <c r="L33" s="421">
        <v>0</v>
      </c>
      <c r="M33" s="421">
        <v>0</v>
      </c>
      <c r="N33" s="421">
        <v>0</v>
      </c>
      <c r="O33" s="421">
        <v>0</v>
      </c>
      <c r="P33" s="415">
        <v>0</v>
      </c>
      <c r="Q33" s="415">
        <v>0</v>
      </c>
      <c r="R33" s="415">
        <v>0</v>
      </c>
      <c r="S33" s="415">
        <v>0</v>
      </c>
      <c r="T33" s="421"/>
      <c r="U33" s="421"/>
      <c r="V33" s="421">
        <f>_xlfn.IFNA(VLOOKUP(A33,[3]進出口值表查詢結果!$C$11:$F$68,4,0),-[2]整車!$B$22)</f>
        <v>0</v>
      </c>
      <c r="W33" s="421">
        <f>_xlfn.IFNA(VLOOKUP(A33,[3]進出口值表查詢結果!$C$11:$F$68,3,0),-[2]整車!$B$22)</f>
        <v>0</v>
      </c>
      <c r="X33" s="421">
        <f>_xlfn.IFNA(VLOOKUP(A33,[4]進出口值表查詢結果!$C$11:$F$68,4,0),-[2]整車!$B$22)</f>
        <v>36</v>
      </c>
      <c r="Y33" s="421">
        <f>_xlfn.IFNA(VLOOKUP(A33,[4]進出口值表查詢結果!$C$11:$F$68,3,0),-[2]整車!$B$22)</f>
        <v>41708</v>
      </c>
      <c r="Z33" s="421">
        <f t="shared" si="3"/>
        <v>620</v>
      </c>
      <c r="AA33" s="421">
        <f t="shared" si="4"/>
        <v>312648</v>
      </c>
    </row>
    <row r="34" spans="1:27">
      <c r="A34" s="458" t="s">
        <v>248</v>
      </c>
      <c r="B34" s="415">
        <v>0</v>
      </c>
      <c r="C34" s="415">
        <v>0</v>
      </c>
      <c r="D34" s="421"/>
      <c r="E34" s="421"/>
      <c r="F34" s="421">
        <v>0</v>
      </c>
      <c r="G34" s="421"/>
      <c r="H34" s="421">
        <v>0</v>
      </c>
      <c r="I34" s="421">
        <v>0</v>
      </c>
      <c r="J34" s="422" t="s">
        <v>59</v>
      </c>
      <c r="K34" s="425" t="s">
        <v>59</v>
      </c>
      <c r="L34" s="421">
        <v>200</v>
      </c>
      <c r="M34" s="421">
        <v>26608</v>
      </c>
      <c r="N34" s="421">
        <v>0</v>
      </c>
      <c r="O34" s="421">
        <v>0</v>
      </c>
      <c r="P34" s="415">
        <v>0</v>
      </c>
      <c r="Q34" s="415">
        <v>0</v>
      </c>
      <c r="R34" s="415">
        <v>0</v>
      </c>
      <c r="S34" s="415">
        <v>0</v>
      </c>
      <c r="T34" s="421"/>
      <c r="U34" s="421"/>
      <c r="V34" s="421">
        <f>_xlfn.IFNA(VLOOKUP(A34,[3]進出口值表查詢結果!$C$11:$F$68,4,0),-[2]整車!$B$22)</f>
        <v>0</v>
      </c>
      <c r="W34" s="421">
        <f>_xlfn.IFNA(VLOOKUP(A34,[3]進出口值表查詢結果!$C$11:$F$68,3,0),-[2]整車!$B$22)</f>
        <v>0</v>
      </c>
      <c r="X34" s="421">
        <f>_xlfn.IFNA(VLOOKUP(A34,[4]進出口值表查詢結果!$C$11:$F$68,4,0),-[2]整車!$B$22)</f>
        <v>0</v>
      </c>
      <c r="Y34" s="421">
        <f>_xlfn.IFNA(VLOOKUP(A34,[4]進出口值表查詢結果!$C$11:$F$68,3,0),-[2]整車!$B$22)</f>
        <v>0</v>
      </c>
      <c r="Z34" s="421">
        <f t="shared" si="3"/>
        <v>200</v>
      </c>
      <c r="AA34" s="421">
        <f t="shared" si="4"/>
        <v>26608</v>
      </c>
    </row>
    <row r="35" spans="1:27">
      <c r="A35" s="414"/>
      <c r="B35" s="415"/>
      <c r="C35" s="415"/>
      <c r="D35" s="415"/>
      <c r="E35" s="415"/>
      <c r="F35" s="415"/>
      <c r="G35" s="415"/>
      <c r="H35" s="415"/>
      <c r="I35" s="415"/>
      <c r="J35" s="408"/>
      <c r="K35" s="409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</row>
    <row r="36" spans="1:27">
      <c r="A36" s="427" t="s">
        <v>142</v>
      </c>
      <c r="B36" s="428">
        <f t="shared" ref="B36:Y36" si="5">B38+B68+B75</f>
        <v>79424</v>
      </c>
      <c r="C36" s="428">
        <f t="shared" si="5"/>
        <v>35612604</v>
      </c>
      <c r="D36" s="428">
        <f t="shared" si="5"/>
        <v>64213</v>
      </c>
      <c r="E36" s="428">
        <f t="shared" si="5"/>
        <v>30491608</v>
      </c>
      <c r="F36" s="428">
        <f t="shared" si="5"/>
        <v>54696</v>
      </c>
      <c r="G36" s="428">
        <f t="shared" si="5"/>
        <v>29542744</v>
      </c>
      <c r="H36" s="428">
        <f t="shared" si="5"/>
        <v>39009</v>
      </c>
      <c r="I36" s="428">
        <f t="shared" si="5"/>
        <v>19973565</v>
      </c>
      <c r="J36" s="429">
        <f t="shared" si="5"/>
        <v>44931</v>
      </c>
      <c r="K36" s="430">
        <f>K38+K68+K75</f>
        <v>28357229</v>
      </c>
      <c r="L36" s="428">
        <f t="shared" si="5"/>
        <v>51038</v>
      </c>
      <c r="M36" s="428">
        <f t="shared" si="5"/>
        <v>32305965</v>
      </c>
      <c r="N36" s="428">
        <f t="shared" si="5"/>
        <v>44856</v>
      </c>
      <c r="O36" s="428">
        <f t="shared" si="5"/>
        <v>35121669</v>
      </c>
      <c r="P36" s="428">
        <f t="shared" si="5"/>
        <v>69496</v>
      </c>
      <c r="Q36" s="428">
        <f t="shared" si="5"/>
        <v>46505146</v>
      </c>
      <c r="R36" s="428">
        <f t="shared" si="5"/>
        <v>46124</v>
      </c>
      <c r="S36" s="428">
        <f t="shared" si="5"/>
        <v>32297052</v>
      </c>
      <c r="T36" s="428">
        <f t="shared" si="5"/>
        <v>63488</v>
      </c>
      <c r="U36" s="428">
        <f t="shared" si="5"/>
        <v>38464858</v>
      </c>
      <c r="V36" s="428">
        <f>V38+V68+V75</f>
        <v>52331</v>
      </c>
      <c r="W36" s="428">
        <f>W38+W68+W75</f>
        <v>31078138</v>
      </c>
      <c r="X36" s="428">
        <f t="shared" si="5"/>
        <v>64845</v>
      </c>
      <c r="Y36" s="428">
        <f t="shared" si="5"/>
        <v>39655701</v>
      </c>
      <c r="Z36" s="428">
        <f>SUM(B36,D36,F36,H36,J36,L36,N36,P36,R36,T36,V36,X36)</f>
        <v>674451</v>
      </c>
      <c r="AA36" s="428">
        <f>SUM(C36,E36,G36,I36,K36,M36,O36,Q36,S36,U36,W36,Y36)</f>
        <v>399406279</v>
      </c>
    </row>
    <row r="37" spans="1:27">
      <c r="A37" s="414"/>
      <c r="B37" s="415"/>
      <c r="C37" s="415"/>
      <c r="D37" s="415"/>
      <c r="E37" s="415"/>
      <c r="F37" s="415"/>
      <c r="G37" s="415"/>
      <c r="H37" s="415"/>
      <c r="I37" s="415"/>
      <c r="J37" s="408"/>
      <c r="K37" s="409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</row>
    <row r="38" spans="1:27">
      <c r="A38" s="431" t="s">
        <v>9</v>
      </c>
      <c r="B38" s="432">
        <f t="shared" ref="B38:Y38" si="6">SUM(B39:B66)</f>
        <v>71602</v>
      </c>
      <c r="C38" s="432">
        <f t="shared" si="6"/>
        <v>31042061</v>
      </c>
      <c r="D38" s="432">
        <f t="shared" si="6"/>
        <v>57938</v>
      </c>
      <c r="E38" s="432">
        <f t="shared" si="6"/>
        <v>27066923</v>
      </c>
      <c r="F38" s="432">
        <f t="shared" si="6"/>
        <v>50036</v>
      </c>
      <c r="G38" s="432">
        <f t="shared" si="6"/>
        <v>26756451</v>
      </c>
      <c r="H38" s="432">
        <f t="shared" si="6"/>
        <v>35898</v>
      </c>
      <c r="I38" s="432">
        <f t="shared" si="6"/>
        <v>18239616</v>
      </c>
      <c r="J38" s="433">
        <f t="shared" si="6"/>
        <v>42641</v>
      </c>
      <c r="K38" s="434">
        <f>SUM(K39:K66)</f>
        <v>26690377</v>
      </c>
      <c r="L38" s="432">
        <f t="shared" si="6"/>
        <v>48143</v>
      </c>
      <c r="M38" s="432">
        <f t="shared" si="6"/>
        <v>30331535</v>
      </c>
      <c r="N38" s="432">
        <f t="shared" si="6"/>
        <v>41659</v>
      </c>
      <c r="O38" s="432">
        <f t="shared" si="6"/>
        <v>32356018</v>
      </c>
      <c r="P38" s="432">
        <f t="shared" si="6"/>
        <v>67372</v>
      </c>
      <c r="Q38" s="432">
        <f t="shared" si="6"/>
        <v>44304841</v>
      </c>
      <c r="R38" s="432">
        <f t="shared" si="6"/>
        <v>44242</v>
      </c>
      <c r="S38" s="432">
        <f t="shared" si="6"/>
        <v>30263800</v>
      </c>
      <c r="T38" s="432">
        <f t="shared" si="6"/>
        <v>58319</v>
      </c>
      <c r="U38" s="432">
        <f t="shared" si="6"/>
        <v>35452809</v>
      </c>
      <c r="V38" s="432">
        <f>SUM(V39:V66)</f>
        <v>49253</v>
      </c>
      <c r="W38" s="432">
        <f>SUM(W39:W66)</f>
        <v>28348880</v>
      </c>
      <c r="X38" s="432">
        <f t="shared" si="6"/>
        <v>58138</v>
      </c>
      <c r="Y38" s="432">
        <f t="shared" si="6"/>
        <v>33913506</v>
      </c>
      <c r="Z38" s="432">
        <f t="shared" ref="Z38:Z66" si="7">SUM(B38,D38,F38,H38,J38,L38,N38,P38,R38,T38,V38,X38)</f>
        <v>625241</v>
      </c>
      <c r="AA38" s="432">
        <f t="shared" ref="AA38:AA66" si="8">SUM(C38,E38,G38,I38,K38,M38,O38,Q38,S38,U38,W38,Y38)</f>
        <v>364766817</v>
      </c>
    </row>
    <row r="39" spans="1:27">
      <c r="A39" s="458" t="s">
        <v>162</v>
      </c>
      <c r="B39" s="421">
        <v>9455</v>
      </c>
      <c r="C39" s="421">
        <v>8098805</v>
      </c>
      <c r="D39" s="421">
        <v>5899</v>
      </c>
      <c r="E39" s="421">
        <v>4489009</v>
      </c>
      <c r="F39" s="421">
        <v>11184</v>
      </c>
      <c r="G39" s="421">
        <v>11101791</v>
      </c>
      <c r="H39" s="421">
        <v>7475</v>
      </c>
      <c r="I39" s="421">
        <v>8873601</v>
      </c>
      <c r="J39" s="422">
        <v>12869</v>
      </c>
      <c r="K39" s="423">
        <v>13913534</v>
      </c>
      <c r="L39" s="421">
        <v>14682</v>
      </c>
      <c r="M39" s="421">
        <v>14178313</v>
      </c>
      <c r="N39" s="421">
        <v>14082</v>
      </c>
      <c r="O39" s="421">
        <v>14946790</v>
      </c>
      <c r="P39" s="421">
        <v>17288</v>
      </c>
      <c r="Q39" s="421">
        <v>20932370</v>
      </c>
      <c r="R39" s="421">
        <v>13841</v>
      </c>
      <c r="S39" s="421">
        <v>14623372</v>
      </c>
      <c r="T39" s="421">
        <v>14781</v>
      </c>
      <c r="U39" s="421">
        <v>14961515</v>
      </c>
      <c r="V39" s="421">
        <f>_xlfn.IFNA(VLOOKUP(A39,[3]進出口值表查詢結果!$C$11:$F$68,4,0),-[2]整車!$B$22)</f>
        <v>14525</v>
      </c>
      <c r="W39" s="421">
        <f>_xlfn.IFNA(VLOOKUP(A39,[3]進出口值表查詢結果!$C$11:$F$68,3,0),-[2]整車!$B$22)</f>
        <v>13590883</v>
      </c>
      <c r="X39" s="421">
        <f>_xlfn.IFNA(VLOOKUP(A39,[4]進出口值表查詢結果!$C$11:$F$68,4,0),-[2]整車!$B$22)</f>
        <v>15792</v>
      </c>
      <c r="Y39" s="421">
        <f>_xlfn.IFNA(VLOOKUP(A39,[4]進出口值表查詢結果!$C$11:$F$68,3,0),-[2]整車!$B$22)</f>
        <v>15201155</v>
      </c>
      <c r="Z39" s="415">
        <f t="shared" si="7"/>
        <v>151873</v>
      </c>
      <c r="AA39" s="415">
        <f t="shared" si="8"/>
        <v>154911138</v>
      </c>
    </row>
    <row r="40" spans="1:27">
      <c r="A40" s="458" t="s">
        <v>165</v>
      </c>
      <c r="B40" s="421">
        <v>6408</v>
      </c>
      <c r="C40" s="421">
        <v>3502900</v>
      </c>
      <c r="D40" s="421">
        <v>12057</v>
      </c>
      <c r="E40" s="421">
        <v>3128315</v>
      </c>
      <c r="F40" s="421">
        <v>8271</v>
      </c>
      <c r="G40" s="421">
        <v>2563956</v>
      </c>
      <c r="H40" s="421">
        <v>4864</v>
      </c>
      <c r="I40" s="421">
        <v>1321695</v>
      </c>
      <c r="J40" s="422">
        <v>2458</v>
      </c>
      <c r="K40" s="423">
        <v>672571</v>
      </c>
      <c r="L40" s="421">
        <v>2556</v>
      </c>
      <c r="M40" s="421">
        <v>1168366</v>
      </c>
      <c r="N40" s="421">
        <v>4316</v>
      </c>
      <c r="O40" s="421">
        <v>1533943</v>
      </c>
      <c r="P40" s="421">
        <v>4965</v>
      </c>
      <c r="Q40" s="421">
        <v>2104096</v>
      </c>
      <c r="R40" s="421">
        <v>3366</v>
      </c>
      <c r="S40" s="421">
        <v>1847351</v>
      </c>
      <c r="T40" s="421">
        <v>3654</v>
      </c>
      <c r="U40" s="421">
        <v>1456075</v>
      </c>
      <c r="V40" s="421">
        <f>_xlfn.IFNA(VLOOKUP(A40,[3]進出口值表查詢結果!$C$11:$F$68,4,0),-[2]整車!$B$22)</f>
        <v>5797</v>
      </c>
      <c r="W40" s="421">
        <f>_xlfn.IFNA(VLOOKUP(A40,[3]進出口值表查詢結果!$C$11:$F$68,3,0),-[2]整車!$B$22)</f>
        <v>1411961</v>
      </c>
      <c r="X40" s="421">
        <f>_xlfn.IFNA(VLOOKUP(A40,[4]進出口值表查詢結果!$C$11:$F$68,4,0),-[2]整車!$B$22)</f>
        <v>5920</v>
      </c>
      <c r="Y40" s="421">
        <f>_xlfn.IFNA(VLOOKUP(A40,[4]進出口值表查詢結果!$C$11:$F$68,3,0),-[2]整車!$B$22)</f>
        <v>1991602</v>
      </c>
      <c r="Z40" s="415">
        <f t="shared" si="7"/>
        <v>64632</v>
      </c>
      <c r="AA40" s="415">
        <f t="shared" si="8"/>
        <v>22702831</v>
      </c>
    </row>
    <row r="41" spans="1:27">
      <c r="A41" s="458" t="s">
        <v>179</v>
      </c>
      <c r="B41" s="421">
        <v>1316</v>
      </c>
      <c r="C41" s="421">
        <v>717427</v>
      </c>
      <c r="D41" s="421">
        <v>911</v>
      </c>
      <c r="E41" s="421">
        <v>709326</v>
      </c>
      <c r="F41" s="421">
        <v>1777</v>
      </c>
      <c r="G41" s="421">
        <v>1217722</v>
      </c>
      <c r="H41" s="421">
        <v>547</v>
      </c>
      <c r="I41" s="421">
        <v>1236471</v>
      </c>
      <c r="J41" s="422">
        <v>504</v>
      </c>
      <c r="K41" s="423">
        <v>997393</v>
      </c>
      <c r="L41" s="421">
        <v>1828</v>
      </c>
      <c r="M41" s="421">
        <v>1782072</v>
      </c>
      <c r="N41" s="421">
        <v>858</v>
      </c>
      <c r="O41" s="421">
        <v>1473021</v>
      </c>
      <c r="P41" s="421">
        <v>1248</v>
      </c>
      <c r="Q41" s="421">
        <v>1567705</v>
      </c>
      <c r="R41" s="421">
        <v>1489</v>
      </c>
      <c r="S41" s="421">
        <v>1445890</v>
      </c>
      <c r="T41" s="421">
        <v>1319</v>
      </c>
      <c r="U41" s="421">
        <v>1108193</v>
      </c>
      <c r="V41" s="421">
        <f>_xlfn.IFNA(VLOOKUP(A41,[3]進出口值表查詢結果!$C$11:$F$68,4,0),-[2]整車!$B$22)</f>
        <v>1769</v>
      </c>
      <c r="W41" s="421">
        <f>_xlfn.IFNA(VLOOKUP(A41,[3]進出口值表查詢結果!$C$11:$F$68,3,0),-[2]整車!$B$22)</f>
        <v>798510</v>
      </c>
      <c r="X41" s="421">
        <f>_xlfn.IFNA(VLOOKUP(A41,[4]進出口值表查詢結果!$C$11:$F$68,4,0),-[2]整車!$B$22)</f>
        <v>2665</v>
      </c>
      <c r="Y41" s="421">
        <f>_xlfn.IFNA(VLOOKUP(A41,[4]進出口值表查詢結果!$C$11:$F$68,3,0),-[2]整車!$B$22)</f>
        <v>1213680</v>
      </c>
      <c r="Z41" s="415">
        <f t="shared" si="7"/>
        <v>16231</v>
      </c>
      <c r="AA41" s="415">
        <f t="shared" si="8"/>
        <v>14267410</v>
      </c>
    </row>
    <row r="42" spans="1:27">
      <c r="A42" s="458" t="s">
        <v>163</v>
      </c>
      <c r="B42" s="421">
        <v>17706</v>
      </c>
      <c r="C42" s="421">
        <v>5035525</v>
      </c>
      <c r="D42" s="421">
        <v>6240</v>
      </c>
      <c r="E42" s="421">
        <v>3784977</v>
      </c>
      <c r="F42" s="421">
        <v>9566</v>
      </c>
      <c r="G42" s="421">
        <v>2935879</v>
      </c>
      <c r="H42" s="421">
        <v>6503</v>
      </c>
      <c r="I42" s="421">
        <v>3044684</v>
      </c>
      <c r="J42" s="422">
        <v>5112</v>
      </c>
      <c r="K42" s="423">
        <v>3224993</v>
      </c>
      <c r="L42" s="421">
        <v>13471</v>
      </c>
      <c r="M42" s="421">
        <v>4417423</v>
      </c>
      <c r="N42" s="421">
        <v>11009</v>
      </c>
      <c r="O42" s="421">
        <v>4729278</v>
      </c>
      <c r="P42" s="421">
        <v>33998</v>
      </c>
      <c r="Q42" s="421">
        <v>11641642</v>
      </c>
      <c r="R42" s="421">
        <v>15962</v>
      </c>
      <c r="S42" s="421">
        <v>6253943</v>
      </c>
      <c r="T42" s="421">
        <v>18510</v>
      </c>
      <c r="U42" s="421">
        <v>8270668</v>
      </c>
      <c r="V42" s="421">
        <f>_xlfn.IFNA(VLOOKUP(A42,[3]進出口值表查詢結果!$C$11:$F$68,4,0),-[2]整車!$B$22)</f>
        <v>12194</v>
      </c>
      <c r="W42" s="421">
        <f>_xlfn.IFNA(VLOOKUP(A42,[3]進出口值表查詢結果!$C$11:$F$68,3,0),-[2]整車!$B$22)</f>
        <v>5955460</v>
      </c>
      <c r="X42" s="421">
        <f>_xlfn.IFNA(VLOOKUP(A42,[4]進出口值表查詢結果!$C$11:$F$68,4,0),-[2]整車!$B$22)</f>
        <v>14217</v>
      </c>
      <c r="Y42" s="421">
        <f>_xlfn.IFNA(VLOOKUP(A42,[4]進出口值表查詢結果!$C$11:$F$68,3,0),-[2]整車!$B$22)</f>
        <v>5372669</v>
      </c>
      <c r="Z42" s="415">
        <f t="shared" si="7"/>
        <v>164488</v>
      </c>
      <c r="AA42" s="415">
        <f t="shared" si="8"/>
        <v>64667141</v>
      </c>
    </row>
    <row r="43" spans="1:27">
      <c r="A43" s="458" t="s">
        <v>171</v>
      </c>
      <c r="B43" s="421">
        <v>1251</v>
      </c>
      <c r="C43" s="421">
        <v>1143718</v>
      </c>
      <c r="D43" s="421">
        <v>1214</v>
      </c>
      <c r="E43" s="421">
        <v>1514756</v>
      </c>
      <c r="F43" s="421">
        <v>1275</v>
      </c>
      <c r="G43" s="421">
        <v>1300366</v>
      </c>
      <c r="H43" s="421">
        <v>85</v>
      </c>
      <c r="I43" s="421">
        <v>106062</v>
      </c>
      <c r="J43" s="422">
        <v>889</v>
      </c>
      <c r="K43" s="423">
        <v>1214599</v>
      </c>
      <c r="L43" s="421">
        <v>1601</v>
      </c>
      <c r="M43" s="421">
        <v>1668970</v>
      </c>
      <c r="N43" s="421">
        <v>925</v>
      </c>
      <c r="O43" s="421">
        <v>1104904</v>
      </c>
      <c r="P43" s="421">
        <v>519</v>
      </c>
      <c r="Q43" s="421">
        <v>835276</v>
      </c>
      <c r="R43" s="421">
        <v>1150</v>
      </c>
      <c r="S43" s="421">
        <v>1209512</v>
      </c>
      <c r="T43" s="421">
        <v>2343</v>
      </c>
      <c r="U43" s="421">
        <v>2166095</v>
      </c>
      <c r="V43" s="421">
        <f>_xlfn.IFNA(VLOOKUP(A43,[3]進出口值表查詢結果!$C$11:$F$68,4,0),-[2]整車!$B$22)</f>
        <v>1094</v>
      </c>
      <c r="W43" s="421">
        <f>_xlfn.IFNA(VLOOKUP(A43,[3]進出口值表查詢結果!$C$11:$F$68,3,0),-[2]整車!$B$22)</f>
        <v>1193068</v>
      </c>
      <c r="X43" s="421">
        <f>_xlfn.IFNA(VLOOKUP(A43,[4]進出口值表查詢結果!$C$11:$F$68,4,0),-[2]整車!$B$22)</f>
        <v>680</v>
      </c>
      <c r="Y43" s="421">
        <f>_xlfn.IFNA(VLOOKUP(A43,[4]進出口值表查詢結果!$C$11:$F$68,3,0),-[2]整車!$B$22)</f>
        <v>895521</v>
      </c>
      <c r="Z43" s="415">
        <f t="shared" si="7"/>
        <v>13026</v>
      </c>
      <c r="AA43" s="415">
        <f t="shared" si="8"/>
        <v>14352847</v>
      </c>
    </row>
    <row r="44" spans="1:27">
      <c r="A44" s="420" t="s">
        <v>252</v>
      </c>
      <c r="B44" s="421">
        <v>1462</v>
      </c>
      <c r="C44" s="421">
        <v>1150648</v>
      </c>
      <c r="D44" s="421">
        <v>1170</v>
      </c>
      <c r="E44" s="421">
        <v>1065890</v>
      </c>
      <c r="F44" s="421">
        <v>328</v>
      </c>
      <c r="G44" s="421">
        <v>441720</v>
      </c>
      <c r="H44" s="421">
        <v>198</v>
      </c>
      <c r="I44" s="421">
        <v>604272</v>
      </c>
      <c r="J44" s="422">
        <v>824</v>
      </c>
      <c r="K44" s="423">
        <v>1298798</v>
      </c>
      <c r="L44" s="421">
        <v>1079</v>
      </c>
      <c r="M44" s="421">
        <v>1208211</v>
      </c>
      <c r="N44" s="421">
        <v>807</v>
      </c>
      <c r="O44" s="421">
        <v>1002195</v>
      </c>
      <c r="P44" s="421">
        <v>796</v>
      </c>
      <c r="Q44" s="421">
        <v>1264047</v>
      </c>
      <c r="R44" s="421">
        <v>605</v>
      </c>
      <c r="S44" s="421">
        <v>956624</v>
      </c>
      <c r="T44" s="421">
        <v>1343</v>
      </c>
      <c r="U44" s="421">
        <v>1450743</v>
      </c>
      <c r="V44" s="421">
        <f>_xlfn.IFNA(VLOOKUP(A44,[3]進出口值表查詢結果!$C$11:$F$68,4,0),-[2]整車!$B$22)</f>
        <v>1030</v>
      </c>
      <c r="W44" s="421">
        <f>_xlfn.IFNA(VLOOKUP(A44,[3]進出口值表查詢結果!$C$11:$F$68,3,0),-[2]整車!$B$22)</f>
        <v>1221871</v>
      </c>
      <c r="X44" s="421">
        <f>_xlfn.IFNA(VLOOKUP(A44,[4]進出口值表查詢結果!$C$11:$F$68,4,0),-[2]整車!$B$22)</f>
        <v>1914</v>
      </c>
      <c r="Y44" s="421">
        <f>_xlfn.IFNA(VLOOKUP(A44,[4]進出口值表查詢結果!$C$11:$F$68,3,0),-[2]整車!$B$22)</f>
        <v>2462982</v>
      </c>
      <c r="Z44" s="415">
        <f t="shared" si="7"/>
        <v>11556</v>
      </c>
      <c r="AA44" s="415">
        <f t="shared" si="8"/>
        <v>14128001</v>
      </c>
    </row>
    <row r="45" spans="1:27">
      <c r="A45" s="458" t="s">
        <v>189</v>
      </c>
      <c r="B45" s="421">
        <v>8259</v>
      </c>
      <c r="C45" s="421">
        <v>7055116</v>
      </c>
      <c r="D45" s="421">
        <v>7827</v>
      </c>
      <c r="E45" s="421">
        <v>8311625</v>
      </c>
      <c r="F45" s="421">
        <v>5451</v>
      </c>
      <c r="G45" s="421">
        <v>4815102</v>
      </c>
      <c r="H45" s="421">
        <v>1437</v>
      </c>
      <c r="I45" s="421">
        <v>897615</v>
      </c>
      <c r="J45" s="422">
        <v>6587</v>
      </c>
      <c r="K45" s="423">
        <v>3549849</v>
      </c>
      <c r="L45" s="421">
        <v>5956</v>
      </c>
      <c r="M45" s="421">
        <v>4372019</v>
      </c>
      <c r="N45" s="421">
        <v>6178</v>
      </c>
      <c r="O45" s="421">
        <v>5869574</v>
      </c>
      <c r="P45" s="421">
        <v>5911</v>
      </c>
      <c r="Q45" s="421">
        <v>4858793</v>
      </c>
      <c r="R45" s="421">
        <v>4741</v>
      </c>
      <c r="S45" s="421">
        <v>2750680</v>
      </c>
      <c r="T45" s="421">
        <v>8165</v>
      </c>
      <c r="U45" s="421">
        <v>3665783</v>
      </c>
      <c r="V45" s="421">
        <f>_xlfn.IFNA(VLOOKUP(A45,[3]進出口值表查詢結果!$C$11:$F$68,4,0),-[2]整車!$B$22)</f>
        <v>4599</v>
      </c>
      <c r="W45" s="421">
        <f>_xlfn.IFNA(VLOOKUP(A45,[3]進出口值表查詢結果!$C$11:$F$68,3,0),-[2]整車!$B$22)</f>
        <v>2448875</v>
      </c>
      <c r="X45" s="421">
        <f>_xlfn.IFNA(VLOOKUP(A45,[4]進出口值表查詢結果!$C$11:$F$68,4,0),-[2]整車!$B$22)</f>
        <v>6519</v>
      </c>
      <c r="Y45" s="421">
        <f>_xlfn.IFNA(VLOOKUP(A45,[4]進出口值表查詢結果!$C$11:$F$68,3,0),-[2]整車!$B$22)</f>
        <v>4708366</v>
      </c>
      <c r="Z45" s="415">
        <f t="shared" si="7"/>
        <v>71630</v>
      </c>
      <c r="AA45" s="415">
        <f t="shared" si="8"/>
        <v>53303397</v>
      </c>
    </row>
    <row r="46" spans="1:27">
      <c r="A46" s="458" t="s">
        <v>166</v>
      </c>
      <c r="B46" s="421">
        <v>2698</v>
      </c>
      <c r="C46" s="421">
        <v>337022</v>
      </c>
      <c r="D46" s="421">
        <v>4227</v>
      </c>
      <c r="E46" s="421">
        <v>590807</v>
      </c>
      <c r="F46" s="421">
        <v>1385</v>
      </c>
      <c r="G46" s="421">
        <v>364355</v>
      </c>
      <c r="H46" s="421">
        <v>2867</v>
      </c>
      <c r="I46" s="421">
        <v>160451</v>
      </c>
      <c r="J46" s="422">
        <v>493</v>
      </c>
      <c r="K46" s="423">
        <v>68059</v>
      </c>
      <c r="L46" s="421">
        <v>3511</v>
      </c>
      <c r="M46" s="421">
        <v>345274</v>
      </c>
      <c r="N46" s="435">
        <v>616</v>
      </c>
      <c r="O46" s="435">
        <v>145435</v>
      </c>
      <c r="P46" s="421">
        <v>252</v>
      </c>
      <c r="Q46" s="421">
        <v>50525</v>
      </c>
      <c r="R46" s="421">
        <v>1078</v>
      </c>
      <c r="S46" s="421">
        <v>229756</v>
      </c>
      <c r="T46" s="421">
        <v>2600</v>
      </c>
      <c r="U46" s="421">
        <v>425508</v>
      </c>
      <c r="V46" s="421">
        <f>_xlfn.IFNA(VLOOKUP(A46,[3]進出口值表查詢結果!$C$11:$F$68,4,0),-[2]整車!$B$22)</f>
        <v>2376</v>
      </c>
      <c r="W46" s="421">
        <f>_xlfn.IFNA(VLOOKUP(A46,[3]進出口值表查詢結果!$C$11:$F$68,3,0),-[2]整車!$B$22)</f>
        <v>357540</v>
      </c>
      <c r="X46" s="421">
        <f>_xlfn.IFNA(VLOOKUP(A46,[4]進出口值表查詢結果!$C$11:$F$68,4,0),-[2]整車!$B$22)</f>
        <v>3399</v>
      </c>
      <c r="Y46" s="421">
        <f>_xlfn.IFNA(VLOOKUP(A46,[4]進出口值表查詢結果!$C$11:$F$68,3,0),-[2]整車!$B$22)</f>
        <v>252100</v>
      </c>
      <c r="Z46" s="415">
        <f t="shared" si="7"/>
        <v>25502</v>
      </c>
      <c r="AA46" s="415">
        <f t="shared" si="8"/>
        <v>3326832</v>
      </c>
    </row>
    <row r="47" spans="1:27">
      <c r="A47" s="458" t="s">
        <v>192</v>
      </c>
      <c r="B47" s="421">
        <v>0</v>
      </c>
      <c r="C47" s="421">
        <v>0</v>
      </c>
      <c r="D47" s="421"/>
      <c r="E47" s="421"/>
      <c r="F47" s="421">
        <v>0</v>
      </c>
      <c r="G47" s="421"/>
      <c r="H47" s="421">
        <v>0</v>
      </c>
      <c r="I47" s="421">
        <v>0</v>
      </c>
      <c r="J47" s="422">
        <v>17</v>
      </c>
      <c r="K47" s="423">
        <v>30939</v>
      </c>
      <c r="L47" s="421">
        <v>0</v>
      </c>
      <c r="M47" s="421">
        <v>0</v>
      </c>
      <c r="N47" s="421">
        <v>0</v>
      </c>
      <c r="O47" s="421">
        <v>0</v>
      </c>
      <c r="P47" s="421">
        <v>0</v>
      </c>
      <c r="Q47" s="421">
        <v>0</v>
      </c>
      <c r="R47" s="421">
        <v>0</v>
      </c>
      <c r="S47" s="421">
        <v>0</v>
      </c>
      <c r="T47" s="421"/>
      <c r="U47" s="421"/>
      <c r="V47" s="421">
        <f>_xlfn.IFNA(VLOOKUP(A47,[3]進出口值表查詢結果!$C$11:$F$68,4,0),-[2]整車!$B$22)</f>
        <v>13</v>
      </c>
      <c r="W47" s="421">
        <f>_xlfn.IFNA(VLOOKUP(A47,[3]進出口值表查詢結果!$C$11:$F$68,3,0),-[2]整車!$B$22)</f>
        <v>30641</v>
      </c>
      <c r="X47" s="421">
        <f>_xlfn.IFNA(VLOOKUP(A47,[4]進出口值表查詢結果!$C$11:$F$68,4,0),-[2]整車!$B$22)</f>
        <v>0</v>
      </c>
      <c r="Y47" s="421">
        <f>_xlfn.IFNA(VLOOKUP(A47,[4]進出口值表查詢結果!$C$11:$F$68,3,0),-[2]整車!$B$22)</f>
        <v>0</v>
      </c>
      <c r="Z47" s="415">
        <f t="shared" si="7"/>
        <v>30</v>
      </c>
      <c r="AA47" s="415">
        <f t="shared" si="8"/>
        <v>61580</v>
      </c>
    </row>
    <row r="48" spans="1:27">
      <c r="A48" s="458" t="s">
        <v>255</v>
      </c>
      <c r="B48" s="421">
        <v>1496</v>
      </c>
      <c r="C48" s="421">
        <v>75974</v>
      </c>
      <c r="D48" s="421">
        <v>887</v>
      </c>
      <c r="E48" s="421">
        <v>76782</v>
      </c>
      <c r="F48" s="421">
        <v>282</v>
      </c>
      <c r="G48" s="421">
        <v>34683</v>
      </c>
      <c r="H48" s="421">
        <v>243</v>
      </c>
      <c r="I48" s="421">
        <v>59854</v>
      </c>
      <c r="J48" s="422">
        <v>2854</v>
      </c>
      <c r="K48" s="423">
        <v>111627</v>
      </c>
      <c r="L48" s="421">
        <v>292</v>
      </c>
      <c r="M48" s="421">
        <v>40717</v>
      </c>
      <c r="N48" s="435">
        <v>50</v>
      </c>
      <c r="O48" s="435">
        <v>7437</v>
      </c>
      <c r="P48" s="421">
        <v>0</v>
      </c>
      <c r="Q48" s="421">
        <v>0</v>
      </c>
      <c r="R48" s="421">
        <v>63</v>
      </c>
      <c r="S48" s="421">
        <v>7337</v>
      </c>
      <c r="T48" s="421">
        <v>110</v>
      </c>
      <c r="U48" s="421">
        <v>19242</v>
      </c>
      <c r="V48" s="421">
        <f>_xlfn.IFNA(VLOOKUP(A48,[3]進出口值表查詢結果!$C$11:$F$68,4,0),-[2]整車!$B$22)</f>
        <v>2810</v>
      </c>
      <c r="W48" s="421">
        <f>_xlfn.IFNA(VLOOKUP(A48,[3]進出口值表查詢結果!$C$11:$F$68,3,0),-[2]整車!$B$22)</f>
        <v>115217</v>
      </c>
      <c r="X48" s="421">
        <f>_xlfn.IFNA(VLOOKUP(A48,[4]進出口值表查詢結果!$C$11:$F$68,4,0),-[2]整車!$B$22)</f>
        <v>233</v>
      </c>
      <c r="Y48" s="421">
        <f>_xlfn.IFNA(VLOOKUP(A48,[4]進出口值表查詢結果!$C$11:$F$68,3,0),-[2]整車!$B$22)</f>
        <v>49405</v>
      </c>
      <c r="Z48" s="415">
        <f t="shared" si="7"/>
        <v>9320</v>
      </c>
      <c r="AA48" s="415">
        <f t="shared" si="8"/>
        <v>598275</v>
      </c>
    </row>
    <row r="49" spans="1:27">
      <c r="A49" s="458" t="s">
        <v>195</v>
      </c>
      <c r="B49" s="421">
        <v>0</v>
      </c>
      <c r="C49" s="421">
        <v>0</v>
      </c>
      <c r="D49" s="421"/>
      <c r="E49" s="421"/>
      <c r="F49" s="421">
        <v>0</v>
      </c>
      <c r="G49" s="421"/>
      <c r="H49" s="421">
        <v>0</v>
      </c>
      <c r="I49" s="421">
        <v>0</v>
      </c>
      <c r="J49" s="422" t="s">
        <v>59</v>
      </c>
      <c r="K49" s="425" t="s">
        <v>59</v>
      </c>
      <c r="L49" s="421">
        <v>0</v>
      </c>
      <c r="M49" s="421">
        <v>0</v>
      </c>
      <c r="N49" s="421">
        <v>0</v>
      </c>
      <c r="O49" s="421">
        <v>0</v>
      </c>
      <c r="P49" s="421">
        <v>1103</v>
      </c>
      <c r="Q49" s="421">
        <v>149812</v>
      </c>
      <c r="R49" s="421">
        <v>0</v>
      </c>
      <c r="S49" s="421">
        <v>0</v>
      </c>
      <c r="T49" s="421">
        <v>1020</v>
      </c>
      <c r="U49" s="421">
        <v>82719</v>
      </c>
      <c r="V49" s="421">
        <f>_xlfn.IFNA(VLOOKUP(A49,[3]進出口值表查詢結果!$C$11:$F$68,4,0),-[2]整車!$B$22)</f>
        <v>250</v>
      </c>
      <c r="W49" s="421">
        <f>_xlfn.IFNA(VLOOKUP(A49,[3]進出口值表查詢結果!$C$11:$F$68,3,0),-[2]整車!$B$22)</f>
        <v>40485</v>
      </c>
      <c r="X49" s="421">
        <f>_xlfn.IFNA(VLOOKUP(A49,[4]進出口值表查詢結果!$C$11:$F$68,4,0),-[2]整車!$B$22)</f>
        <v>0</v>
      </c>
      <c r="Y49" s="421">
        <f>_xlfn.IFNA(VLOOKUP(A49,[4]進出口值表查詢結果!$C$11:$F$68,3,0),-[2]整車!$B$22)</f>
        <v>0</v>
      </c>
      <c r="Z49" s="415">
        <f t="shared" si="7"/>
        <v>2373</v>
      </c>
      <c r="AA49" s="415">
        <f t="shared" si="8"/>
        <v>273016</v>
      </c>
    </row>
    <row r="50" spans="1:27">
      <c r="A50" s="458" t="s">
        <v>256</v>
      </c>
      <c r="B50" s="421">
        <v>0</v>
      </c>
      <c r="C50" s="421">
        <v>0</v>
      </c>
      <c r="D50" s="421"/>
      <c r="E50" s="421"/>
      <c r="F50" s="421">
        <v>41</v>
      </c>
      <c r="G50" s="421">
        <v>46233</v>
      </c>
      <c r="H50" s="421">
        <v>0</v>
      </c>
      <c r="I50" s="421">
        <v>0</v>
      </c>
      <c r="J50" s="422">
        <v>78</v>
      </c>
      <c r="K50" s="425">
        <v>136719</v>
      </c>
      <c r="L50" s="421">
        <v>73</v>
      </c>
      <c r="M50" s="421">
        <v>111226</v>
      </c>
      <c r="N50" s="435">
        <v>42</v>
      </c>
      <c r="O50" s="435">
        <v>82995</v>
      </c>
      <c r="P50" s="421">
        <v>76</v>
      </c>
      <c r="Q50" s="421">
        <v>189800</v>
      </c>
      <c r="R50" s="421">
        <v>3</v>
      </c>
      <c r="S50" s="421">
        <v>18037</v>
      </c>
      <c r="T50" s="421"/>
      <c r="U50" s="421"/>
      <c r="V50" s="421">
        <f>_xlfn.IFNA(VLOOKUP(A50,[3]進出口值表查詢結果!$C$11:$F$68,4,0),-[2]整車!$B$22)</f>
        <v>0</v>
      </c>
      <c r="W50" s="421">
        <f>_xlfn.IFNA(VLOOKUP(A50,[3]進出口值表查詢結果!$C$11:$F$68,3,0),-[2]整車!$B$22)</f>
        <v>0</v>
      </c>
      <c r="X50" s="421">
        <f>_xlfn.IFNA(VLOOKUP(A50,[4]進出口值表查詢結果!$C$11:$F$68,4,0),-[2]整車!$B$22)</f>
        <v>0</v>
      </c>
      <c r="Y50" s="421">
        <f>_xlfn.IFNA(VLOOKUP(A50,[4]進出口值表查詢結果!$C$11:$F$68,3,0),-[2]整車!$B$22)</f>
        <v>0</v>
      </c>
      <c r="Z50" s="415">
        <f t="shared" si="7"/>
        <v>313</v>
      </c>
      <c r="AA50" s="415">
        <f t="shared" si="8"/>
        <v>585010</v>
      </c>
    </row>
    <row r="51" spans="1:27">
      <c r="A51" s="458" t="s">
        <v>187</v>
      </c>
      <c r="B51" s="421">
        <v>201</v>
      </c>
      <c r="C51" s="421">
        <v>272709</v>
      </c>
      <c r="D51" s="421"/>
      <c r="E51" s="421"/>
      <c r="F51" s="421">
        <v>0</v>
      </c>
      <c r="G51" s="421"/>
      <c r="H51" s="421">
        <v>32</v>
      </c>
      <c r="I51" s="421">
        <v>33620</v>
      </c>
      <c r="J51" s="422">
        <v>101</v>
      </c>
      <c r="K51" s="425">
        <v>102138</v>
      </c>
      <c r="L51" s="421">
        <v>63</v>
      </c>
      <c r="M51" s="421">
        <v>100302</v>
      </c>
      <c r="N51" s="435">
        <v>9</v>
      </c>
      <c r="O51" s="435">
        <v>13320</v>
      </c>
      <c r="P51" s="421">
        <v>0</v>
      </c>
      <c r="Q51" s="421">
        <v>0</v>
      </c>
      <c r="R51" s="421">
        <v>78</v>
      </c>
      <c r="S51" s="421">
        <v>157745</v>
      </c>
      <c r="T51" s="421"/>
      <c r="U51" s="421"/>
      <c r="V51" s="421">
        <f>_xlfn.IFNA(VLOOKUP(A51,[3]進出口值表查詢結果!$C$11:$F$68,4,0),-[2]整車!$B$22)</f>
        <v>149</v>
      </c>
      <c r="W51" s="421">
        <f>_xlfn.IFNA(VLOOKUP(A51,[3]進出口值表查詢結果!$C$11:$F$68,3,0),-[2]整車!$B$22)</f>
        <v>101179</v>
      </c>
      <c r="X51" s="421">
        <f>_xlfn.IFNA(VLOOKUP(A51,[4]進出口值表查詢結果!$C$11:$F$68,4,0),-[2]整車!$B$22)</f>
        <v>177</v>
      </c>
      <c r="Y51" s="421">
        <f>_xlfn.IFNA(VLOOKUP(A51,[4]進出口值表查詢結果!$C$11:$F$68,3,0),-[2]整車!$B$22)</f>
        <v>208957</v>
      </c>
      <c r="Z51" s="415">
        <f t="shared" si="7"/>
        <v>810</v>
      </c>
      <c r="AA51" s="415">
        <f t="shared" si="8"/>
        <v>989970</v>
      </c>
    </row>
    <row r="52" spans="1:27">
      <c r="A52" s="458" t="s">
        <v>258</v>
      </c>
      <c r="B52" s="421">
        <v>14850</v>
      </c>
      <c r="C52" s="421">
        <v>1819825</v>
      </c>
      <c r="D52" s="421">
        <v>10994</v>
      </c>
      <c r="E52" s="421">
        <v>1791539</v>
      </c>
      <c r="F52" s="421">
        <v>5163</v>
      </c>
      <c r="G52" s="421">
        <v>792431</v>
      </c>
      <c r="H52" s="421">
        <v>8731</v>
      </c>
      <c r="I52" s="421">
        <v>1291818</v>
      </c>
      <c r="J52" s="422">
        <v>8229</v>
      </c>
      <c r="K52" s="423">
        <v>909253</v>
      </c>
      <c r="L52" s="421">
        <v>1974</v>
      </c>
      <c r="M52" s="421">
        <v>362668</v>
      </c>
      <c r="N52" s="435">
        <v>1030</v>
      </c>
      <c r="O52" s="435">
        <v>144084</v>
      </c>
      <c r="P52" s="421">
        <v>637</v>
      </c>
      <c r="Q52" s="421">
        <v>148186</v>
      </c>
      <c r="R52" s="421">
        <v>0</v>
      </c>
      <c r="S52" s="421">
        <v>0</v>
      </c>
      <c r="T52" s="421">
        <v>492</v>
      </c>
      <c r="U52" s="421">
        <v>276110</v>
      </c>
      <c r="V52" s="421">
        <f>_xlfn.IFNA(VLOOKUP(A52,[3]進出口值表查詢結果!$C$11:$F$68,4,0),-[2]整車!$B$22)</f>
        <v>373</v>
      </c>
      <c r="W52" s="421">
        <f>_xlfn.IFNA(VLOOKUP(A52,[3]進出口值表查詢結果!$C$11:$F$68,3,0),-[2]整車!$B$22)</f>
        <v>210711</v>
      </c>
      <c r="X52" s="421">
        <f>_xlfn.IFNA(VLOOKUP(A52,[4]進出口值表查詢結果!$C$11:$F$68,4,0),-[2]整車!$B$22)</f>
        <v>255</v>
      </c>
      <c r="Y52" s="421">
        <f>_xlfn.IFNA(VLOOKUP(A52,[4]進出口值表查詢結果!$C$11:$F$68,3,0),-[2]整車!$B$22)</f>
        <v>121134</v>
      </c>
      <c r="Z52" s="415">
        <f t="shared" si="7"/>
        <v>52728</v>
      </c>
      <c r="AA52" s="415">
        <f t="shared" si="8"/>
        <v>7867759</v>
      </c>
    </row>
    <row r="53" spans="1:27">
      <c r="A53" s="458" t="s">
        <v>170</v>
      </c>
      <c r="B53" s="421">
        <v>415</v>
      </c>
      <c r="C53" s="421">
        <v>138854</v>
      </c>
      <c r="D53" s="421">
        <v>347</v>
      </c>
      <c r="E53" s="421">
        <v>89541</v>
      </c>
      <c r="F53" s="421">
        <v>168</v>
      </c>
      <c r="G53" s="421">
        <v>63590</v>
      </c>
      <c r="H53" s="421">
        <v>91</v>
      </c>
      <c r="I53" s="421">
        <v>41073</v>
      </c>
      <c r="J53" s="422" t="s">
        <v>59</v>
      </c>
      <c r="K53" s="425" t="s">
        <v>59</v>
      </c>
      <c r="L53" s="421">
        <v>192</v>
      </c>
      <c r="M53" s="421">
        <v>38137</v>
      </c>
      <c r="N53" s="435">
        <v>565</v>
      </c>
      <c r="O53" s="435">
        <v>326470</v>
      </c>
      <c r="P53" s="421">
        <v>55</v>
      </c>
      <c r="Q53" s="421">
        <v>37445</v>
      </c>
      <c r="R53" s="421">
        <v>12</v>
      </c>
      <c r="S53" s="421">
        <v>17120</v>
      </c>
      <c r="T53" s="421">
        <v>3</v>
      </c>
      <c r="U53" s="421">
        <v>1549</v>
      </c>
      <c r="V53" s="421">
        <f>_xlfn.IFNA(VLOOKUP(A53,[3]進出口值表查詢結果!$C$11:$F$68,4,0),-[2]整車!$B$22)</f>
        <v>6</v>
      </c>
      <c r="W53" s="421">
        <f>_xlfn.IFNA(VLOOKUP(A53,[3]進出口值表查詢結果!$C$11:$F$68,3,0),-[2]整車!$B$22)</f>
        <v>1837</v>
      </c>
      <c r="X53" s="421">
        <f>_xlfn.IFNA(VLOOKUP(A53,[4]進出口值表查詢結果!$C$11:$F$68,4,0),-[2]整車!$B$22)</f>
        <v>0</v>
      </c>
      <c r="Y53" s="421">
        <f>_xlfn.IFNA(VLOOKUP(A53,[4]進出口值表查詢結果!$C$11:$F$68,3,0),-[2]整車!$B$22)</f>
        <v>0</v>
      </c>
      <c r="Z53" s="415">
        <f t="shared" si="7"/>
        <v>1854</v>
      </c>
      <c r="AA53" s="415">
        <f t="shared" si="8"/>
        <v>755616</v>
      </c>
    </row>
    <row r="54" spans="1:27">
      <c r="A54" s="458" t="s">
        <v>177</v>
      </c>
      <c r="B54" s="421">
        <v>2701</v>
      </c>
      <c r="C54" s="421">
        <v>1013330</v>
      </c>
      <c r="D54" s="421">
        <v>526</v>
      </c>
      <c r="E54" s="421">
        <v>174316</v>
      </c>
      <c r="F54" s="421">
        <v>871</v>
      </c>
      <c r="G54" s="421">
        <v>261235</v>
      </c>
      <c r="H54" s="421">
        <v>560</v>
      </c>
      <c r="I54" s="421">
        <v>111328</v>
      </c>
      <c r="J54" s="422">
        <v>122</v>
      </c>
      <c r="K54" s="425">
        <v>126429</v>
      </c>
      <c r="L54" s="421">
        <v>437</v>
      </c>
      <c r="M54" s="421">
        <v>340350</v>
      </c>
      <c r="N54" s="435">
        <v>995</v>
      </c>
      <c r="O54" s="435">
        <v>812171</v>
      </c>
      <c r="P54" s="421">
        <v>393</v>
      </c>
      <c r="Q54" s="421">
        <v>427618</v>
      </c>
      <c r="R54" s="421">
        <v>1762</v>
      </c>
      <c r="S54" s="421">
        <v>731590</v>
      </c>
      <c r="T54" s="421">
        <v>2871</v>
      </c>
      <c r="U54" s="421">
        <v>1163960</v>
      </c>
      <c r="V54" s="421">
        <f>_xlfn.IFNA(VLOOKUP(A54,[3]進出口值表查詢結果!$C$11:$F$68,4,0),-[2]整車!$B$22)</f>
        <v>2077</v>
      </c>
      <c r="W54" s="421">
        <f>_xlfn.IFNA(VLOOKUP(A54,[3]進出口值表查詢結果!$C$11:$F$68,3,0),-[2]整車!$B$22)</f>
        <v>695253</v>
      </c>
      <c r="X54" s="421">
        <f>_xlfn.IFNA(VLOOKUP(A54,[4]進出口值表查詢結果!$C$11:$F$68,4,0),-[2]整車!$B$22)</f>
        <v>2420</v>
      </c>
      <c r="Y54" s="421">
        <f>_xlfn.IFNA(VLOOKUP(A54,[4]進出口值表查詢結果!$C$11:$F$68,3,0),-[2]整車!$B$22)</f>
        <v>651295</v>
      </c>
      <c r="Z54" s="415">
        <f t="shared" si="7"/>
        <v>15735</v>
      </c>
      <c r="AA54" s="415">
        <f t="shared" si="8"/>
        <v>6508875</v>
      </c>
    </row>
    <row r="55" spans="1:27">
      <c r="A55" s="458" t="s">
        <v>167</v>
      </c>
      <c r="B55" s="421">
        <v>184</v>
      </c>
      <c r="C55" s="421">
        <v>65445</v>
      </c>
      <c r="D55" s="421">
        <v>384</v>
      </c>
      <c r="E55" s="421">
        <v>270420</v>
      </c>
      <c r="F55" s="421">
        <v>117</v>
      </c>
      <c r="G55" s="421">
        <v>125456</v>
      </c>
      <c r="H55" s="421">
        <v>125</v>
      </c>
      <c r="I55" s="421">
        <v>79330</v>
      </c>
      <c r="J55" s="422">
        <v>112</v>
      </c>
      <c r="K55" s="425">
        <v>53759</v>
      </c>
      <c r="L55" s="421">
        <v>191</v>
      </c>
      <c r="M55" s="421">
        <v>102112</v>
      </c>
      <c r="N55" s="435">
        <v>97</v>
      </c>
      <c r="O55" s="435">
        <v>124577</v>
      </c>
      <c r="P55" s="421">
        <v>96</v>
      </c>
      <c r="Q55" s="421">
        <v>91901</v>
      </c>
      <c r="R55" s="421">
        <v>1</v>
      </c>
      <c r="S55" s="421">
        <v>4144</v>
      </c>
      <c r="T55" s="421">
        <v>262</v>
      </c>
      <c r="U55" s="421">
        <v>270569</v>
      </c>
      <c r="V55" s="421">
        <f>_xlfn.IFNA(VLOOKUP(A55,[3]進出口值表查詢結果!$C$11:$F$68,4,0),-[2]整車!$B$22)</f>
        <v>124</v>
      </c>
      <c r="W55" s="421">
        <f>_xlfn.IFNA(VLOOKUP(A55,[3]進出口值表查詢結果!$C$11:$F$68,3,0),-[2]整車!$B$22)</f>
        <v>163570</v>
      </c>
      <c r="X55" s="421">
        <f>_xlfn.IFNA(VLOOKUP(A55,[4]進出口值表查詢結果!$C$11:$F$68,4,0),-[2]整車!$B$22)</f>
        <v>2983</v>
      </c>
      <c r="Y55" s="421">
        <f>_xlfn.IFNA(VLOOKUP(A55,[4]進出口值表查詢結果!$C$11:$F$68,3,0),-[2]整車!$B$22)</f>
        <v>600700</v>
      </c>
      <c r="Z55" s="415">
        <f t="shared" si="7"/>
        <v>4676</v>
      </c>
      <c r="AA55" s="415">
        <f t="shared" si="8"/>
        <v>1951983</v>
      </c>
    </row>
    <row r="56" spans="1:27">
      <c r="A56" s="458" t="s">
        <v>173</v>
      </c>
      <c r="B56" s="421">
        <v>1004</v>
      </c>
      <c r="C56" s="421">
        <v>51950</v>
      </c>
      <c r="D56" s="421">
        <v>726</v>
      </c>
      <c r="E56" s="421">
        <v>56062</v>
      </c>
      <c r="F56" s="421">
        <v>1874</v>
      </c>
      <c r="G56" s="421">
        <v>133920</v>
      </c>
      <c r="H56" s="421">
        <v>806</v>
      </c>
      <c r="I56" s="421">
        <v>75224</v>
      </c>
      <c r="J56" s="422" t="s">
        <v>59</v>
      </c>
      <c r="K56" s="425" t="s">
        <v>59</v>
      </c>
      <c r="L56" s="421">
        <v>52</v>
      </c>
      <c r="M56" s="421">
        <v>5931</v>
      </c>
      <c r="N56" s="421">
        <v>0</v>
      </c>
      <c r="O56" s="421">
        <v>0</v>
      </c>
      <c r="P56" s="421">
        <v>0</v>
      </c>
      <c r="Q56" s="421">
        <v>0</v>
      </c>
      <c r="R56" s="421">
        <v>0</v>
      </c>
      <c r="S56" s="421">
        <v>0</v>
      </c>
      <c r="T56" s="421">
        <v>70</v>
      </c>
      <c r="U56" s="421">
        <v>11429</v>
      </c>
      <c r="V56" s="421">
        <f>_xlfn.IFNA(VLOOKUP(A56,[3]進出口值表查詢結果!$C$11:$F$68,4,0),-[2]整車!$B$22)</f>
        <v>13</v>
      </c>
      <c r="W56" s="421">
        <f>_xlfn.IFNA(VLOOKUP(A56,[3]進出口值表查詢結果!$C$11:$F$68,3,0),-[2]整車!$B$22)</f>
        <v>1698</v>
      </c>
      <c r="X56" s="421">
        <f>_xlfn.IFNA(VLOOKUP(A56,[4]進出口值表查詢結果!$C$11:$F$68,4,0),-[2]整車!$B$22)</f>
        <v>55</v>
      </c>
      <c r="Y56" s="421">
        <f>_xlfn.IFNA(VLOOKUP(A56,[4]進出口值表查詢結果!$C$11:$F$68,3,0),-[2]整車!$B$22)</f>
        <v>5808</v>
      </c>
      <c r="Z56" s="415">
        <f t="shared" si="7"/>
        <v>4600</v>
      </c>
      <c r="AA56" s="415">
        <f t="shared" si="8"/>
        <v>342022</v>
      </c>
    </row>
    <row r="57" spans="1:27">
      <c r="A57" s="458" t="s">
        <v>264</v>
      </c>
      <c r="B57" s="421">
        <v>0</v>
      </c>
      <c r="C57" s="421">
        <v>0</v>
      </c>
      <c r="D57" s="421">
        <v>40</v>
      </c>
      <c r="E57" s="421">
        <v>6163</v>
      </c>
      <c r="F57" s="421">
        <v>0</v>
      </c>
      <c r="G57" s="421"/>
      <c r="H57" s="421">
        <v>0</v>
      </c>
      <c r="I57" s="421">
        <v>0</v>
      </c>
      <c r="J57" s="422" t="s">
        <v>59</v>
      </c>
      <c r="K57" s="425" t="s">
        <v>59</v>
      </c>
      <c r="L57" s="421">
        <v>0</v>
      </c>
      <c r="M57" s="421">
        <v>0</v>
      </c>
      <c r="N57" s="421">
        <v>0</v>
      </c>
      <c r="O57" s="421">
        <v>0</v>
      </c>
      <c r="P57" s="421">
        <v>0</v>
      </c>
      <c r="Q57" s="421">
        <v>0</v>
      </c>
      <c r="R57" s="421">
        <v>0</v>
      </c>
      <c r="S57" s="421">
        <v>0</v>
      </c>
      <c r="T57" s="421"/>
      <c r="U57" s="421"/>
      <c r="V57" s="421">
        <f>_xlfn.IFNA(VLOOKUP(A57,[3]進出口值表查詢結果!$C$11:$F$68,4,0),-[2]整車!$B$22)</f>
        <v>0</v>
      </c>
      <c r="W57" s="421">
        <f>_xlfn.IFNA(VLOOKUP(A57,[3]進出口值表查詢結果!$C$11:$F$68,3,0),-[2]整車!$B$22)</f>
        <v>0</v>
      </c>
      <c r="X57" s="421">
        <f>_xlfn.IFNA(VLOOKUP(A57,[4]進出口值表查詢結果!$C$11:$F$68,4,0),-[2]整車!$B$22)</f>
        <v>0</v>
      </c>
      <c r="Y57" s="421">
        <f>_xlfn.IFNA(VLOOKUP(A57,[4]進出口值表查詢結果!$C$11:$F$68,3,0),-[2]整車!$B$22)</f>
        <v>0</v>
      </c>
      <c r="Z57" s="415">
        <f t="shared" si="7"/>
        <v>40</v>
      </c>
      <c r="AA57" s="415">
        <f t="shared" si="8"/>
        <v>6163</v>
      </c>
    </row>
    <row r="58" spans="1:27">
      <c r="A58" s="461" t="s">
        <v>266</v>
      </c>
      <c r="B58" s="421">
        <v>696</v>
      </c>
      <c r="C58" s="421">
        <v>253916</v>
      </c>
      <c r="D58" s="421">
        <v>1323</v>
      </c>
      <c r="E58" s="421">
        <v>281646</v>
      </c>
      <c r="F58" s="421">
        <v>898</v>
      </c>
      <c r="G58" s="421">
        <v>263987</v>
      </c>
      <c r="H58" s="421">
        <v>276</v>
      </c>
      <c r="I58" s="421">
        <v>95595</v>
      </c>
      <c r="J58" s="422">
        <v>767</v>
      </c>
      <c r="K58" s="425">
        <v>158803</v>
      </c>
      <c r="L58" s="421">
        <v>0</v>
      </c>
      <c r="M58" s="421">
        <v>0</v>
      </c>
      <c r="N58" s="435">
        <v>80</v>
      </c>
      <c r="O58" s="435">
        <v>39824</v>
      </c>
      <c r="P58" s="421">
        <v>0</v>
      </c>
      <c r="Q58" s="421">
        <v>0</v>
      </c>
      <c r="R58" s="421">
        <v>0</v>
      </c>
      <c r="S58" s="421">
        <v>0</v>
      </c>
      <c r="T58" s="421">
        <v>169</v>
      </c>
      <c r="U58" s="421">
        <v>44957</v>
      </c>
      <c r="V58" s="421">
        <f>_xlfn.IFNA(VLOOKUP(A58,[3]進出口值表查詢結果!$C$11:$F$68,4,0),-[2]整車!$B$22)</f>
        <v>0</v>
      </c>
      <c r="W58" s="421">
        <f>_xlfn.IFNA(VLOOKUP(A58,[3]進出口值表查詢結果!$C$11:$F$68,3,0),-[2]整車!$B$22)</f>
        <v>0</v>
      </c>
      <c r="X58" s="421">
        <f>_xlfn.IFNA(VLOOKUP(A58,[4]進出口值表查詢結果!$C$11:$F$68,4,0),-[2]整車!$B$22)</f>
        <v>0</v>
      </c>
      <c r="Y58" s="421">
        <f>_xlfn.IFNA(VLOOKUP(A58,[4]進出口值表查詢結果!$C$11:$F$68,3,0),-[2]整車!$B$22)</f>
        <v>0</v>
      </c>
      <c r="Z58" s="415">
        <f t="shared" si="7"/>
        <v>4209</v>
      </c>
      <c r="AA58" s="415">
        <f t="shared" si="8"/>
        <v>1138728</v>
      </c>
    </row>
    <row r="59" spans="1:27">
      <c r="A59" s="462" t="s">
        <v>18</v>
      </c>
      <c r="B59" s="421">
        <v>0</v>
      </c>
      <c r="C59" s="421">
        <v>0</v>
      </c>
      <c r="D59" s="421"/>
      <c r="E59" s="421"/>
      <c r="F59" s="421">
        <v>0</v>
      </c>
      <c r="G59" s="421"/>
      <c r="H59" s="421">
        <v>0</v>
      </c>
      <c r="I59" s="421">
        <v>0</v>
      </c>
      <c r="J59" s="422">
        <v>50</v>
      </c>
      <c r="K59" s="425">
        <v>5012</v>
      </c>
      <c r="L59" s="421">
        <v>0</v>
      </c>
      <c r="M59" s="421">
        <v>0</v>
      </c>
      <c r="N59" s="421">
        <v>0</v>
      </c>
      <c r="O59" s="421">
        <v>0</v>
      </c>
      <c r="P59" s="421">
        <v>0</v>
      </c>
      <c r="Q59" s="421">
        <v>0</v>
      </c>
      <c r="R59" s="421">
        <v>0</v>
      </c>
      <c r="S59" s="421">
        <v>0</v>
      </c>
      <c r="T59" s="421">
        <v>440</v>
      </c>
      <c r="U59" s="421">
        <v>55250</v>
      </c>
      <c r="V59" s="421">
        <f>_xlfn.IFNA(VLOOKUP(A59,[3]進出口值表查詢結果!$C$11:$F$68,4,0),-[2]整車!$B$22)</f>
        <v>0</v>
      </c>
      <c r="W59" s="421">
        <f>_xlfn.IFNA(VLOOKUP(A59,[3]進出口值表查詢結果!$C$11:$F$68,3,0),-[2]整車!$B$22)</f>
        <v>0</v>
      </c>
      <c r="X59" s="421">
        <f>_xlfn.IFNA(VLOOKUP(A59,[4]進出口值表查詢結果!$C$11:$F$68,4,0),-[2]整車!$B$22)</f>
        <v>0</v>
      </c>
      <c r="Y59" s="421">
        <f>_xlfn.IFNA(VLOOKUP(A59,[4]進出口值表查詢結果!$C$11:$F$68,3,0),-[2]整車!$B$22)</f>
        <v>0</v>
      </c>
      <c r="Z59" s="415">
        <f t="shared" si="7"/>
        <v>490</v>
      </c>
      <c r="AA59" s="415">
        <f t="shared" si="8"/>
        <v>60262</v>
      </c>
    </row>
    <row r="60" spans="1:27">
      <c r="A60" s="458" t="s">
        <v>269</v>
      </c>
      <c r="B60" s="421">
        <v>0</v>
      </c>
      <c r="C60" s="421">
        <v>0</v>
      </c>
      <c r="D60" s="421">
        <v>523</v>
      </c>
      <c r="E60" s="421">
        <v>150033</v>
      </c>
      <c r="F60" s="421">
        <v>813</v>
      </c>
      <c r="G60" s="421">
        <v>183637</v>
      </c>
      <c r="H60" s="421">
        <v>317</v>
      </c>
      <c r="I60" s="421">
        <v>63199</v>
      </c>
      <c r="J60" s="422" t="s">
        <v>59</v>
      </c>
      <c r="K60" s="425" t="s">
        <v>59</v>
      </c>
      <c r="L60" s="421">
        <v>160</v>
      </c>
      <c r="M60" s="421">
        <v>66421</v>
      </c>
      <c r="N60" s="421">
        <v>0</v>
      </c>
      <c r="O60" s="421">
        <v>0</v>
      </c>
      <c r="P60" s="421">
        <v>0</v>
      </c>
      <c r="Q60" s="421">
        <v>0</v>
      </c>
      <c r="R60" s="421">
        <v>0</v>
      </c>
      <c r="S60" s="421">
        <v>0</v>
      </c>
      <c r="T60" s="421"/>
      <c r="U60" s="421"/>
      <c r="V60" s="421">
        <f>_xlfn.IFNA(VLOOKUP(A60,[3]進出口值表查詢結果!$C$11:$F$68,4,0),-[2]整車!$B$22)</f>
        <v>0</v>
      </c>
      <c r="W60" s="421">
        <f>_xlfn.IFNA(VLOOKUP(A60,[3]進出口值表查詢結果!$C$11:$F$68,3,0),-[2]整車!$B$22)</f>
        <v>0</v>
      </c>
      <c r="X60" s="421">
        <f>_xlfn.IFNA(VLOOKUP(A60,[4]進出口值表查詢結果!$C$11:$F$68,4,0),-[2]整車!$B$22)</f>
        <v>0</v>
      </c>
      <c r="Y60" s="421">
        <f>_xlfn.IFNA(VLOOKUP(A60,[4]進出口值表查詢結果!$C$11:$F$68,3,0),-[2]整車!$B$22)</f>
        <v>0</v>
      </c>
      <c r="Z60" s="415">
        <f t="shared" si="7"/>
        <v>1813</v>
      </c>
      <c r="AA60" s="415">
        <f t="shared" si="8"/>
        <v>463290</v>
      </c>
    </row>
    <row r="61" spans="1:27">
      <c r="A61" s="420" t="s">
        <v>270</v>
      </c>
      <c r="B61" s="421">
        <v>1370</v>
      </c>
      <c r="C61" s="421">
        <v>251116</v>
      </c>
      <c r="D61" s="421">
        <v>1982</v>
      </c>
      <c r="E61" s="421">
        <v>436276</v>
      </c>
      <c r="F61" s="421">
        <v>324</v>
      </c>
      <c r="G61" s="421">
        <v>53469</v>
      </c>
      <c r="H61" s="421">
        <v>496</v>
      </c>
      <c r="I61" s="421">
        <v>109871</v>
      </c>
      <c r="J61" s="422">
        <v>113</v>
      </c>
      <c r="K61" s="436">
        <v>38322</v>
      </c>
      <c r="L61" s="421">
        <v>0</v>
      </c>
      <c r="M61" s="421">
        <v>0</v>
      </c>
      <c r="N61" s="421">
        <v>0</v>
      </c>
      <c r="O61" s="421">
        <v>0</v>
      </c>
      <c r="P61" s="421">
        <v>0</v>
      </c>
      <c r="Q61" s="421">
        <v>0</v>
      </c>
      <c r="R61" s="421">
        <v>0</v>
      </c>
      <c r="S61" s="421">
        <v>0</v>
      </c>
      <c r="T61" s="421"/>
      <c r="U61" s="421"/>
      <c r="V61" s="421">
        <f>_xlfn.IFNA(VLOOKUP(A61,[3]進出口值表查詢結果!$C$11:$F$68,4,0),-[2]整車!$B$22)</f>
        <v>0</v>
      </c>
      <c r="W61" s="421">
        <f>_xlfn.IFNA(VLOOKUP(A61,[3]進出口值表查詢結果!$C$11:$F$68,3,0),-[2]整車!$B$22)</f>
        <v>0</v>
      </c>
      <c r="X61" s="421">
        <f>_xlfn.IFNA(VLOOKUP(A61,[4]進出口值表查詢結果!$C$11:$F$68,4,0),-[2]整車!$B$22)</f>
        <v>214</v>
      </c>
      <c r="Y61" s="421">
        <f>_xlfn.IFNA(VLOOKUP(A61,[4]進出口值表查詢結果!$C$11:$F$68,3,0),-[2]整車!$B$22)</f>
        <v>33520</v>
      </c>
      <c r="Z61" s="415">
        <f t="shared" si="7"/>
        <v>4499</v>
      </c>
      <c r="AA61" s="415">
        <f t="shared" si="8"/>
        <v>922574</v>
      </c>
    </row>
    <row r="62" spans="1:27">
      <c r="A62" s="458" t="s">
        <v>272</v>
      </c>
      <c r="B62" s="421">
        <v>70</v>
      </c>
      <c r="C62" s="421">
        <v>43452</v>
      </c>
      <c r="D62" s="421">
        <v>261</v>
      </c>
      <c r="E62" s="421">
        <v>64456</v>
      </c>
      <c r="F62" s="421">
        <v>18</v>
      </c>
      <c r="G62" s="421">
        <v>17756</v>
      </c>
      <c r="H62" s="421">
        <v>0</v>
      </c>
      <c r="I62" s="421">
        <v>0</v>
      </c>
      <c r="J62" s="422" t="s">
        <v>59</v>
      </c>
      <c r="K62" s="425" t="s">
        <v>59</v>
      </c>
      <c r="L62" s="421">
        <v>25</v>
      </c>
      <c r="M62" s="421">
        <v>23023</v>
      </c>
      <c r="N62" s="421">
        <v>0</v>
      </c>
      <c r="O62" s="421">
        <v>0</v>
      </c>
      <c r="P62" s="421">
        <v>0</v>
      </c>
      <c r="Q62" s="421">
        <v>0</v>
      </c>
      <c r="R62" s="421">
        <v>0</v>
      </c>
      <c r="S62" s="421">
        <v>0</v>
      </c>
      <c r="T62" s="421"/>
      <c r="U62" s="421"/>
      <c r="V62" s="421">
        <f>_xlfn.IFNA(VLOOKUP(A62,[3]進出口值表查詢結果!$C$11:$F$68,4,0),-[2]整車!$B$22)</f>
        <v>1</v>
      </c>
      <c r="W62" s="421">
        <f>_xlfn.IFNA(VLOOKUP(A62,[3]進出口值表查詢結果!$C$11:$F$68,3,0),-[2]整車!$B$22)</f>
        <v>3951</v>
      </c>
      <c r="X62" s="421">
        <f>_xlfn.IFNA(VLOOKUP(A62,[4]進出口值表查詢結果!$C$11:$F$68,4,0),-[2]整車!$B$22)</f>
        <v>355</v>
      </c>
      <c r="Y62" s="421">
        <f>_xlfn.IFNA(VLOOKUP(A62,[4]進出口值表查詢結果!$C$11:$F$68,3,0),-[2]整車!$B$22)</f>
        <v>93772</v>
      </c>
      <c r="Z62" s="415">
        <f t="shared" si="7"/>
        <v>730</v>
      </c>
      <c r="AA62" s="415">
        <f t="shared" si="8"/>
        <v>246410</v>
      </c>
    </row>
    <row r="63" spans="1:27">
      <c r="A63" s="461" t="s">
        <v>406</v>
      </c>
      <c r="B63" s="421">
        <v>0</v>
      </c>
      <c r="C63" s="421">
        <v>0</v>
      </c>
      <c r="D63" s="421"/>
      <c r="E63" s="421"/>
      <c r="F63" s="421">
        <v>80</v>
      </c>
      <c r="G63" s="421">
        <v>11981</v>
      </c>
      <c r="H63" s="421">
        <v>125</v>
      </c>
      <c r="I63" s="421">
        <v>14310</v>
      </c>
      <c r="J63" s="422">
        <v>100</v>
      </c>
      <c r="K63" s="425">
        <v>16037</v>
      </c>
      <c r="L63" s="421">
        <v>0</v>
      </c>
      <c r="M63" s="421">
        <v>0</v>
      </c>
      <c r="N63" s="421">
        <v>0</v>
      </c>
      <c r="O63" s="421">
        <v>0</v>
      </c>
      <c r="P63" s="421">
        <v>0</v>
      </c>
      <c r="Q63" s="421">
        <v>0</v>
      </c>
      <c r="R63" s="421">
        <v>0</v>
      </c>
      <c r="S63" s="421">
        <v>0</v>
      </c>
      <c r="T63" s="421">
        <v>125</v>
      </c>
      <c r="U63" s="421">
        <v>16317</v>
      </c>
      <c r="V63" s="421">
        <f>_xlfn.IFNA(VLOOKUP(A63,[3]進出口值表查詢結果!$C$11:$F$68,4,0),-[2]整車!$B$22)</f>
        <v>0</v>
      </c>
      <c r="W63" s="421">
        <f>_xlfn.IFNA(VLOOKUP(A63,[3]進出口值表查詢結果!$C$11:$F$68,3,0),-[2]整車!$B$22)</f>
        <v>0</v>
      </c>
      <c r="X63" s="421">
        <f>_xlfn.IFNA(VLOOKUP(A63,[4]進出口值表查詢結果!$C$11:$F$68,4,0),-[2]整車!$B$22)</f>
        <v>340</v>
      </c>
      <c r="Y63" s="421">
        <f>_xlfn.IFNA(VLOOKUP(A63,[4]進出口值表查詢結果!$C$11:$F$68,3,0),-[2]整車!$B$22)</f>
        <v>50840</v>
      </c>
      <c r="Z63" s="415">
        <f t="shared" si="7"/>
        <v>770</v>
      </c>
      <c r="AA63" s="415">
        <f t="shared" si="8"/>
        <v>109485</v>
      </c>
    </row>
    <row r="64" spans="1:27">
      <c r="A64" s="458" t="s">
        <v>191</v>
      </c>
      <c r="B64" s="421">
        <v>44</v>
      </c>
      <c r="C64" s="421">
        <v>6265</v>
      </c>
      <c r="D64" s="421"/>
      <c r="E64" s="421"/>
      <c r="F64" s="421">
        <v>0</v>
      </c>
      <c r="G64" s="421"/>
      <c r="H64" s="421">
        <v>0</v>
      </c>
      <c r="I64" s="421">
        <v>0</v>
      </c>
      <c r="J64" s="422">
        <v>74</v>
      </c>
      <c r="K64" s="425">
        <v>8920</v>
      </c>
      <c r="L64" s="421">
        <v>0</v>
      </c>
      <c r="M64" s="421">
        <v>0</v>
      </c>
      <c r="N64" s="421">
        <v>0</v>
      </c>
      <c r="O64" s="421">
        <v>0</v>
      </c>
      <c r="P64" s="421">
        <v>35</v>
      </c>
      <c r="Q64" s="421">
        <v>5625</v>
      </c>
      <c r="R64" s="421">
        <v>45</v>
      </c>
      <c r="S64" s="421">
        <v>4959</v>
      </c>
      <c r="T64" s="421">
        <v>42</v>
      </c>
      <c r="U64" s="421">
        <v>6127</v>
      </c>
      <c r="V64" s="421">
        <f>_xlfn.IFNA(VLOOKUP(A64,[3]進出口值表查詢結果!$C$11:$F$68,4,0),-[2]整車!$B$22)</f>
        <v>0</v>
      </c>
      <c r="W64" s="421">
        <f>_xlfn.IFNA(VLOOKUP(A64,[3]進出口值表查詢結果!$C$11:$F$68,3,0),-[2]整車!$B$22)</f>
        <v>0</v>
      </c>
      <c r="X64" s="421">
        <f>_xlfn.IFNA(VLOOKUP(A64,[4]進出口值表查詢結果!$C$11:$F$68,4,0),-[2]整車!$B$22)</f>
        <v>0</v>
      </c>
      <c r="Y64" s="421">
        <f>_xlfn.IFNA(VLOOKUP(A64,[4]進出口值表查詢結果!$C$11:$F$68,3,0),-[2]整車!$B$22)</f>
        <v>0</v>
      </c>
      <c r="Z64" s="415">
        <f t="shared" si="7"/>
        <v>240</v>
      </c>
      <c r="AA64" s="415">
        <f t="shared" si="8"/>
        <v>31896</v>
      </c>
    </row>
    <row r="65" spans="1:27">
      <c r="A65" s="458" t="s">
        <v>186</v>
      </c>
      <c r="B65" s="421">
        <v>0</v>
      </c>
      <c r="C65" s="421">
        <v>0</v>
      </c>
      <c r="D65" s="421"/>
      <c r="E65" s="421"/>
      <c r="F65" s="421">
        <v>20</v>
      </c>
      <c r="G65" s="421">
        <v>7667</v>
      </c>
      <c r="H65" s="421">
        <v>0</v>
      </c>
      <c r="I65" s="421">
        <v>0</v>
      </c>
      <c r="J65" s="422">
        <v>53</v>
      </c>
      <c r="K65" s="425">
        <v>6883</v>
      </c>
      <c r="L65" s="421">
        <v>0</v>
      </c>
      <c r="M65" s="421">
        <v>0</v>
      </c>
      <c r="N65" s="421">
        <v>0</v>
      </c>
      <c r="O65" s="421">
        <v>0</v>
      </c>
      <c r="P65" s="421">
        <v>0</v>
      </c>
      <c r="Q65" s="421">
        <v>0</v>
      </c>
      <c r="R65" s="421">
        <v>46</v>
      </c>
      <c r="S65" s="421">
        <v>5740</v>
      </c>
      <c r="T65" s="421"/>
      <c r="U65" s="421"/>
      <c r="V65" s="421">
        <f>_xlfn.IFNA(VLOOKUP(A65,[3]進出口值表查詢結果!$C$11:$F$68,4,0),-[2]整車!$B$22)</f>
        <v>53</v>
      </c>
      <c r="W65" s="421">
        <f>_xlfn.IFNA(VLOOKUP(A65,[3]進出口值表查詢結果!$C$11:$F$68,3,0),-[2]整車!$B$22)</f>
        <v>6170</v>
      </c>
      <c r="X65" s="421">
        <f>_xlfn.IFNA(VLOOKUP(A65,[4]進出口值表查詢結果!$C$11:$F$68,4,0),-[2]整車!$B$22)</f>
        <v>0</v>
      </c>
      <c r="Y65" s="421">
        <f>_xlfn.IFNA(VLOOKUP(A65,[4]進出口值表查詢結果!$C$11:$F$68,3,0),-[2]整車!$B$22)</f>
        <v>0</v>
      </c>
      <c r="Z65" s="415">
        <f t="shared" si="7"/>
        <v>172</v>
      </c>
      <c r="AA65" s="415">
        <f t="shared" si="8"/>
        <v>26460</v>
      </c>
    </row>
    <row r="66" spans="1:27">
      <c r="A66" s="458" t="s">
        <v>276</v>
      </c>
      <c r="B66" s="421">
        <v>16</v>
      </c>
      <c r="C66" s="421">
        <v>8064</v>
      </c>
      <c r="D66" s="421">
        <v>400</v>
      </c>
      <c r="E66" s="421">
        <v>74984</v>
      </c>
      <c r="F66" s="421">
        <v>130</v>
      </c>
      <c r="G66" s="421">
        <v>19515</v>
      </c>
      <c r="H66" s="421">
        <v>120</v>
      </c>
      <c r="I66" s="421">
        <v>19543</v>
      </c>
      <c r="J66" s="422">
        <v>235</v>
      </c>
      <c r="K66" s="425">
        <v>45740</v>
      </c>
      <c r="L66" s="421">
        <v>0</v>
      </c>
      <c r="M66" s="421">
        <v>0</v>
      </c>
      <c r="N66" s="421">
        <v>0</v>
      </c>
      <c r="O66" s="421">
        <v>0</v>
      </c>
      <c r="P66" s="421">
        <v>0</v>
      </c>
      <c r="Q66" s="421">
        <v>0</v>
      </c>
      <c r="R66" s="421">
        <v>0</v>
      </c>
      <c r="S66" s="421">
        <v>0</v>
      </c>
      <c r="T66" s="421"/>
      <c r="U66" s="421"/>
      <c r="V66" s="421">
        <f>_xlfn.IFNA(VLOOKUP(A66,[3]進出口值表查詢結果!$C$11:$F$68,4,0),-[2]整車!$B$22)</f>
        <v>0</v>
      </c>
      <c r="W66" s="421">
        <f>_xlfn.IFNA(VLOOKUP(A66,[3]進出口值表查詢結果!$C$11:$F$68,3,0),-[2]整車!$B$22)</f>
        <v>0</v>
      </c>
      <c r="X66" s="421">
        <f>_xlfn.IFNA(VLOOKUP(A66,[4]進出口值表查詢結果!$C$11:$F$68,4,0),-[2]整車!$B$22)</f>
        <v>0</v>
      </c>
      <c r="Y66" s="421">
        <f>_xlfn.IFNA(VLOOKUP(A66,[4]進出口值表查詢結果!$C$11:$F$68,3,0),-[2]整車!$B$22)</f>
        <v>0</v>
      </c>
      <c r="Z66" s="415">
        <f t="shared" si="7"/>
        <v>901</v>
      </c>
      <c r="AA66" s="415">
        <f t="shared" si="8"/>
        <v>167846</v>
      </c>
    </row>
    <row r="67" spans="1:27">
      <c r="A67" s="424"/>
      <c r="B67" s="421"/>
      <c r="C67" s="421"/>
      <c r="D67" s="421"/>
      <c r="E67" s="421"/>
      <c r="F67" s="421"/>
      <c r="G67" s="421"/>
      <c r="H67" s="421"/>
      <c r="I67" s="421"/>
      <c r="J67" s="422"/>
      <c r="K67" s="423"/>
      <c r="L67" s="421"/>
      <c r="M67" s="421"/>
      <c r="N67" s="421"/>
      <c r="O67" s="421"/>
      <c r="P67" s="421"/>
      <c r="Q67" s="421"/>
      <c r="R67" s="421"/>
      <c r="S67" s="421"/>
      <c r="T67" s="421"/>
      <c r="U67" s="421"/>
      <c r="V67" s="421"/>
      <c r="W67" s="421"/>
      <c r="X67" s="421"/>
      <c r="Y67" s="421"/>
      <c r="Z67" s="415"/>
      <c r="AA67" s="415"/>
    </row>
    <row r="68" spans="1:27">
      <c r="A68" s="437" t="s">
        <v>20</v>
      </c>
      <c r="B68" s="438">
        <f t="shared" ref="B68:G68" si="9">SUM(B69:B73)</f>
        <v>6047</v>
      </c>
      <c r="C68" s="438">
        <f t="shared" si="9"/>
        <v>3779240</v>
      </c>
      <c r="D68" s="438">
        <f t="shared" si="9"/>
        <v>4374</v>
      </c>
      <c r="E68" s="438">
        <f t="shared" si="9"/>
        <v>2793538</v>
      </c>
      <c r="F68" s="438">
        <f t="shared" si="9"/>
        <v>3335</v>
      </c>
      <c r="G68" s="438">
        <f t="shared" si="9"/>
        <v>1866843</v>
      </c>
      <c r="H68" s="438">
        <f>SUM(H69:H73)</f>
        <v>2480</v>
      </c>
      <c r="I68" s="438">
        <f>SUM(I69:I73)</f>
        <v>1512983</v>
      </c>
      <c r="J68" s="439">
        <f t="shared" ref="J68:O68" si="10">SUM(J69:J73)</f>
        <v>1816</v>
      </c>
      <c r="K68" s="440">
        <f t="shared" si="10"/>
        <v>1480084</v>
      </c>
      <c r="L68" s="438">
        <f t="shared" si="10"/>
        <v>1849</v>
      </c>
      <c r="M68" s="438">
        <f t="shared" si="10"/>
        <v>1617191</v>
      </c>
      <c r="N68" s="438">
        <f t="shared" si="10"/>
        <v>1838</v>
      </c>
      <c r="O68" s="438">
        <f t="shared" si="10"/>
        <v>1928770</v>
      </c>
      <c r="P68" s="438">
        <f>SUM(P69:P73)</f>
        <v>1960</v>
      </c>
      <c r="Q68" s="438">
        <f>SUM(Q69:Q73)</f>
        <v>1999119</v>
      </c>
      <c r="R68" s="438">
        <f t="shared" ref="R68:Y68" si="11">SUM(R69:R73)</f>
        <v>1097</v>
      </c>
      <c r="S68" s="438">
        <f t="shared" si="11"/>
        <v>1708965</v>
      </c>
      <c r="T68" s="438">
        <f t="shared" si="11"/>
        <v>2389</v>
      </c>
      <c r="U68" s="438">
        <f t="shared" si="11"/>
        <v>2156903</v>
      </c>
      <c r="V68" s="438">
        <f>SUM(V69:V73)</f>
        <v>1149</v>
      </c>
      <c r="W68" s="438">
        <f>SUM(W69:W73)</f>
        <v>1843745</v>
      </c>
      <c r="X68" s="438">
        <f t="shared" si="11"/>
        <v>3615</v>
      </c>
      <c r="Y68" s="438">
        <f t="shared" si="11"/>
        <v>4337331</v>
      </c>
      <c r="Z68" s="432">
        <f t="shared" ref="Z68:AA73" si="12">SUM(B68,D68,F68,H68,J68,L68,N68,P68,R68,T68,V68,X68)</f>
        <v>31949</v>
      </c>
      <c r="AA68" s="432">
        <f t="shared" si="12"/>
        <v>27024712</v>
      </c>
    </row>
    <row r="69" spans="1:27">
      <c r="A69" s="458" t="s">
        <v>184</v>
      </c>
      <c r="B69" s="421">
        <v>1857</v>
      </c>
      <c r="C69" s="421">
        <v>2017794</v>
      </c>
      <c r="D69" s="421">
        <v>1373</v>
      </c>
      <c r="E69" s="421">
        <v>1011526</v>
      </c>
      <c r="F69" s="421">
        <v>425</v>
      </c>
      <c r="G69" s="421">
        <v>428146</v>
      </c>
      <c r="H69" s="421">
        <v>671</v>
      </c>
      <c r="I69" s="421">
        <v>699536</v>
      </c>
      <c r="J69" s="422">
        <v>587</v>
      </c>
      <c r="K69" s="423">
        <v>1041998</v>
      </c>
      <c r="L69" s="421">
        <v>1055</v>
      </c>
      <c r="M69" s="421">
        <v>1243264</v>
      </c>
      <c r="N69" s="435">
        <v>947</v>
      </c>
      <c r="O69" s="435">
        <v>1493476</v>
      </c>
      <c r="P69" s="421">
        <v>1258</v>
      </c>
      <c r="Q69" s="421">
        <v>1726838</v>
      </c>
      <c r="R69" s="421">
        <v>988</v>
      </c>
      <c r="S69" s="421">
        <v>1565929</v>
      </c>
      <c r="T69" s="421">
        <v>2202</v>
      </c>
      <c r="U69" s="421">
        <v>2043237</v>
      </c>
      <c r="V69" s="421">
        <f>_xlfn.IFNA(VLOOKUP(A69,[3]進出口值表查詢結果!$C$11:$F$68,4,0),-[2]整車!$B$22)</f>
        <v>835</v>
      </c>
      <c r="W69" s="421">
        <f>_xlfn.IFNA(VLOOKUP(A69,[3]進出口值表查詢結果!$C$11:$F$68,3,0),-[2]整車!$B$22)</f>
        <v>1325166</v>
      </c>
      <c r="X69" s="421">
        <f>_xlfn.IFNA(VLOOKUP(A69,[4]進出口值表查詢結果!$C$11:$F$68,4,0),-[2]整車!$B$22)</f>
        <v>2736</v>
      </c>
      <c r="Y69" s="421">
        <f>_xlfn.IFNA(VLOOKUP(A69,[4]進出口值表查詢結果!$C$11:$F$68,3,0),-[2]整車!$B$22)</f>
        <v>3402098</v>
      </c>
      <c r="Z69" s="415">
        <f t="shared" si="12"/>
        <v>14934</v>
      </c>
      <c r="AA69" s="415">
        <f t="shared" si="12"/>
        <v>17999008</v>
      </c>
    </row>
    <row r="70" spans="1:27">
      <c r="A70" s="458" t="s">
        <v>277</v>
      </c>
      <c r="B70" s="421">
        <v>4127</v>
      </c>
      <c r="C70" s="421">
        <v>1691969</v>
      </c>
      <c r="D70" s="421">
        <v>2950</v>
      </c>
      <c r="E70" s="421">
        <v>1716256</v>
      </c>
      <c r="F70" s="421">
        <v>2760</v>
      </c>
      <c r="G70" s="421">
        <v>1417688</v>
      </c>
      <c r="H70" s="421">
        <v>1808</v>
      </c>
      <c r="I70" s="421">
        <v>811327</v>
      </c>
      <c r="J70" s="422">
        <v>1210</v>
      </c>
      <c r="K70" s="423">
        <v>402504</v>
      </c>
      <c r="L70" s="421">
        <v>780</v>
      </c>
      <c r="M70" s="421">
        <v>350268</v>
      </c>
      <c r="N70" s="435">
        <v>875</v>
      </c>
      <c r="O70" s="435">
        <v>407876</v>
      </c>
      <c r="P70" s="421">
        <v>700</v>
      </c>
      <c r="Q70" s="421">
        <v>267943</v>
      </c>
      <c r="R70" s="421">
        <v>108</v>
      </c>
      <c r="S70" s="421">
        <v>140862</v>
      </c>
      <c r="T70" s="421">
        <v>186</v>
      </c>
      <c r="U70" s="421">
        <v>111463</v>
      </c>
      <c r="V70" s="421">
        <f>_xlfn.IFNA(VLOOKUP(A70,[3]進出口值表查詢結果!$C$11:$F$68,4,0),-[2]整車!$B$22)</f>
        <v>314</v>
      </c>
      <c r="W70" s="421">
        <f>_xlfn.IFNA(VLOOKUP(A70,[3]進出口值表查詢結果!$C$11:$F$68,3,0),-[2]整車!$B$22)</f>
        <v>518579</v>
      </c>
      <c r="X70" s="421">
        <f>_xlfn.IFNA(VLOOKUP(A70,[4]進出口值表查詢結果!$C$11:$F$68,4,0),-[2]整車!$B$22)</f>
        <v>838</v>
      </c>
      <c r="Y70" s="421">
        <f>_xlfn.IFNA(VLOOKUP(A70,[4]進出口值表查詢結果!$C$11:$F$68,3,0),-[2]整車!$B$22)</f>
        <v>906262</v>
      </c>
      <c r="Z70" s="415">
        <f t="shared" si="12"/>
        <v>16656</v>
      </c>
      <c r="AA70" s="415">
        <f t="shared" si="12"/>
        <v>8742997</v>
      </c>
    </row>
    <row r="71" spans="1:27">
      <c r="A71" s="458" t="s">
        <v>278</v>
      </c>
      <c r="B71" s="421">
        <v>63</v>
      </c>
      <c r="C71" s="421">
        <v>69477</v>
      </c>
      <c r="D71" s="421">
        <v>51</v>
      </c>
      <c r="E71" s="421">
        <v>65756</v>
      </c>
      <c r="F71" s="421">
        <v>150</v>
      </c>
      <c r="G71" s="421">
        <v>21009</v>
      </c>
      <c r="H71" s="421">
        <v>1</v>
      </c>
      <c r="I71" s="421">
        <v>2120</v>
      </c>
      <c r="J71" s="422">
        <v>19</v>
      </c>
      <c r="K71" s="423">
        <v>35582</v>
      </c>
      <c r="L71" s="421">
        <v>14</v>
      </c>
      <c r="M71" s="421">
        <v>23659</v>
      </c>
      <c r="N71" s="435">
        <v>16</v>
      </c>
      <c r="O71" s="435">
        <v>27418</v>
      </c>
      <c r="P71" s="421">
        <v>2</v>
      </c>
      <c r="Q71" s="421">
        <v>4338</v>
      </c>
      <c r="R71" s="421">
        <v>1</v>
      </c>
      <c r="S71" s="421">
        <v>2174</v>
      </c>
      <c r="T71" s="421">
        <v>1</v>
      </c>
      <c r="U71" s="421">
        <v>2203</v>
      </c>
      <c r="V71" s="421">
        <f>_xlfn.IFNA(VLOOKUP(A71,[3]進出口值表查詢結果!$C$11:$F$68,4,0),-[2]整車!$B$22)</f>
        <v>0</v>
      </c>
      <c r="W71" s="421">
        <f>_xlfn.IFNA(VLOOKUP(A71,[3]進出口值表查詢結果!$C$11:$F$68,3,0),-[2]整車!$B$22)</f>
        <v>0</v>
      </c>
      <c r="X71" s="421">
        <f>_xlfn.IFNA(VLOOKUP(A71,[4]進出口值表查詢結果!$C$11:$F$68,4,0),-[2]整車!$B$22)</f>
        <v>41</v>
      </c>
      <c r="Y71" s="421">
        <f>_xlfn.IFNA(VLOOKUP(A71,[4]進出口值表查詢結果!$C$11:$F$68,3,0),-[2]整車!$B$22)</f>
        <v>28971</v>
      </c>
      <c r="Z71" s="415">
        <f t="shared" si="12"/>
        <v>359</v>
      </c>
      <c r="AA71" s="415">
        <f t="shared" si="12"/>
        <v>282707</v>
      </c>
    </row>
    <row r="72" spans="1:27">
      <c r="A72" s="458" t="s">
        <v>280</v>
      </c>
      <c r="B72" s="421">
        <v>0</v>
      </c>
      <c r="C72" s="421">
        <v>0</v>
      </c>
      <c r="D72" s="421"/>
      <c r="E72" s="421"/>
      <c r="F72" s="421">
        <v>0</v>
      </c>
      <c r="G72" s="421"/>
      <c r="H72" s="421">
        <v>0</v>
      </c>
      <c r="I72" s="421">
        <v>0</v>
      </c>
      <c r="J72" s="422" t="s">
        <v>59</v>
      </c>
      <c r="K72" s="425" t="s">
        <v>59</v>
      </c>
      <c r="L72" s="421">
        <v>0</v>
      </c>
      <c r="M72" s="421">
        <v>0</v>
      </c>
      <c r="N72" s="421">
        <v>0</v>
      </c>
      <c r="O72" s="421">
        <v>0</v>
      </c>
      <c r="P72" s="421">
        <v>0</v>
      </c>
      <c r="Q72" s="421">
        <v>0</v>
      </c>
      <c r="R72" s="421">
        <v>0</v>
      </c>
      <c r="S72" s="421">
        <v>0</v>
      </c>
      <c r="T72" s="421"/>
      <c r="U72" s="421"/>
      <c r="V72" s="421">
        <f>_xlfn.IFNA(VLOOKUP(A72,[3]進出口值表查詢結果!$C$11:$F$68,4,0),-[2]整車!$B$22)</f>
        <v>0</v>
      </c>
      <c r="W72" s="421">
        <f>_xlfn.IFNA(VLOOKUP(A72,[3]進出口值表查詢結果!$C$11:$F$68,3,0),-[2]整車!$B$22)</f>
        <v>0</v>
      </c>
      <c r="X72" s="421">
        <f>_xlfn.IFNA(VLOOKUP(A72,[4]進出口值表查詢結果!$C$11:$F$68,4,0),-[2]整車!$B$22)</f>
        <v>0</v>
      </c>
      <c r="Y72" s="421">
        <f>_xlfn.IFNA(VLOOKUP(A72,[4]進出口值表查詢結果!$C$11:$F$68,3,0),-[2]整車!$B$22)</f>
        <v>0</v>
      </c>
      <c r="Z72" s="415">
        <f t="shared" si="12"/>
        <v>0</v>
      </c>
      <c r="AA72" s="415">
        <f t="shared" si="12"/>
        <v>0</v>
      </c>
    </row>
    <row r="73" spans="1:27">
      <c r="A73" s="458" t="s">
        <v>279</v>
      </c>
      <c r="B73" s="421">
        <v>0</v>
      </c>
      <c r="C73" s="421">
        <v>0</v>
      </c>
      <c r="D73" s="421"/>
      <c r="E73" s="421"/>
      <c r="F73" s="421">
        <v>0</v>
      </c>
      <c r="G73" s="421"/>
      <c r="H73" s="421">
        <v>0</v>
      </c>
      <c r="I73" s="421">
        <v>0</v>
      </c>
      <c r="J73" s="422" t="s">
        <v>59</v>
      </c>
      <c r="K73" s="425" t="s">
        <v>59</v>
      </c>
      <c r="L73" s="421">
        <v>0</v>
      </c>
      <c r="M73" s="421">
        <v>0</v>
      </c>
      <c r="N73" s="421">
        <v>0</v>
      </c>
      <c r="O73" s="421">
        <v>0</v>
      </c>
      <c r="P73" s="421">
        <v>0</v>
      </c>
      <c r="Q73" s="421">
        <v>0</v>
      </c>
      <c r="R73" s="421">
        <v>0</v>
      </c>
      <c r="S73" s="421">
        <v>0</v>
      </c>
      <c r="T73" s="421"/>
      <c r="U73" s="421"/>
      <c r="V73" s="421">
        <f>_xlfn.IFNA(VLOOKUP(A73,[3]進出口值表查詢結果!$C$11:$F$68,4,0),-[2]整車!$B$22)</f>
        <v>0</v>
      </c>
      <c r="W73" s="421">
        <f>_xlfn.IFNA(VLOOKUP(A73,[3]進出口值表查詢結果!$C$11:$F$68,3,0),-[2]整車!$B$22)</f>
        <v>0</v>
      </c>
      <c r="X73" s="421">
        <f>_xlfn.IFNA(VLOOKUP(A73,[4]進出口值表查詢結果!$C$11:$F$68,4,0),-[2]整車!$B$22)</f>
        <v>0</v>
      </c>
      <c r="Y73" s="421">
        <f>_xlfn.IFNA(VLOOKUP(A73,[4]進出口值表查詢結果!$C$11:$F$68,3,0),-[2]整車!$B$22)</f>
        <v>0</v>
      </c>
      <c r="Z73" s="415">
        <f t="shared" si="12"/>
        <v>0</v>
      </c>
      <c r="AA73" s="415">
        <f t="shared" si="12"/>
        <v>0</v>
      </c>
    </row>
    <row r="74" spans="1:27">
      <c r="A74" s="424"/>
      <c r="B74" s="421"/>
      <c r="C74" s="421"/>
      <c r="D74" s="421"/>
      <c r="E74" s="421"/>
      <c r="F74" s="421"/>
      <c r="G74" s="421"/>
      <c r="H74" s="421"/>
      <c r="I74" s="421"/>
      <c r="J74" s="422"/>
      <c r="K74" s="423"/>
      <c r="L74" s="421"/>
      <c r="M74" s="421"/>
      <c r="N74" s="421"/>
      <c r="O74" s="421"/>
      <c r="P74" s="421"/>
      <c r="Q74" s="421"/>
      <c r="R74" s="421"/>
      <c r="S74" s="421"/>
      <c r="T74" s="421"/>
      <c r="U74" s="421"/>
      <c r="V74" s="421"/>
      <c r="W74" s="421"/>
      <c r="X74" s="421"/>
      <c r="Y74" s="421"/>
      <c r="Z74" s="415"/>
      <c r="AA74" s="415"/>
    </row>
    <row r="75" spans="1:27">
      <c r="A75" s="437" t="s">
        <v>143</v>
      </c>
      <c r="B75" s="438">
        <f t="shared" ref="B75:Y75" si="13">SUM(B76:B83)</f>
        <v>1775</v>
      </c>
      <c r="C75" s="438">
        <f t="shared" si="13"/>
        <v>791303</v>
      </c>
      <c r="D75" s="438">
        <f t="shared" si="13"/>
        <v>1901</v>
      </c>
      <c r="E75" s="438">
        <f t="shared" si="13"/>
        <v>631147</v>
      </c>
      <c r="F75" s="438">
        <f t="shared" si="13"/>
        <v>1325</v>
      </c>
      <c r="G75" s="438">
        <f t="shared" si="13"/>
        <v>919450</v>
      </c>
      <c r="H75" s="438">
        <f t="shared" si="13"/>
        <v>631</v>
      </c>
      <c r="I75" s="438">
        <f>SUM(I76:I83)</f>
        <v>220966</v>
      </c>
      <c r="J75" s="439">
        <f t="shared" si="13"/>
        <v>474</v>
      </c>
      <c r="K75" s="440">
        <f>SUM(K76:K83)</f>
        <v>186768</v>
      </c>
      <c r="L75" s="438">
        <f t="shared" si="13"/>
        <v>1046</v>
      </c>
      <c r="M75" s="438">
        <f t="shared" si="13"/>
        <v>357239</v>
      </c>
      <c r="N75" s="438">
        <f t="shared" si="13"/>
        <v>1359</v>
      </c>
      <c r="O75" s="438">
        <f t="shared" si="13"/>
        <v>836881</v>
      </c>
      <c r="P75" s="438">
        <f t="shared" si="13"/>
        <v>164</v>
      </c>
      <c r="Q75" s="438">
        <f t="shared" si="13"/>
        <v>201186</v>
      </c>
      <c r="R75" s="438">
        <f t="shared" si="13"/>
        <v>785</v>
      </c>
      <c r="S75" s="438">
        <f t="shared" si="13"/>
        <v>324287</v>
      </c>
      <c r="T75" s="438">
        <f t="shared" si="13"/>
        <v>2780</v>
      </c>
      <c r="U75" s="438">
        <f t="shared" si="13"/>
        <v>855146</v>
      </c>
      <c r="V75" s="438">
        <f>SUM(V76:V83)</f>
        <v>1929</v>
      </c>
      <c r="W75" s="438">
        <f>SUM(W76:W83)</f>
        <v>885513</v>
      </c>
      <c r="X75" s="438">
        <f t="shared" si="13"/>
        <v>3092</v>
      </c>
      <c r="Y75" s="438">
        <f t="shared" si="13"/>
        <v>1404864</v>
      </c>
      <c r="Z75" s="432">
        <f t="shared" ref="Z75:Z83" si="14">SUM(B75,D75,F75,H75,J75,L75,N75,P75,R75,T75,V75,X75)</f>
        <v>17261</v>
      </c>
      <c r="AA75" s="432">
        <f t="shared" ref="AA75:AA83" si="15">SUM(C75,E75,G75,I75,K75,M75,O75,Q75,S75,U75,W75,Y75)</f>
        <v>7614750</v>
      </c>
    </row>
    <row r="76" spans="1:27">
      <c r="A76" s="458" t="s">
        <v>282</v>
      </c>
      <c r="B76" s="421">
        <v>1579</v>
      </c>
      <c r="C76" s="421">
        <v>669877</v>
      </c>
      <c r="D76" s="421">
        <v>1436</v>
      </c>
      <c r="E76" s="421">
        <v>495570</v>
      </c>
      <c r="F76" s="421">
        <v>931</v>
      </c>
      <c r="G76" s="421">
        <v>702788</v>
      </c>
      <c r="H76" s="421">
        <v>631</v>
      </c>
      <c r="I76" s="421">
        <v>220966</v>
      </c>
      <c r="J76" s="422">
        <v>324</v>
      </c>
      <c r="K76" s="436">
        <v>164549</v>
      </c>
      <c r="L76" s="421">
        <v>815</v>
      </c>
      <c r="M76" s="421">
        <v>323962</v>
      </c>
      <c r="N76" s="435">
        <v>822</v>
      </c>
      <c r="O76" s="435">
        <v>518255</v>
      </c>
      <c r="P76" s="421">
        <v>119</v>
      </c>
      <c r="Q76" s="421">
        <v>179634</v>
      </c>
      <c r="R76" s="421">
        <v>495</v>
      </c>
      <c r="S76" s="421">
        <v>221230</v>
      </c>
      <c r="T76" s="421">
        <v>2780</v>
      </c>
      <c r="U76" s="421">
        <v>855146</v>
      </c>
      <c r="V76" s="421">
        <f>_xlfn.IFNA(VLOOKUP(A76,[3]進出口值表查詢結果!$C$11:$F$68,4,0),-[2]整車!$B$22)</f>
        <v>1812</v>
      </c>
      <c r="W76" s="421">
        <f>_xlfn.IFNA(VLOOKUP(A76,[3]進出口值表查詢結果!$C$11:$F$68,3,0),-[2]整車!$B$22)</f>
        <v>779724</v>
      </c>
      <c r="X76" s="421">
        <f>_xlfn.IFNA(VLOOKUP(A76,[4]進出口值表查詢結果!$C$11:$F$68,4,0),-[2]整車!$B$22)</f>
        <v>2631</v>
      </c>
      <c r="Y76" s="421">
        <f>_xlfn.IFNA(VLOOKUP(A76,[4]進出口值表查詢結果!$C$11:$F$68,3,0),-[2]整車!$B$22)</f>
        <v>1193493</v>
      </c>
      <c r="Z76" s="415">
        <f t="shared" si="14"/>
        <v>14375</v>
      </c>
      <c r="AA76" s="415">
        <f t="shared" si="15"/>
        <v>6325194</v>
      </c>
    </row>
    <row r="77" spans="1:27">
      <c r="A77" s="458" t="s">
        <v>283</v>
      </c>
      <c r="B77" s="421">
        <v>0</v>
      </c>
      <c r="C77" s="421">
        <v>0</v>
      </c>
      <c r="D77" s="421"/>
      <c r="E77" s="421"/>
      <c r="F77" s="421">
        <v>0</v>
      </c>
      <c r="G77" s="421"/>
      <c r="H77" s="421">
        <v>0</v>
      </c>
      <c r="I77" s="421">
        <v>0</v>
      </c>
      <c r="J77" s="422" t="s">
        <v>59</v>
      </c>
      <c r="K77" s="425" t="s">
        <v>59</v>
      </c>
      <c r="L77" s="421">
        <v>0</v>
      </c>
      <c r="M77" s="421">
        <v>0</v>
      </c>
      <c r="N77" s="421">
        <v>0</v>
      </c>
      <c r="O77" s="421">
        <v>0</v>
      </c>
      <c r="P77" s="421">
        <v>0</v>
      </c>
      <c r="Q77" s="421">
        <v>0</v>
      </c>
      <c r="R77" s="421">
        <v>0</v>
      </c>
      <c r="S77" s="421">
        <v>0</v>
      </c>
      <c r="T77" s="421"/>
      <c r="U77" s="421"/>
      <c r="V77" s="421">
        <f>_xlfn.IFNA(VLOOKUP(A77,[3]進出口值表查詢結果!$C$11:$F$68,4,0),-[2]整車!$B$22)</f>
        <v>0</v>
      </c>
      <c r="W77" s="421">
        <f>_xlfn.IFNA(VLOOKUP(A77,[3]進出口值表查詢結果!$C$11:$F$68,3,0),-[2]整車!$B$22)</f>
        <v>0</v>
      </c>
      <c r="X77" s="421">
        <f>_xlfn.IFNA(VLOOKUP(A77,[4]進出口值表查詢結果!$C$11:$F$68,4,0),-[2]整車!$B$22)</f>
        <v>0</v>
      </c>
      <c r="Y77" s="421">
        <f>_xlfn.IFNA(VLOOKUP(A77,[4]進出口值表查詢結果!$C$11:$F$68,3,0),-[2]整車!$B$22)</f>
        <v>0</v>
      </c>
      <c r="Z77" s="415">
        <f t="shared" si="14"/>
        <v>0</v>
      </c>
      <c r="AA77" s="415">
        <f t="shared" si="15"/>
        <v>0</v>
      </c>
    </row>
    <row r="78" spans="1:27">
      <c r="A78" s="458" t="s">
        <v>284</v>
      </c>
      <c r="B78" s="421"/>
      <c r="C78" s="421"/>
      <c r="D78" s="421"/>
      <c r="E78" s="421"/>
      <c r="F78" s="421">
        <v>0</v>
      </c>
      <c r="G78" s="421"/>
      <c r="H78" s="421">
        <v>0</v>
      </c>
      <c r="I78" s="421">
        <v>0</v>
      </c>
      <c r="J78" s="422" t="s">
        <v>59</v>
      </c>
      <c r="K78" s="425" t="s">
        <v>59</v>
      </c>
      <c r="L78" s="421">
        <v>0</v>
      </c>
      <c r="M78" s="421">
        <v>0</v>
      </c>
      <c r="N78" s="421">
        <v>0</v>
      </c>
      <c r="O78" s="421">
        <v>0</v>
      </c>
      <c r="P78" s="421">
        <v>0</v>
      </c>
      <c r="Q78" s="421">
        <v>0</v>
      </c>
      <c r="R78" s="421">
        <v>0</v>
      </c>
      <c r="S78" s="421">
        <v>0</v>
      </c>
      <c r="T78" s="421"/>
      <c r="U78" s="421"/>
      <c r="V78" s="421">
        <f>_xlfn.IFNA(VLOOKUP(A78,[3]進出口值表查詢結果!$C$11:$F$68,4,0),-[2]整車!$B$22)</f>
        <v>0</v>
      </c>
      <c r="W78" s="421">
        <f>_xlfn.IFNA(VLOOKUP(A78,[3]進出口值表查詢結果!$C$11:$F$68,3,0),-[2]整車!$B$22)</f>
        <v>0</v>
      </c>
      <c r="X78" s="421">
        <f>_xlfn.IFNA(VLOOKUP(A78,[4]進出口值表查詢結果!$C$11:$F$68,4,0),-[2]整車!$B$22)</f>
        <v>0</v>
      </c>
      <c r="Y78" s="421">
        <f>_xlfn.IFNA(VLOOKUP(A78,[4]進出口值表查詢結果!$C$11:$F$68,3,0),-[2]整車!$B$22)</f>
        <v>0</v>
      </c>
      <c r="Z78" s="415">
        <f t="shared" si="14"/>
        <v>0</v>
      </c>
      <c r="AA78" s="415">
        <f t="shared" si="15"/>
        <v>0</v>
      </c>
    </row>
    <row r="79" spans="1:27">
      <c r="A79" s="458" t="s">
        <v>285</v>
      </c>
      <c r="B79" s="421"/>
      <c r="C79" s="421"/>
      <c r="D79" s="421"/>
      <c r="E79" s="421"/>
      <c r="F79" s="421">
        <v>0</v>
      </c>
      <c r="G79" s="421"/>
      <c r="H79" s="421">
        <v>0</v>
      </c>
      <c r="I79" s="421">
        <v>0</v>
      </c>
      <c r="J79" s="422" t="s">
        <v>59</v>
      </c>
      <c r="K79" s="425" t="s">
        <v>59</v>
      </c>
      <c r="L79" s="421">
        <v>0</v>
      </c>
      <c r="M79" s="421">
        <v>0</v>
      </c>
      <c r="N79" s="421">
        <v>0</v>
      </c>
      <c r="O79" s="421">
        <v>0</v>
      </c>
      <c r="P79" s="421">
        <v>0</v>
      </c>
      <c r="Q79" s="421">
        <v>0</v>
      </c>
      <c r="R79" s="421">
        <v>0</v>
      </c>
      <c r="S79" s="421">
        <v>0</v>
      </c>
      <c r="T79" s="421"/>
      <c r="U79" s="421"/>
      <c r="V79" s="421">
        <f>_xlfn.IFNA(VLOOKUP(A79,[3]進出口值表查詢結果!$C$11:$F$68,4,0),-[2]整車!$B$22)</f>
        <v>0</v>
      </c>
      <c r="W79" s="421">
        <f>_xlfn.IFNA(VLOOKUP(A79,[3]進出口值表查詢結果!$C$11:$F$68,3,0),-[2]整車!$B$22)</f>
        <v>0</v>
      </c>
      <c r="X79" s="421">
        <f>_xlfn.IFNA(VLOOKUP(A79,[4]進出口值表查詢結果!$C$11:$F$68,4,0),-[2]整車!$B$22)</f>
        <v>0</v>
      </c>
      <c r="Y79" s="421">
        <f>_xlfn.IFNA(VLOOKUP(A79,[4]進出口值表查詢結果!$C$11:$F$68,3,0),-[2]整車!$B$22)</f>
        <v>0</v>
      </c>
      <c r="Z79" s="415">
        <f t="shared" si="14"/>
        <v>0</v>
      </c>
      <c r="AA79" s="415">
        <f t="shared" si="15"/>
        <v>0</v>
      </c>
    </row>
    <row r="80" spans="1:27">
      <c r="A80" s="458" t="s">
        <v>287</v>
      </c>
      <c r="B80" s="421">
        <v>196</v>
      </c>
      <c r="C80" s="421">
        <v>121426</v>
      </c>
      <c r="D80" s="421">
        <v>465</v>
      </c>
      <c r="E80" s="421">
        <v>135577</v>
      </c>
      <c r="F80" s="421">
        <v>339</v>
      </c>
      <c r="G80" s="421">
        <v>203320</v>
      </c>
      <c r="H80" s="421">
        <v>0</v>
      </c>
      <c r="I80" s="421">
        <v>0</v>
      </c>
      <c r="J80" s="422">
        <v>150</v>
      </c>
      <c r="K80" s="436">
        <v>22219</v>
      </c>
      <c r="L80" s="421">
        <v>231</v>
      </c>
      <c r="M80" s="421">
        <v>33277</v>
      </c>
      <c r="N80" s="435">
        <v>537</v>
      </c>
      <c r="O80" s="435">
        <v>318626</v>
      </c>
      <c r="P80" s="421">
        <v>0</v>
      </c>
      <c r="Q80" s="421">
        <v>0</v>
      </c>
      <c r="R80" s="421">
        <v>290</v>
      </c>
      <c r="S80" s="421">
        <v>103057</v>
      </c>
      <c r="T80" s="421"/>
      <c r="U80" s="421"/>
      <c r="V80" s="421">
        <f>_xlfn.IFNA(VLOOKUP(A80,[3]進出口值表查詢結果!$C$11:$F$68,4,0),-[2]整車!$B$22)</f>
        <v>117</v>
      </c>
      <c r="W80" s="421">
        <f>_xlfn.IFNA(VLOOKUP(A80,[3]進出口值表查詢結果!$C$11:$F$68,3,0),-[2]整車!$B$22)</f>
        <v>105789</v>
      </c>
      <c r="X80" s="421">
        <f>_xlfn.IFNA(VLOOKUP(A80,[4]進出口值表查詢結果!$C$11:$F$68,4,0),-[2]整車!$B$22)</f>
        <v>461</v>
      </c>
      <c r="Y80" s="421">
        <f>_xlfn.IFNA(VLOOKUP(A80,[4]進出口值表查詢結果!$C$11:$F$68,3,0),-[2]整車!$B$22)</f>
        <v>211371</v>
      </c>
      <c r="Z80" s="415">
        <f t="shared" si="14"/>
        <v>2786</v>
      </c>
      <c r="AA80" s="415">
        <f t="shared" si="15"/>
        <v>1254662</v>
      </c>
    </row>
    <row r="81" spans="1:27">
      <c r="A81" s="458" t="s">
        <v>289</v>
      </c>
      <c r="B81" s="421"/>
      <c r="C81" s="421"/>
      <c r="D81" s="421"/>
      <c r="E81" s="421"/>
      <c r="F81" s="421">
        <v>55</v>
      </c>
      <c r="G81" s="421">
        <v>13342</v>
      </c>
      <c r="H81" s="421">
        <v>0</v>
      </c>
      <c r="I81" s="421">
        <v>0</v>
      </c>
      <c r="J81" s="422" t="s">
        <v>59</v>
      </c>
      <c r="K81" s="425" t="s">
        <v>59</v>
      </c>
      <c r="L81" s="421">
        <v>0</v>
      </c>
      <c r="M81" s="421">
        <v>0</v>
      </c>
      <c r="N81" s="421">
        <v>0</v>
      </c>
      <c r="O81" s="421">
        <v>0</v>
      </c>
      <c r="P81" s="421">
        <v>45</v>
      </c>
      <c r="Q81" s="421">
        <v>21552</v>
      </c>
      <c r="R81" s="421">
        <v>0</v>
      </c>
      <c r="S81" s="421">
        <v>0</v>
      </c>
      <c r="T81" s="421"/>
      <c r="U81" s="421"/>
      <c r="V81" s="421">
        <f>_xlfn.IFNA(VLOOKUP(A81,[3]進出口值表查詢結果!$C$11:$F$68,4,0),-[2]整車!$B$22)</f>
        <v>0</v>
      </c>
      <c r="W81" s="421">
        <f>_xlfn.IFNA(VLOOKUP(A81,[3]進出口值表查詢結果!$C$11:$F$68,3,0),-[2]整車!$B$22)</f>
        <v>0</v>
      </c>
      <c r="X81" s="421">
        <f>_xlfn.IFNA(VLOOKUP(A81,[4]進出口值表查詢結果!$C$11:$F$68,4,0),-[2]整車!$B$22)</f>
        <v>0</v>
      </c>
      <c r="Y81" s="421">
        <f>_xlfn.IFNA(VLOOKUP(A81,[4]進出口值表查詢結果!$C$11:$F$68,3,0),-[2]整車!$B$22)</f>
        <v>0</v>
      </c>
      <c r="Z81" s="415">
        <f t="shared" si="14"/>
        <v>100</v>
      </c>
      <c r="AA81" s="415">
        <f t="shared" si="15"/>
        <v>34894</v>
      </c>
    </row>
    <row r="82" spans="1:27">
      <c r="A82" s="426" t="s">
        <v>288</v>
      </c>
      <c r="B82" s="421"/>
      <c r="C82" s="421"/>
      <c r="D82" s="421"/>
      <c r="E82" s="421"/>
      <c r="F82" s="421">
        <v>0</v>
      </c>
      <c r="G82" s="421"/>
      <c r="H82" s="421">
        <v>0</v>
      </c>
      <c r="I82" s="421">
        <v>0</v>
      </c>
      <c r="J82" s="422" t="s">
        <v>59</v>
      </c>
      <c r="K82" s="425" t="s">
        <v>59</v>
      </c>
      <c r="L82" s="421">
        <v>0</v>
      </c>
      <c r="M82" s="421">
        <v>0</v>
      </c>
      <c r="N82" s="421">
        <v>0</v>
      </c>
      <c r="O82" s="421">
        <v>0</v>
      </c>
      <c r="P82" s="421">
        <v>0</v>
      </c>
      <c r="Q82" s="421">
        <v>0</v>
      </c>
      <c r="R82" s="421">
        <v>0</v>
      </c>
      <c r="S82" s="421">
        <v>0</v>
      </c>
      <c r="T82" s="421"/>
      <c r="U82" s="421"/>
      <c r="V82" s="421">
        <f>_xlfn.IFNA(VLOOKUP(A82,[3]進出口值表查詢結果!$C$11:$F$68,4,0),-[2]整車!$B$22)</f>
        <v>0</v>
      </c>
      <c r="W82" s="421">
        <f>_xlfn.IFNA(VLOOKUP(A82,[3]進出口值表查詢結果!$C$11:$F$68,3,0),-[2]整車!$B$22)</f>
        <v>0</v>
      </c>
      <c r="X82" s="421">
        <f>_xlfn.IFNA(VLOOKUP(A82,[4]進出口值表查詢結果!$C$11:$F$68,4,0),-[2]整車!$B$22)</f>
        <v>0</v>
      </c>
      <c r="Y82" s="421">
        <f>_xlfn.IFNA(VLOOKUP(A82,[4]進出口值表查詢結果!$C$11:$F$68,3,0),-[2]整車!$B$22)</f>
        <v>0</v>
      </c>
      <c r="Z82" s="415">
        <f t="shared" si="14"/>
        <v>0</v>
      </c>
      <c r="AA82" s="415">
        <f t="shared" si="15"/>
        <v>0</v>
      </c>
    </row>
    <row r="83" spans="1:27">
      <c r="A83" s="426" t="s">
        <v>290</v>
      </c>
      <c r="B83" s="421"/>
      <c r="C83" s="421"/>
      <c r="D83" s="421"/>
      <c r="E83" s="421"/>
      <c r="F83" s="421">
        <v>0</v>
      </c>
      <c r="G83" s="421"/>
      <c r="H83" s="421">
        <v>0</v>
      </c>
      <c r="I83" s="421">
        <v>0</v>
      </c>
      <c r="J83" s="422" t="s">
        <v>59</v>
      </c>
      <c r="K83" s="425">
        <v>0</v>
      </c>
      <c r="L83" s="421">
        <v>0</v>
      </c>
      <c r="M83" s="421">
        <v>0</v>
      </c>
      <c r="N83" s="421">
        <v>0</v>
      </c>
      <c r="O83" s="421">
        <v>0</v>
      </c>
      <c r="P83" s="421">
        <v>0</v>
      </c>
      <c r="Q83" s="421">
        <v>0</v>
      </c>
      <c r="R83" s="421">
        <v>0</v>
      </c>
      <c r="S83" s="421">
        <v>0</v>
      </c>
      <c r="T83" s="421">
        <v>0</v>
      </c>
      <c r="U83" s="421">
        <v>0</v>
      </c>
      <c r="V83" s="421">
        <f>_xlfn.IFNA(VLOOKUP(A83,[3]進出口值表查詢結果!$C$11:$F$68,4,0),-[2]整車!$B$22)</f>
        <v>0</v>
      </c>
      <c r="W83" s="421">
        <f>_xlfn.IFNA(VLOOKUP(A83,[3]進出口值表查詢結果!$C$11:$F$68,3,0),-[2]整車!$B$22)</f>
        <v>0</v>
      </c>
      <c r="X83" s="421">
        <f>_xlfn.IFNA(VLOOKUP(A83,[4]進出口值表查詢結果!$C$11:$F$68,4,0),-[2]整車!$B$22)</f>
        <v>0</v>
      </c>
      <c r="Y83" s="421">
        <f>_xlfn.IFNA(VLOOKUP(A83,[4]進出口值表查詢結果!$C$11:$F$68,3,0),-[2]整車!$B$22)</f>
        <v>0</v>
      </c>
      <c r="Z83" s="415">
        <f t="shared" si="14"/>
        <v>0</v>
      </c>
      <c r="AA83" s="415">
        <f t="shared" si="15"/>
        <v>0</v>
      </c>
    </row>
    <row r="84" spans="1:27">
      <c r="A84" s="424"/>
      <c r="B84" s="421"/>
      <c r="C84" s="421"/>
      <c r="D84" s="421"/>
      <c r="E84" s="421"/>
      <c r="F84" s="421"/>
      <c r="G84" s="421"/>
      <c r="H84" s="421"/>
      <c r="I84" s="421"/>
      <c r="J84" s="422"/>
      <c r="K84" s="423"/>
      <c r="L84" s="421"/>
      <c r="M84" s="421"/>
      <c r="N84" s="421"/>
      <c r="O84" s="421"/>
      <c r="P84" s="421"/>
      <c r="Q84" s="421"/>
      <c r="R84" s="421"/>
      <c r="S84" s="421"/>
      <c r="T84" s="421"/>
      <c r="U84" s="421"/>
      <c r="V84" s="421"/>
      <c r="W84" s="421"/>
      <c r="X84" s="421"/>
      <c r="Y84" s="421"/>
      <c r="Z84" s="415"/>
      <c r="AA84" s="415"/>
    </row>
    <row r="85" spans="1:27">
      <c r="A85" s="441" t="s">
        <v>47</v>
      </c>
      <c r="B85" s="442">
        <f t="shared" ref="B85:Y85" si="16">SUM(B86:B95)</f>
        <v>4580</v>
      </c>
      <c r="C85" s="442">
        <f t="shared" si="16"/>
        <v>4189345</v>
      </c>
      <c r="D85" s="442">
        <f t="shared" si="16"/>
        <v>4981</v>
      </c>
      <c r="E85" s="442">
        <f t="shared" si="16"/>
        <v>3563822</v>
      </c>
      <c r="F85" s="442">
        <f t="shared" si="16"/>
        <v>4938</v>
      </c>
      <c r="G85" s="442">
        <f t="shared" si="16"/>
        <v>4345204</v>
      </c>
      <c r="H85" s="442">
        <f t="shared" si="16"/>
        <v>4040</v>
      </c>
      <c r="I85" s="442">
        <f t="shared" si="16"/>
        <v>2474863</v>
      </c>
      <c r="J85" s="443">
        <f t="shared" si="16"/>
        <v>3564</v>
      </c>
      <c r="K85" s="444">
        <f>SUM(K86:K95)</f>
        <v>3664756</v>
      </c>
      <c r="L85" s="442">
        <f t="shared" si="16"/>
        <v>6992</v>
      </c>
      <c r="M85" s="442">
        <f t="shared" si="16"/>
        <v>7057607</v>
      </c>
      <c r="N85" s="442">
        <f t="shared" si="16"/>
        <v>9419</v>
      </c>
      <c r="O85" s="442">
        <f t="shared" si="16"/>
        <v>9080258</v>
      </c>
      <c r="P85" s="442">
        <f t="shared" si="16"/>
        <v>18596</v>
      </c>
      <c r="Q85" s="442">
        <f t="shared" si="16"/>
        <v>13272347</v>
      </c>
      <c r="R85" s="442">
        <f t="shared" si="16"/>
        <v>16559</v>
      </c>
      <c r="S85" s="442">
        <f t="shared" si="16"/>
        <v>10409447</v>
      </c>
      <c r="T85" s="442">
        <f t="shared" si="16"/>
        <v>9960</v>
      </c>
      <c r="U85" s="442">
        <f t="shared" si="16"/>
        <v>6716352</v>
      </c>
      <c r="V85" s="442">
        <f>SUM(V86:V95)</f>
        <v>10701</v>
      </c>
      <c r="W85" s="442">
        <f>SUM(W86:W95)</f>
        <v>9725369</v>
      </c>
      <c r="X85" s="442">
        <f t="shared" si="16"/>
        <v>14699</v>
      </c>
      <c r="Y85" s="442">
        <f t="shared" si="16"/>
        <v>10190062</v>
      </c>
      <c r="Z85" s="428">
        <f t="shared" ref="Z85:Z95" si="17">SUM(B85,D85,F85,H85,J85,L85,N85,P85,R85,T85,V85,X85)</f>
        <v>109029</v>
      </c>
      <c r="AA85" s="428">
        <f t="shared" ref="AA85:AA95" si="18">SUM(C85,E85,G85,I85,K85,M85,O85,Q85,S85,U85,W85,Y85)</f>
        <v>84689432</v>
      </c>
    </row>
    <row r="86" spans="1:27">
      <c r="A86" s="458" t="s">
        <v>176</v>
      </c>
      <c r="B86" s="421">
        <v>4150</v>
      </c>
      <c r="C86" s="421">
        <v>3694908</v>
      </c>
      <c r="D86" s="421">
        <v>4032</v>
      </c>
      <c r="E86" s="421">
        <v>2636975</v>
      </c>
      <c r="F86" s="421">
        <v>4087</v>
      </c>
      <c r="G86" s="421">
        <v>3599502</v>
      </c>
      <c r="H86" s="421">
        <v>3562</v>
      </c>
      <c r="I86" s="421">
        <v>1835676</v>
      </c>
      <c r="J86" s="422">
        <v>2839</v>
      </c>
      <c r="K86" s="423">
        <v>2636423</v>
      </c>
      <c r="L86" s="421">
        <v>5737</v>
      </c>
      <c r="M86" s="421">
        <v>5468499</v>
      </c>
      <c r="N86" s="435">
        <v>7440</v>
      </c>
      <c r="O86" s="435">
        <v>6804533</v>
      </c>
      <c r="P86" s="421">
        <v>15662</v>
      </c>
      <c r="Q86" s="421">
        <v>10198676</v>
      </c>
      <c r="R86" s="421">
        <v>14530</v>
      </c>
      <c r="S86" s="421">
        <v>8126261</v>
      </c>
      <c r="T86" s="421">
        <v>8369</v>
      </c>
      <c r="U86" s="421">
        <v>5188023</v>
      </c>
      <c r="V86" s="421">
        <f>_xlfn.IFNA(VLOOKUP(A86,[3]進出口值表查詢結果!$C$11:$F$68,4,0),-[2]整車!$B$22)</f>
        <v>8737</v>
      </c>
      <c r="W86" s="421">
        <f>_xlfn.IFNA(VLOOKUP(A86,[3]進出口值表查詢結果!$C$11:$F$68,3,0),-[2]整車!$B$22)</f>
        <v>7518300</v>
      </c>
      <c r="X86" s="421">
        <f>_xlfn.IFNA(VLOOKUP(A86,[4]進出口值表查詢結果!$C$11:$F$68,4,0),-[2]整車!$B$22)</f>
        <v>12512</v>
      </c>
      <c r="Y86" s="421">
        <f>_xlfn.IFNA(VLOOKUP(A86,[4]進出口值表查詢結果!$C$11:$F$68,3,0),-[2]整車!$B$22)</f>
        <v>8168473</v>
      </c>
      <c r="Z86" s="415">
        <f t="shared" si="17"/>
        <v>91657</v>
      </c>
      <c r="AA86" s="415">
        <f t="shared" si="18"/>
        <v>65876249</v>
      </c>
    </row>
    <row r="87" spans="1:27">
      <c r="A87" s="458" t="s">
        <v>291</v>
      </c>
      <c r="B87" s="421"/>
      <c r="C87" s="421"/>
      <c r="D87" s="421"/>
      <c r="E87" s="421"/>
      <c r="F87" s="421">
        <v>0</v>
      </c>
      <c r="G87" s="421"/>
      <c r="H87" s="421">
        <v>0</v>
      </c>
      <c r="I87" s="421">
        <v>0</v>
      </c>
      <c r="J87" s="422">
        <v>0</v>
      </c>
      <c r="K87" s="425">
        <v>0</v>
      </c>
      <c r="L87" s="421">
        <v>0</v>
      </c>
      <c r="M87" s="421">
        <v>0</v>
      </c>
      <c r="N87" s="421">
        <v>0</v>
      </c>
      <c r="O87" s="421">
        <v>0</v>
      </c>
      <c r="P87" s="421">
        <v>0</v>
      </c>
      <c r="Q87" s="421">
        <v>0</v>
      </c>
      <c r="R87" s="421">
        <v>0</v>
      </c>
      <c r="S87" s="421">
        <v>0</v>
      </c>
      <c r="T87" s="421"/>
      <c r="U87" s="421"/>
      <c r="V87" s="421">
        <f>_xlfn.IFNA(VLOOKUP(A87,[3]進出口值表查詢結果!$C$11:$F$68,4,0),-[2]整車!$B$22)</f>
        <v>0</v>
      </c>
      <c r="W87" s="421">
        <f>_xlfn.IFNA(VLOOKUP(A87,[3]進出口值表查詢結果!$C$11:$F$68,3,0),-[2]整車!$B$22)</f>
        <v>0</v>
      </c>
      <c r="X87" s="421">
        <f>_xlfn.IFNA(VLOOKUP(A87,[4]進出口值表查詢結果!$C$11:$F$68,4,0),-[2]整車!$B$22)</f>
        <v>0</v>
      </c>
      <c r="Y87" s="421">
        <f>_xlfn.IFNA(VLOOKUP(A87,[4]進出口值表查詢結果!$C$11:$F$68,3,0),-[2]整車!$B$22)</f>
        <v>0</v>
      </c>
      <c r="Z87" s="415">
        <f t="shared" si="17"/>
        <v>0</v>
      </c>
      <c r="AA87" s="415">
        <f t="shared" si="18"/>
        <v>0</v>
      </c>
    </row>
    <row r="88" spans="1:27">
      <c r="A88" s="458" t="s">
        <v>175</v>
      </c>
      <c r="B88" s="421">
        <v>399</v>
      </c>
      <c r="C88" s="421">
        <v>445420</v>
      </c>
      <c r="D88" s="421">
        <v>924</v>
      </c>
      <c r="E88" s="421">
        <v>877548</v>
      </c>
      <c r="F88" s="421">
        <v>851</v>
      </c>
      <c r="G88" s="421">
        <v>745702</v>
      </c>
      <c r="H88" s="421">
        <v>478</v>
      </c>
      <c r="I88" s="421">
        <v>639187</v>
      </c>
      <c r="J88" s="422">
        <v>694</v>
      </c>
      <c r="K88" s="423">
        <v>961243</v>
      </c>
      <c r="L88" s="421">
        <v>1089</v>
      </c>
      <c r="M88" s="421">
        <v>1332104</v>
      </c>
      <c r="N88" s="435">
        <v>1942</v>
      </c>
      <c r="O88" s="435">
        <v>2269776</v>
      </c>
      <c r="P88" s="421">
        <v>2862</v>
      </c>
      <c r="Q88" s="421">
        <v>2963505</v>
      </c>
      <c r="R88" s="421">
        <v>2009</v>
      </c>
      <c r="S88" s="421">
        <v>2248234</v>
      </c>
      <c r="T88" s="421">
        <v>1565</v>
      </c>
      <c r="U88" s="421">
        <v>1482993</v>
      </c>
      <c r="V88" s="421">
        <f>_xlfn.IFNA(VLOOKUP(A88,[3]進出口值表查詢結果!$C$11:$F$68,4,0),-[2]整車!$B$22)</f>
        <v>1783</v>
      </c>
      <c r="W88" s="421">
        <f>_xlfn.IFNA(VLOOKUP(A88,[3]進出口值表查詢結果!$C$11:$F$68,3,0),-[2]整車!$B$22)</f>
        <v>1858681</v>
      </c>
      <c r="X88" s="421">
        <f>_xlfn.IFNA(VLOOKUP(A88,[4]進出口值表查詢結果!$C$11:$F$68,4,0),-[2]整車!$B$22)</f>
        <v>2182</v>
      </c>
      <c r="Y88" s="421">
        <f>_xlfn.IFNA(VLOOKUP(A88,[4]進出口值表查詢結果!$C$11:$F$68,3,0),-[2]整車!$B$22)</f>
        <v>2014871</v>
      </c>
      <c r="Z88" s="415">
        <f t="shared" si="17"/>
        <v>16778</v>
      </c>
      <c r="AA88" s="415">
        <f t="shared" si="18"/>
        <v>17839264</v>
      </c>
    </row>
    <row r="89" spans="1:27">
      <c r="A89" s="458" t="s">
        <v>294</v>
      </c>
      <c r="B89" s="421"/>
      <c r="C89" s="421"/>
      <c r="D89" s="421"/>
      <c r="E89" s="421"/>
      <c r="F89" s="421">
        <v>0</v>
      </c>
      <c r="G89" s="421"/>
      <c r="H89" s="421">
        <v>0</v>
      </c>
      <c r="I89" s="421">
        <v>0</v>
      </c>
      <c r="J89" s="422" t="s">
        <v>59</v>
      </c>
      <c r="K89" s="425">
        <v>0</v>
      </c>
      <c r="L89" s="421">
        <v>0</v>
      </c>
      <c r="M89" s="421">
        <v>0</v>
      </c>
      <c r="N89" s="421">
        <v>0</v>
      </c>
      <c r="O89" s="421">
        <v>0</v>
      </c>
      <c r="P89" s="421">
        <v>0</v>
      </c>
      <c r="Q89" s="421">
        <v>0</v>
      </c>
      <c r="R89" s="421">
        <v>0</v>
      </c>
      <c r="S89" s="421">
        <v>0</v>
      </c>
      <c r="T89" s="421"/>
      <c r="U89" s="421"/>
      <c r="V89" s="421">
        <f>_xlfn.IFNA(VLOOKUP(A89,[3]進出口值表查詢結果!$C$11:$F$68,4,0),-[2]整車!$B$22)</f>
        <v>0</v>
      </c>
      <c r="W89" s="421">
        <f>_xlfn.IFNA(VLOOKUP(A89,[3]進出口值表查詢結果!$C$11:$F$68,3,0),-[2]整車!$B$22)</f>
        <v>0</v>
      </c>
      <c r="X89" s="421">
        <f>_xlfn.IFNA(VLOOKUP(A89,[4]進出口值表查詢結果!$C$11:$F$68,4,0),-[2]整車!$B$22)</f>
        <v>0</v>
      </c>
      <c r="Y89" s="421">
        <f>_xlfn.IFNA(VLOOKUP(A89,[4]進出口值表查詢結果!$C$11:$F$68,3,0),-[2]整車!$B$22)</f>
        <v>0</v>
      </c>
      <c r="Z89" s="415">
        <f t="shared" si="17"/>
        <v>0</v>
      </c>
      <c r="AA89" s="415">
        <f t="shared" si="18"/>
        <v>0</v>
      </c>
    </row>
    <row r="90" spans="1:27">
      <c r="A90" s="458" t="s">
        <v>293</v>
      </c>
      <c r="B90" s="421">
        <v>5</v>
      </c>
      <c r="C90" s="421">
        <v>13029</v>
      </c>
      <c r="D90" s="421">
        <v>25</v>
      </c>
      <c r="E90" s="421">
        <v>49299</v>
      </c>
      <c r="F90" s="421">
        <v>0</v>
      </c>
      <c r="G90" s="421"/>
      <c r="H90" s="421">
        <v>0</v>
      </c>
      <c r="I90" s="421">
        <v>0</v>
      </c>
      <c r="J90" s="422">
        <v>31</v>
      </c>
      <c r="K90" s="423">
        <v>67090</v>
      </c>
      <c r="L90" s="421">
        <v>166</v>
      </c>
      <c r="M90" s="421">
        <v>257004</v>
      </c>
      <c r="N90" s="435">
        <v>2</v>
      </c>
      <c r="O90" s="421">
        <v>2535</v>
      </c>
      <c r="P90" s="421">
        <v>72</v>
      </c>
      <c r="Q90" s="421">
        <v>110166</v>
      </c>
      <c r="R90" s="421">
        <v>20</v>
      </c>
      <c r="S90" s="421">
        <v>34952</v>
      </c>
      <c r="T90" s="421">
        <v>26</v>
      </c>
      <c r="U90" s="421">
        <v>45336</v>
      </c>
      <c r="V90" s="421">
        <f>_xlfn.IFNA(VLOOKUP(A90,[3]進出口值表查詢結果!$C$11:$F$68,4,0),-[2]整車!$B$22)</f>
        <v>156</v>
      </c>
      <c r="W90" s="421">
        <f>_xlfn.IFNA(VLOOKUP(A90,[3]進出口值表查詢結果!$C$11:$F$68,3,0),-[2]整車!$B$22)</f>
        <v>316499</v>
      </c>
      <c r="X90" s="421">
        <f>_xlfn.IFNA(VLOOKUP(A90,[4]進出口值表查詢結果!$C$11:$F$68,4,0),-[2]整車!$B$22)</f>
        <v>5</v>
      </c>
      <c r="Y90" s="421">
        <f>_xlfn.IFNA(VLOOKUP(A90,[4]進出口值表查詢結果!$C$11:$F$68,3,0),-[2]整車!$B$22)</f>
        <v>6718</v>
      </c>
      <c r="Z90" s="415">
        <f t="shared" si="17"/>
        <v>508</v>
      </c>
      <c r="AA90" s="415">
        <f t="shared" si="18"/>
        <v>902628</v>
      </c>
    </row>
    <row r="91" spans="1:27">
      <c r="A91" s="458" t="s">
        <v>295</v>
      </c>
      <c r="B91" s="421"/>
      <c r="C91" s="421"/>
      <c r="D91" s="421"/>
      <c r="E91" s="421"/>
      <c r="F91" s="421">
        <v>0</v>
      </c>
      <c r="G91" s="421"/>
      <c r="H91" s="421">
        <v>0</v>
      </c>
      <c r="I91" s="421">
        <v>0</v>
      </c>
      <c r="J91" s="422" t="s">
        <v>59</v>
      </c>
      <c r="K91" s="425">
        <v>0</v>
      </c>
      <c r="L91" s="421">
        <v>0</v>
      </c>
      <c r="M91" s="421">
        <v>0</v>
      </c>
      <c r="N91" s="421">
        <v>0</v>
      </c>
      <c r="O91" s="421">
        <v>0</v>
      </c>
      <c r="P91" s="421">
        <v>0</v>
      </c>
      <c r="Q91" s="421">
        <v>0</v>
      </c>
      <c r="R91" s="421">
        <v>0</v>
      </c>
      <c r="S91" s="421">
        <v>0</v>
      </c>
      <c r="T91" s="421"/>
      <c r="U91" s="421"/>
      <c r="V91" s="421">
        <f>_xlfn.IFNA(VLOOKUP(A91,[3]進出口值表查詢結果!$C$11:$F$68,4,0),-[2]整車!$B$22)</f>
        <v>0</v>
      </c>
      <c r="W91" s="421">
        <f>_xlfn.IFNA(VLOOKUP(A91,[3]進出口值表查詢結果!$C$11:$F$68,3,0),-[2]整車!$B$22)</f>
        <v>0</v>
      </c>
      <c r="X91" s="421">
        <f>_xlfn.IFNA(VLOOKUP(A91,[4]進出口值表查詢結果!$C$11:$F$68,4,0),-[2]整車!$B$22)</f>
        <v>0</v>
      </c>
      <c r="Y91" s="421">
        <f>_xlfn.IFNA(VLOOKUP(A91,[4]進出口值表查詢結果!$C$11:$F$68,3,0),-[2]整車!$B$22)</f>
        <v>0</v>
      </c>
      <c r="Z91" s="415">
        <f t="shared" si="17"/>
        <v>0</v>
      </c>
      <c r="AA91" s="415">
        <f t="shared" si="18"/>
        <v>0</v>
      </c>
    </row>
    <row r="92" spans="1:27">
      <c r="A92" s="458" t="s">
        <v>397</v>
      </c>
      <c r="B92" s="421">
        <v>26</v>
      </c>
      <c r="C92" s="421">
        <v>35988</v>
      </c>
      <c r="D92" s="421"/>
      <c r="E92" s="421"/>
      <c r="F92" s="421">
        <v>0</v>
      </c>
      <c r="G92" s="421"/>
      <c r="H92" s="421">
        <v>0</v>
      </c>
      <c r="I92" s="421">
        <v>0</v>
      </c>
      <c r="J92" s="422" t="s">
        <v>59</v>
      </c>
      <c r="K92" s="425">
        <v>0</v>
      </c>
      <c r="L92" s="421">
        <v>0</v>
      </c>
      <c r="M92" s="421">
        <v>0</v>
      </c>
      <c r="N92" s="421">
        <v>0</v>
      </c>
      <c r="O92" s="421">
        <v>0</v>
      </c>
      <c r="P92" s="421">
        <v>0</v>
      </c>
      <c r="Q92" s="421">
        <v>0</v>
      </c>
      <c r="R92" s="421">
        <v>0</v>
      </c>
      <c r="S92" s="421">
        <v>0</v>
      </c>
      <c r="T92" s="421"/>
      <c r="U92" s="421"/>
      <c r="V92" s="421">
        <f>_xlfn.IFNA(VLOOKUP(A92,[3]進出口值表查詢結果!$C$11:$F$68,4,0),-[2]整車!$B$22)</f>
        <v>25</v>
      </c>
      <c r="W92" s="421">
        <f>_xlfn.IFNA(VLOOKUP(A92,[3]進出口值表查詢結果!$C$11:$F$68,3,0),-[2]整車!$B$22)</f>
        <v>31889</v>
      </c>
      <c r="X92" s="421">
        <f>_xlfn.IFNA(VLOOKUP(A92,[4]進出口值表查詢結果!$C$11:$F$68,4,0),-[2]整車!$B$22)</f>
        <v>0</v>
      </c>
      <c r="Y92" s="421">
        <f>_xlfn.IFNA(VLOOKUP(A92,[4]進出口值表查詢結果!$C$11:$F$68,3,0),-[2]整車!$B$22)</f>
        <v>0</v>
      </c>
      <c r="Z92" s="415">
        <f t="shared" si="17"/>
        <v>51</v>
      </c>
      <c r="AA92" s="415">
        <f t="shared" si="18"/>
        <v>67877</v>
      </c>
    </row>
    <row r="93" spans="1:27">
      <c r="A93" s="458" t="s">
        <v>297</v>
      </c>
      <c r="B93" s="421"/>
      <c r="C93" s="421"/>
      <c r="D93" s="421"/>
      <c r="E93" s="421"/>
      <c r="F93" s="421">
        <v>0</v>
      </c>
      <c r="G93" s="421"/>
      <c r="H93" s="421">
        <v>0</v>
      </c>
      <c r="I93" s="421">
        <v>0</v>
      </c>
      <c r="J93" s="422" t="s">
        <v>59</v>
      </c>
      <c r="K93" s="425">
        <v>0</v>
      </c>
      <c r="L93" s="421">
        <v>0</v>
      </c>
      <c r="M93" s="421">
        <v>0</v>
      </c>
      <c r="N93" s="435">
        <v>35</v>
      </c>
      <c r="O93" s="435">
        <v>3414</v>
      </c>
      <c r="P93" s="421">
        <v>0</v>
      </c>
      <c r="Q93" s="421">
        <v>0</v>
      </c>
      <c r="R93" s="421">
        <v>0</v>
      </c>
      <c r="S93" s="421">
        <v>0</v>
      </c>
      <c r="T93" s="421"/>
      <c r="U93" s="421"/>
      <c r="V93" s="421">
        <f>_xlfn.IFNA(VLOOKUP(A93,[3]進出口值表查詢結果!$C$11:$F$68,4,0),-[2]整車!$B$22)</f>
        <v>0</v>
      </c>
      <c r="W93" s="421">
        <f>_xlfn.IFNA(VLOOKUP(A93,[3]進出口值表查詢結果!$C$11:$F$68,3,0),-[2]整車!$B$22)</f>
        <v>0</v>
      </c>
      <c r="X93" s="421">
        <f>_xlfn.IFNA(VLOOKUP(A93,[4]進出口值表查詢結果!$C$11:$F$68,4,0),-[2]整車!$B$22)</f>
        <v>0</v>
      </c>
      <c r="Y93" s="421">
        <f>_xlfn.IFNA(VLOOKUP(A93,[4]進出口值表查詢結果!$C$11:$F$68,3,0),-[2]整車!$B$22)</f>
        <v>0</v>
      </c>
      <c r="Z93" s="415">
        <f t="shared" si="17"/>
        <v>35</v>
      </c>
      <c r="AA93" s="415">
        <f t="shared" si="18"/>
        <v>3414</v>
      </c>
    </row>
    <row r="94" spans="1:27">
      <c r="A94" s="458" t="s">
        <v>296</v>
      </c>
      <c r="B94" s="421"/>
      <c r="C94" s="421"/>
      <c r="D94" s="421"/>
      <c r="E94" s="421"/>
      <c r="F94" s="421">
        <v>0</v>
      </c>
      <c r="G94" s="421"/>
      <c r="H94" s="421">
        <v>0</v>
      </c>
      <c r="I94" s="421">
        <v>0</v>
      </c>
      <c r="J94" s="422" t="s">
        <v>59</v>
      </c>
      <c r="K94" s="425">
        <v>0</v>
      </c>
      <c r="L94" s="421">
        <v>0</v>
      </c>
      <c r="M94" s="421">
        <v>0</v>
      </c>
      <c r="N94" s="421">
        <v>0</v>
      </c>
      <c r="O94" s="421">
        <v>0</v>
      </c>
      <c r="P94" s="421">
        <v>0</v>
      </c>
      <c r="Q94" s="421">
        <v>0</v>
      </c>
      <c r="R94" s="421">
        <v>0</v>
      </c>
      <c r="S94" s="421">
        <v>0</v>
      </c>
      <c r="T94" s="421"/>
      <c r="U94" s="421"/>
      <c r="V94" s="421">
        <f>_xlfn.IFNA(VLOOKUP(A94,[3]進出口值表查詢結果!$C$11:$F$68,4,0),-[2]整車!$B$22)</f>
        <v>0</v>
      </c>
      <c r="W94" s="421">
        <f>_xlfn.IFNA(VLOOKUP(A94,[3]進出口值表查詢結果!$C$11:$F$68,3,0),-[2]整車!$B$22)</f>
        <v>0</v>
      </c>
      <c r="X94" s="421">
        <f>_xlfn.IFNA(VLOOKUP(A94,[4]進出口值表查詢結果!$C$11:$F$68,4,0),-[2]整車!$B$22)</f>
        <v>0</v>
      </c>
      <c r="Y94" s="421">
        <f>_xlfn.IFNA(VLOOKUP(A94,[4]進出口值表查詢結果!$C$11:$F$68,3,0),-[2]整車!$B$22)</f>
        <v>0</v>
      </c>
      <c r="Z94" s="415">
        <f t="shared" si="17"/>
        <v>0</v>
      </c>
      <c r="AA94" s="415">
        <f t="shared" si="18"/>
        <v>0</v>
      </c>
    </row>
    <row r="95" spans="1:27">
      <c r="A95" s="460" t="s">
        <v>298</v>
      </c>
      <c r="B95" s="415"/>
      <c r="C95" s="415"/>
      <c r="D95" s="415"/>
      <c r="E95" s="421"/>
      <c r="F95" s="415">
        <v>0</v>
      </c>
      <c r="G95" s="415"/>
      <c r="H95" s="421">
        <v>0</v>
      </c>
      <c r="I95" s="421">
        <v>0</v>
      </c>
      <c r="J95" s="408" t="s">
        <v>59</v>
      </c>
      <c r="K95" s="425">
        <v>0</v>
      </c>
      <c r="L95" s="415">
        <v>0</v>
      </c>
      <c r="M95" s="415">
        <v>0</v>
      </c>
      <c r="N95" s="415">
        <v>0</v>
      </c>
      <c r="O95" s="415">
        <v>0</v>
      </c>
      <c r="P95" s="421">
        <v>0</v>
      </c>
      <c r="Q95" s="421">
        <v>0</v>
      </c>
      <c r="R95" s="421">
        <v>0</v>
      </c>
      <c r="S95" s="421">
        <v>0</v>
      </c>
      <c r="T95" s="415"/>
      <c r="U95" s="415"/>
      <c r="V95" s="421">
        <f>_xlfn.IFNA(VLOOKUP(A95,[3]進出口值表查詢結果!$C$11:$F$68,4,0),-[2]整車!$B$22)</f>
        <v>0</v>
      </c>
      <c r="W95" s="421">
        <f>_xlfn.IFNA(VLOOKUP(A95,[3]進出口值表查詢結果!$C$11:$F$68,3,0),-[2]整車!$B$22)</f>
        <v>0</v>
      </c>
      <c r="X95" s="421">
        <f>_xlfn.IFNA(VLOOKUP(A95,[4]進出口值表查詢結果!$C$11:$F$68,4,0),-[2]整車!$B$22)</f>
        <v>0</v>
      </c>
      <c r="Y95" s="421">
        <f>_xlfn.IFNA(VLOOKUP(A95,[4]進出口值表查詢結果!$C$11:$F$68,3,0),-[2]整車!$B$22)</f>
        <v>0</v>
      </c>
      <c r="Z95" s="415">
        <f t="shared" si="17"/>
        <v>0</v>
      </c>
      <c r="AA95" s="415">
        <f t="shared" si="18"/>
        <v>0</v>
      </c>
    </row>
    <row r="96" spans="1:27">
      <c r="A96" s="414"/>
      <c r="B96" s="415"/>
      <c r="C96" s="415"/>
      <c r="D96" s="415"/>
      <c r="E96" s="415"/>
      <c r="F96" s="415"/>
      <c r="G96" s="415"/>
      <c r="H96" s="415"/>
      <c r="I96" s="415"/>
      <c r="J96" s="408"/>
      <c r="K96" s="409"/>
      <c r="L96" s="415"/>
      <c r="M96" s="415"/>
      <c r="N96" s="415"/>
      <c r="O96" s="415"/>
      <c r="P96" s="415"/>
      <c r="Q96" s="415"/>
      <c r="R96" s="415"/>
      <c r="S96" s="415"/>
      <c r="T96" s="415"/>
      <c r="U96" s="415"/>
      <c r="V96" s="415"/>
      <c r="W96" s="415"/>
      <c r="X96" s="415"/>
      <c r="Y96" s="415"/>
      <c r="Z96" s="415"/>
      <c r="AA96" s="415"/>
    </row>
    <row r="97" spans="1:27">
      <c r="A97" s="441" t="s">
        <v>144</v>
      </c>
      <c r="B97" s="442">
        <f t="shared" ref="B97:Y97" si="19">SUM(B98:B100)</f>
        <v>52798</v>
      </c>
      <c r="C97" s="442">
        <f t="shared" si="19"/>
        <v>33121696</v>
      </c>
      <c r="D97" s="442">
        <f t="shared" si="19"/>
        <v>50400</v>
      </c>
      <c r="E97" s="442">
        <f t="shared" si="19"/>
        <v>31534279</v>
      </c>
      <c r="F97" s="442">
        <f t="shared" si="19"/>
        <v>40988</v>
      </c>
      <c r="G97" s="442">
        <f t="shared" si="19"/>
        <v>23973578</v>
      </c>
      <c r="H97" s="442">
        <f t="shared" si="19"/>
        <v>42311</v>
      </c>
      <c r="I97" s="442">
        <f t="shared" si="19"/>
        <v>22157100</v>
      </c>
      <c r="J97" s="443">
        <f t="shared" si="19"/>
        <v>68862</v>
      </c>
      <c r="K97" s="444">
        <f t="shared" si="19"/>
        <v>39539255</v>
      </c>
      <c r="L97" s="442">
        <f t="shared" si="19"/>
        <v>61547</v>
      </c>
      <c r="M97" s="442">
        <f t="shared" si="19"/>
        <v>41765283</v>
      </c>
      <c r="N97" s="442">
        <f t="shared" si="19"/>
        <v>57860</v>
      </c>
      <c r="O97" s="442">
        <f t="shared" si="19"/>
        <v>47576440</v>
      </c>
      <c r="P97" s="442">
        <f t="shared" si="19"/>
        <v>70020</v>
      </c>
      <c r="Q97" s="442">
        <f t="shared" si="19"/>
        <v>47975910</v>
      </c>
      <c r="R97" s="442">
        <f t="shared" si="19"/>
        <v>57029</v>
      </c>
      <c r="S97" s="442">
        <f t="shared" si="19"/>
        <v>32139611</v>
      </c>
      <c r="T97" s="442">
        <f t="shared" si="19"/>
        <v>68638</v>
      </c>
      <c r="U97" s="442">
        <f t="shared" si="19"/>
        <v>38723065</v>
      </c>
      <c r="V97" s="442">
        <f>SUM(V98:V100)</f>
        <v>76863</v>
      </c>
      <c r="W97" s="442">
        <f>SUM(W98:W100)</f>
        <v>36987555</v>
      </c>
      <c r="X97" s="442">
        <f t="shared" si="19"/>
        <v>64518</v>
      </c>
      <c r="Y97" s="442">
        <f t="shared" si="19"/>
        <v>35209517</v>
      </c>
      <c r="Z97" s="428">
        <f t="shared" ref="Z97:AA100" si="20">SUM(B97,D97,F97,H97,J97,L97,N97,P97,R97,T97,V97,X97)</f>
        <v>711834</v>
      </c>
      <c r="AA97" s="428">
        <f t="shared" si="20"/>
        <v>430703289</v>
      </c>
    </row>
    <row r="98" spans="1:27">
      <c r="A98" s="458" t="s">
        <v>164</v>
      </c>
      <c r="B98" s="421">
        <v>48120</v>
      </c>
      <c r="C98" s="421">
        <v>29498633</v>
      </c>
      <c r="D98" s="421">
        <v>44184</v>
      </c>
      <c r="E98" s="421">
        <v>25012824</v>
      </c>
      <c r="F98" s="421">
        <v>37364</v>
      </c>
      <c r="G98" s="421">
        <v>20911414</v>
      </c>
      <c r="H98" s="421">
        <v>40429</v>
      </c>
      <c r="I98" s="421">
        <v>20039545</v>
      </c>
      <c r="J98" s="422">
        <v>65721</v>
      </c>
      <c r="K98" s="423">
        <v>36235280</v>
      </c>
      <c r="L98" s="421">
        <v>57262</v>
      </c>
      <c r="M98" s="421">
        <v>37300973</v>
      </c>
      <c r="N98" s="421">
        <v>52826</v>
      </c>
      <c r="O98" s="421">
        <v>41788643</v>
      </c>
      <c r="P98" s="421">
        <v>65538</v>
      </c>
      <c r="Q98" s="421">
        <v>42663542</v>
      </c>
      <c r="R98" s="421">
        <v>54118</v>
      </c>
      <c r="S98" s="421">
        <v>29005811</v>
      </c>
      <c r="T98" s="421">
        <v>65331</v>
      </c>
      <c r="U98" s="421">
        <v>34634631</v>
      </c>
      <c r="V98" s="421">
        <f>_xlfn.IFNA(VLOOKUP(A98,[3]進出口值表查詢結果!$C$11:$F$68,4,0),-[2]整車!$B$22)</f>
        <v>73370</v>
      </c>
      <c r="W98" s="421">
        <f>_xlfn.IFNA(VLOOKUP(A98,[3]進出口值表查詢結果!$C$11:$F$68,3,0),-[2]整車!$B$22)</f>
        <v>33547174</v>
      </c>
      <c r="X98" s="421">
        <f>_xlfn.IFNA(VLOOKUP(A98,[4]進出口值表查詢結果!$C$11:$F$68,4,0),-[2]整車!$B$22)</f>
        <v>60970</v>
      </c>
      <c r="Y98" s="421">
        <f>_xlfn.IFNA(VLOOKUP(A98,[4]進出口值表查詢結果!$C$11:$F$68,3,0),-[2]整車!$B$22)</f>
        <v>32188211</v>
      </c>
      <c r="Z98" s="415">
        <f t="shared" si="20"/>
        <v>665233</v>
      </c>
      <c r="AA98" s="415">
        <f t="shared" si="20"/>
        <v>382826681</v>
      </c>
    </row>
    <row r="99" spans="1:27">
      <c r="A99" s="458" t="s">
        <v>174</v>
      </c>
      <c r="B99" s="421">
        <v>4285</v>
      </c>
      <c r="C99" s="421">
        <v>3224729</v>
      </c>
      <c r="D99" s="421">
        <v>5520</v>
      </c>
      <c r="E99" s="421">
        <v>5948302</v>
      </c>
      <c r="F99" s="421">
        <v>3453</v>
      </c>
      <c r="G99" s="421">
        <v>2889944</v>
      </c>
      <c r="H99" s="421">
        <v>1520</v>
      </c>
      <c r="I99" s="421">
        <v>1622558</v>
      </c>
      <c r="J99" s="422">
        <v>2611</v>
      </c>
      <c r="K99" s="423">
        <v>2499831</v>
      </c>
      <c r="L99" s="421">
        <v>3403</v>
      </c>
      <c r="M99" s="421">
        <v>3630698</v>
      </c>
      <c r="N99" s="421">
        <v>3856</v>
      </c>
      <c r="O99" s="421">
        <v>4296622</v>
      </c>
      <c r="P99" s="421">
        <v>3208</v>
      </c>
      <c r="Q99" s="421">
        <v>3679701</v>
      </c>
      <c r="R99" s="421">
        <v>2427</v>
      </c>
      <c r="S99" s="421">
        <v>2612605</v>
      </c>
      <c r="T99" s="421">
        <v>2276</v>
      </c>
      <c r="U99" s="421">
        <v>3152428</v>
      </c>
      <c r="V99" s="421">
        <f>_xlfn.IFNA(VLOOKUP(A99,[3]進出口值表查詢結果!$C$11:$F$68,4,0),-[2]整車!$B$22)</f>
        <v>2267</v>
      </c>
      <c r="W99" s="421">
        <f>_xlfn.IFNA(VLOOKUP(A99,[3]進出口值表查詢結果!$C$11:$F$68,3,0),-[2]整車!$B$22)</f>
        <v>2558579</v>
      </c>
      <c r="X99" s="421">
        <f>_xlfn.IFNA(VLOOKUP(A99,[4]進出口值表查詢結果!$C$11:$F$68,4,0),-[2]整車!$B$22)</f>
        <v>3014</v>
      </c>
      <c r="Y99" s="421">
        <f>_xlfn.IFNA(VLOOKUP(A99,[4]進出口值表查詢結果!$C$11:$F$68,3,0),-[2]整車!$B$22)</f>
        <v>2345835</v>
      </c>
      <c r="Z99" s="415">
        <f t="shared" si="20"/>
        <v>37840</v>
      </c>
      <c r="AA99" s="415">
        <f t="shared" si="20"/>
        <v>38461832</v>
      </c>
    </row>
    <row r="100" spans="1:27">
      <c r="A100" s="458" t="s">
        <v>197</v>
      </c>
      <c r="B100" s="421">
        <v>393</v>
      </c>
      <c r="C100" s="421">
        <v>398334</v>
      </c>
      <c r="D100" s="421">
        <v>696</v>
      </c>
      <c r="E100" s="421">
        <v>573153</v>
      </c>
      <c r="F100" s="421">
        <v>171</v>
      </c>
      <c r="G100" s="421">
        <v>172220</v>
      </c>
      <c r="H100" s="421">
        <v>362</v>
      </c>
      <c r="I100" s="421">
        <v>494997</v>
      </c>
      <c r="J100" s="422">
        <v>530</v>
      </c>
      <c r="K100" s="425">
        <v>804144</v>
      </c>
      <c r="L100" s="421">
        <v>882</v>
      </c>
      <c r="M100" s="421">
        <v>833612</v>
      </c>
      <c r="N100" s="421">
        <v>1178</v>
      </c>
      <c r="O100" s="421">
        <v>1491175</v>
      </c>
      <c r="P100" s="421">
        <v>1274</v>
      </c>
      <c r="Q100" s="421">
        <v>1632667</v>
      </c>
      <c r="R100" s="421">
        <v>484</v>
      </c>
      <c r="S100" s="421">
        <v>521195</v>
      </c>
      <c r="T100" s="421">
        <v>1031</v>
      </c>
      <c r="U100" s="421">
        <v>936006</v>
      </c>
      <c r="V100" s="421">
        <f>_xlfn.IFNA(VLOOKUP(A100,[3]進出口值表查詢結果!$C$11:$F$68,4,0),-[2]整車!$B$22)</f>
        <v>1226</v>
      </c>
      <c r="W100" s="421">
        <f>_xlfn.IFNA(VLOOKUP(A100,[3]進出口值表查詢結果!$C$11:$F$68,3,0),-[2]整車!$B$22)</f>
        <v>881802</v>
      </c>
      <c r="X100" s="421">
        <f>_xlfn.IFNA(VLOOKUP(A100,[4]進出口值表查詢結果!$C$11:$F$68,4,0),-[2]整車!$B$22)</f>
        <v>534</v>
      </c>
      <c r="Y100" s="421">
        <f>_xlfn.IFNA(VLOOKUP(A100,[4]進出口值表查詢結果!$C$11:$F$68,3,0),-[2]整車!$B$22)</f>
        <v>675471</v>
      </c>
      <c r="Z100" s="415">
        <f t="shared" si="20"/>
        <v>8761</v>
      </c>
      <c r="AA100" s="415">
        <f t="shared" si="20"/>
        <v>9414776</v>
      </c>
    </row>
    <row r="101" spans="1:27">
      <c r="A101" s="424"/>
      <c r="B101" s="421"/>
      <c r="C101" s="421"/>
      <c r="D101" s="421"/>
      <c r="E101" s="421"/>
      <c r="F101" s="421"/>
      <c r="G101" s="421"/>
      <c r="H101" s="421"/>
      <c r="I101" s="421"/>
      <c r="J101" s="422"/>
      <c r="K101" s="423"/>
      <c r="L101" s="421"/>
      <c r="M101" s="421"/>
      <c r="N101" s="421"/>
      <c r="O101" s="421"/>
      <c r="P101" s="421"/>
      <c r="Q101" s="421"/>
      <c r="R101" s="421"/>
      <c r="S101" s="421"/>
      <c r="T101" s="421"/>
      <c r="U101" s="421"/>
      <c r="V101" s="421"/>
      <c r="W101" s="421"/>
      <c r="X101" s="421"/>
      <c r="Y101" s="421"/>
      <c r="Z101" s="415"/>
      <c r="AA101" s="415"/>
    </row>
    <row r="102" spans="1:27">
      <c r="A102" s="441" t="s">
        <v>45</v>
      </c>
      <c r="B102" s="442">
        <f t="shared" ref="B102:Y102" si="21">SUM(B103:B134)</f>
        <v>1934</v>
      </c>
      <c r="C102" s="442">
        <f t="shared" si="21"/>
        <v>1731089</v>
      </c>
      <c r="D102" s="442">
        <f t="shared" si="21"/>
        <v>1633</v>
      </c>
      <c r="E102" s="442">
        <f t="shared" si="21"/>
        <v>1772448</v>
      </c>
      <c r="F102" s="442">
        <f t="shared" si="21"/>
        <v>1822</v>
      </c>
      <c r="G102" s="442">
        <f t="shared" si="21"/>
        <v>2077067</v>
      </c>
      <c r="H102" s="442">
        <f t="shared" si="21"/>
        <v>906</v>
      </c>
      <c r="I102" s="442">
        <f t="shared" si="21"/>
        <v>1075357</v>
      </c>
      <c r="J102" s="443">
        <f t="shared" si="21"/>
        <v>1957</v>
      </c>
      <c r="K102" s="444">
        <f t="shared" si="21"/>
        <v>3078550</v>
      </c>
      <c r="L102" s="442">
        <f t="shared" si="21"/>
        <v>3212</v>
      </c>
      <c r="M102" s="442">
        <f t="shared" si="21"/>
        <v>4353020</v>
      </c>
      <c r="N102" s="442">
        <f t="shared" si="21"/>
        <v>3748</v>
      </c>
      <c r="O102" s="442">
        <f t="shared" si="21"/>
        <v>4915548</v>
      </c>
      <c r="P102" s="442">
        <f t="shared" si="21"/>
        <v>2931</v>
      </c>
      <c r="Q102" s="442">
        <f t="shared" si="21"/>
        <v>4038698</v>
      </c>
      <c r="R102" s="442">
        <f t="shared" si="21"/>
        <v>2759</v>
      </c>
      <c r="S102" s="442">
        <f t="shared" si="21"/>
        <v>3387332</v>
      </c>
      <c r="T102" s="442">
        <f t="shared" si="21"/>
        <v>2949</v>
      </c>
      <c r="U102" s="442">
        <f t="shared" si="21"/>
        <v>3052841</v>
      </c>
      <c r="V102" s="442">
        <f>SUM(V103:V134)</f>
        <v>1812</v>
      </c>
      <c r="W102" s="442">
        <f>SUM(W103:W134)</f>
        <v>2019548</v>
      </c>
      <c r="X102" s="442">
        <f t="shared" si="21"/>
        <v>2688</v>
      </c>
      <c r="Y102" s="442">
        <f t="shared" si="21"/>
        <v>2319383</v>
      </c>
      <c r="Z102" s="428">
        <f t="shared" ref="Z102:Z134" si="22">SUM(B102,D102,F102,H102,J102,L102,N102,P102,R102,T102,V102,X102)</f>
        <v>28351</v>
      </c>
      <c r="AA102" s="428">
        <f t="shared" ref="AA102:AA134" si="23">SUM(C102,E102,G102,I102,K102,M102,O102,Q102,S102,U102,W102,Y102)</f>
        <v>33820881</v>
      </c>
    </row>
    <row r="103" spans="1:27">
      <c r="A103" s="458" t="s">
        <v>299</v>
      </c>
      <c r="B103" s="421"/>
      <c r="C103" s="421"/>
      <c r="D103" s="421"/>
      <c r="E103" s="421"/>
      <c r="F103" s="421">
        <v>0</v>
      </c>
      <c r="G103" s="421"/>
      <c r="H103" s="421">
        <v>0</v>
      </c>
      <c r="I103" s="421">
        <v>0</v>
      </c>
      <c r="J103" s="422" t="s">
        <v>59</v>
      </c>
      <c r="K103" s="425" t="s">
        <v>59</v>
      </c>
      <c r="L103" s="421"/>
      <c r="M103" s="421"/>
      <c r="N103" s="421"/>
      <c r="O103" s="421"/>
      <c r="P103" s="421">
        <v>0</v>
      </c>
      <c r="Q103" s="421">
        <v>0</v>
      </c>
      <c r="R103" s="421">
        <v>0</v>
      </c>
      <c r="S103" s="421">
        <v>0</v>
      </c>
      <c r="T103" s="421"/>
      <c r="U103" s="421"/>
      <c r="V103" s="421">
        <f>_xlfn.IFNA(VLOOKUP(A103,[3]進出口值表查詢結果!$C$11:$F$68,4,0),-[2]整車!$B$22)</f>
        <v>0</v>
      </c>
      <c r="W103" s="421">
        <f>_xlfn.IFNA(VLOOKUP(A103,[3]進出口值表查詢結果!$C$11:$F$68,3,0),-[2]整車!$B$22)</f>
        <v>0</v>
      </c>
      <c r="X103" s="421">
        <f>_xlfn.IFNA(VLOOKUP(A103,[4]進出口值表查詢結果!$C$11:$F$68,4,0),-[2]整車!$B$22)</f>
        <v>0</v>
      </c>
      <c r="Y103" s="421">
        <f>_xlfn.IFNA(VLOOKUP(A103,[4]進出口值表查詢結果!$C$11:$F$68,3,0),-[2]整車!$B$22)</f>
        <v>0</v>
      </c>
      <c r="Z103" s="415">
        <f t="shared" si="22"/>
        <v>0</v>
      </c>
      <c r="AA103" s="415">
        <f t="shared" si="23"/>
        <v>0</v>
      </c>
    </row>
    <row r="104" spans="1:27">
      <c r="A104" s="458" t="s">
        <v>300</v>
      </c>
      <c r="B104" s="421"/>
      <c r="C104" s="421"/>
      <c r="D104" s="421"/>
      <c r="E104" s="421"/>
      <c r="F104" s="421">
        <v>0</v>
      </c>
      <c r="G104" s="421"/>
      <c r="H104" s="421">
        <v>0</v>
      </c>
      <c r="I104" s="421">
        <v>0</v>
      </c>
      <c r="J104" s="422" t="s">
        <v>59</v>
      </c>
      <c r="K104" s="425" t="s">
        <v>59</v>
      </c>
      <c r="L104" s="421"/>
      <c r="M104" s="421"/>
      <c r="N104" s="421"/>
      <c r="O104" s="421"/>
      <c r="P104" s="421">
        <v>0</v>
      </c>
      <c r="Q104" s="421">
        <v>0</v>
      </c>
      <c r="R104" s="421">
        <v>0</v>
      </c>
      <c r="S104" s="421">
        <v>0</v>
      </c>
      <c r="T104" s="421"/>
      <c r="U104" s="421"/>
      <c r="V104" s="421">
        <f>_xlfn.IFNA(VLOOKUP(A104,[3]進出口值表查詢結果!$C$11:$F$68,4,0),-[2]整車!$B$22)</f>
        <v>0</v>
      </c>
      <c r="W104" s="421">
        <f>_xlfn.IFNA(VLOOKUP(A104,[3]進出口值表查詢結果!$C$11:$F$68,3,0),-[2]整車!$B$22)</f>
        <v>0</v>
      </c>
      <c r="X104" s="421">
        <f>_xlfn.IFNA(VLOOKUP(A104,[4]進出口值表查詢結果!$C$11:$F$68,4,0),-[2]整車!$B$22)</f>
        <v>0</v>
      </c>
      <c r="Y104" s="421">
        <f>_xlfn.IFNA(VLOOKUP(A104,[4]進出口值表查詢結果!$C$11:$F$68,3,0),-[2]整車!$B$22)</f>
        <v>0</v>
      </c>
      <c r="Z104" s="415">
        <f t="shared" si="22"/>
        <v>0</v>
      </c>
      <c r="AA104" s="415">
        <f t="shared" si="23"/>
        <v>0</v>
      </c>
    </row>
    <row r="105" spans="1:27">
      <c r="A105" s="458" t="s">
        <v>190</v>
      </c>
      <c r="B105" s="421">
        <v>382</v>
      </c>
      <c r="C105" s="421">
        <v>382841</v>
      </c>
      <c r="D105" s="421">
        <v>506</v>
      </c>
      <c r="E105" s="421">
        <v>765722</v>
      </c>
      <c r="F105" s="421">
        <v>527</v>
      </c>
      <c r="G105" s="421">
        <v>600067</v>
      </c>
      <c r="H105" s="421">
        <v>281</v>
      </c>
      <c r="I105" s="421">
        <v>404903</v>
      </c>
      <c r="J105" s="422">
        <v>848</v>
      </c>
      <c r="K105" s="423">
        <v>1410992</v>
      </c>
      <c r="L105" s="421">
        <v>1653</v>
      </c>
      <c r="M105" s="421">
        <v>2346012</v>
      </c>
      <c r="N105" s="435">
        <v>944</v>
      </c>
      <c r="O105" s="435">
        <v>1389114</v>
      </c>
      <c r="P105" s="421">
        <v>509</v>
      </c>
      <c r="Q105" s="421">
        <v>808506</v>
      </c>
      <c r="R105" s="421">
        <v>533</v>
      </c>
      <c r="S105" s="421">
        <v>864334</v>
      </c>
      <c r="T105" s="421">
        <v>159</v>
      </c>
      <c r="U105" s="421">
        <v>215147</v>
      </c>
      <c r="V105" s="421">
        <f>_xlfn.IFNA(VLOOKUP(A105,[3]進出口值表查詢結果!$C$11:$F$68,4,0),-[2]整車!$B$22)</f>
        <v>323</v>
      </c>
      <c r="W105" s="421">
        <f>_xlfn.IFNA(VLOOKUP(A105,[3]進出口值表查詢結果!$C$11:$F$68,3,0),-[2]整車!$B$22)</f>
        <v>284126</v>
      </c>
      <c r="X105" s="421">
        <f>_xlfn.IFNA(VLOOKUP(A105,[4]進出口值表查詢結果!$C$11:$F$68,4,0),-[2]整車!$B$22)</f>
        <v>146</v>
      </c>
      <c r="Y105" s="421">
        <f>_xlfn.IFNA(VLOOKUP(A105,[4]進出口值表查詢結果!$C$11:$F$68,3,0),-[2]整車!$B$22)</f>
        <v>145591</v>
      </c>
      <c r="Z105" s="415">
        <f t="shared" si="22"/>
        <v>6811</v>
      </c>
      <c r="AA105" s="415">
        <f t="shared" si="23"/>
        <v>9617355</v>
      </c>
    </row>
    <row r="106" spans="1:27">
      <c r="A106" s="458" t="s">
        <v>302</v>
      </c>
      <c r="B106" s="421">
        <v>192</v>
      </c>
      <c r="C106" s="421">
        <v>147251</v>
      </c>
      <c r="D106" s="421">
        <v>186</v>
      </c>
      <c r="E106" s="421">
        <v>185042</v>
      </c>
      <c r="F106" s="421">
        <v>10</v>
      </c>
      <c r="G106" s="421">
        <v>16229</v>
      </c>
      <c r="H106" s="421">
        <v>0</v>
      </c>
      <c r="I106" s="421">
        <v>0</v>
      </c>
      <c r="J106" s="422" t="s">
        <v>59</v>
      </c>
      <c r="K106" s="425" t="s">
        <v>59</v>
      </c>
      <c r="L106" s="421">
        <v>204</v>
      </c>
      <c r="M106" s="421">
        <v>355563</v>
      </c>
      <c r="N106" s="435">
        <v>92</v>
      </c>
      <c r="O106" s="435">
        <v>125017</v>
      </c>
      <c r="P106" s="421">
        <v>232</v>
      </c>
      <c r="Q106" s="421">
        <v>213453</v>
      </c>
      <c r="R106" s="421">
        <v>211</v>
      </c>
      <c r="S106" s="421">
        <v>248506</v>
      </c>
      <c r="T106" s="421">
        <v>234</v>
      </c>
      <c r="U106" s="421">
        <v>172701</v>
      </c>
      <c r="V106" s="421">
        <f>_xlfn.IFNA(VLOOKUP(A106,[3]進出口值表查詢結果!$C$11:$F$68,4,0),-[2]整車!$B$22)</f>
        <v>169</v>
      </c>
      <c r="W106" s="421">
        <f>_xlfn.IFNA(VLOOKUP(A106,[3]進出口值表查詢結果!$C$11:$F$68,3,0),-[2]整車!$B$22)</f>
        <v>193761</v>
      </c>
      <c r="X106" s="421">
        <f>_xlfn.IFNA(VLOOKUP(A106,[4]進出口值表查詢結果!$C$11:$F$68,4,0),-[2]整車!$B$22)</f>
        <v>364</v>
      </c>
      <c r="Y106" s="421">
        <f>_xlfn.IFNA(VLOOKUP(A106,[4]進出口值表查詢結果!$C$11:$F$68,3,0),-[2]整車!$B$22)</f>
        <v>300945</v>
      </c>
      <c r="Z106" s="415">
        <f t="shared" si="22"/>
        <v>1894</v>
      </c>
      <c r="AA106" s="415">
        <f t="shared" si="23"/>
        <v>1958468</v>
      </c>
    </row>
    <row r="107" spans="1:27">
      <c r="A107" s="458" t="s">
        <v>303</v>
      </c>
      <c r="B107" s="421">
        <v>781</v>
      </c>
      <c r="C107" s="421">
        <v>548150</v>
      </c>
      <c r="D107" s="421">
        <v>111</v>
      </c>
      <c r="E107" s="421">
        <v>89240</v>
      </c>
      <c r="F107" s="421">
        <v>351</v>
      </c>
      <c r="G107" s="421">
        <v>470294</v>
      </c>
      <c r="H107" s="421">
        <v>198</v>
      </c>
      <c r="I107" s="421">
        <v>307652</v>
      </c>
      <c r="J107" s="422">
        <v>229</v>
      </c>
      <c r="K107" s="423">
        <v>430170</v>
      </c>
      <c r="L107" s="421">
        <v>510</v>
      </c>
      <c r="M107" s="421">
        <v>633446</v>
      </c>
      <c r="N107" s="435">
        <v>1151</v>
      </c>
      <c r="O107" s="435">
        <v>1551960</v>
      </c>
      <c r="P107" s="421">
        <v>889</v>
      </c>
      <c r="Q107" s="421">
        <v>1212809</v>
      </c>
      <c r="R107" s="421">
        <v>540</v>
      </c>
      <c r="S107" s="421">
        <v>582846</v>
      </c>
      <c r="T107" s="421">
        <v>602</v>
      </c>
      <c r="U107" s="421">
        <v>676489</v>
      </c>
      <c r="V107" s="421">
        <f>_xlfn.IFNA(VLOOKUP(A107,[3]進出口值表查詢結果!$C$11:$F$68,4,0),-[2]整車!$B$22)</f>
        <v>546</v>
      </c>
      <c r="W107" s="421">
        <f>_xlfn.IFNA(VLOOKUP(A107,[3]進出口值表查詢結果!$C$11:$F$68,3,0),-[2]整車!$B$22)</f>
        <v>727903</v>
      </c>
      <c r="X107" s="421">
        <f>_xlfn.IFNA(VLOOKUP(A107,[4]進出口值表查詢結果!$C$11:$F$68,4,0),-[2]整車!$B$22)</f>
        <v>233</v>
      </c>
      <c r="Y107" s="421">
        <f>_xlfn.IFNA(VLOOKUP(A107,[4]進出口值表查詢結果!$C$11:$F$68,3,0),-[2]整車!$B$22)</f>
        <v>261722</v>
      </c>
      <c r="Z107" s="415">
        <f t="shared" si="22"/>
        <v>6141</v>
      </c>
      <c r="AA107" s="415">
        <f t="shared" si="23"/>
        <v>7492681</v>
      </c>
    </row>
    <row r="108" spans="1:27">
      <c r="A108" s="458" t="s">
        <v>304</v>
      </c>
      <c r="B108" s="421">
        <v>17</v>
      </c>
      <c r="C108" s="421">
        <v>25258</v>
      </c>
      <c r="D108" s="421"/>
      <c r="E108" s="421"/>
      <c r="F108" s="421">
        <v>35</v>
      </c>
      <c r="G108" s="421">
        <v>25788</v>
      </c>
      <c r="H108" s="421">
        <v>12</v>
      </c>
      <c r="I108" s="421">
        <v>16694</v>
      </c>
      <c r="J108" s="422">
        <v>206</v>
      </c>
      <c r="K108" s="425">
        <v>450652</v>
      </c>
      <c r="L108" s="421">
        <v>105</v>
      </c>
      <c r="M108" s="421">
        <v>123626</v>
      </c>
      <c r="N108" s="421">
        <v>201</v>
      </c>
      <c r="O108" s="435">
        <v>350913</v>
      </c>
      <c r="P108" s="421">
        <v>238</v>
      </c>
      <c r="Q108" s="421">
        <v>267808</v>
      </c>
      <c r="R108" s="421">
        <v>35</v>
      </c>
      <c r="S108" s="421">
        <v>51563</v>
      </c>
      <c r="T108" s="421">
        <v>445</v>
      </c>
      <c r="U108" s="421">
        <v>486920</v>
      </c>
      <c r="V108" s="421">
        <f>_xlfn.IFNA(VLOOKUP(A108,[3]進出口值表查詢結果!$C$11:$F$68,4,0),-[2]整車!$B$22)</f>
        <v>432</v>
      </c>
      <c r="W108" s="421">
        <f>_xlfn.IFNA(VLOOKUP(A108,[3]進出口值表查詢結果!$C$11:$F$68,3,0),-[2]整車!$B$22)</f>
        <v>333448</v>
      </c>
      <c r="X108" s="421">
        <f>_xlfn.IFNA(VLOOKUP(A108,[4]進出口值表查詢結果!$C$11:$F$68,4,0),-[2]整車!$B$22)</f>
        <v>408</v>
      </c>
      <c r="Y108" s="421">
        <f>_xlfn.IFNA(VLOOKUP(A108,[4]進出口值表查詢結果!$C$11:$F$68,3,0),-[2]整車!$B$22)</f>
        <v>492827</v>
      </c>
      <c r="Z108" s="415">
        <f t="shared" si="22"/>
        <v>2134</v>
      </c>
      <c r="AA108" s="415">
        <f t="shared" si="23"/>
        <v>2625497</v>
      </c>
    </row>
    <row r="109" spans="1:27">
      <c r="A109" s="458" t="s">
        <v>398</v>
      </c>
      <c r="B109" s="421">
        <v>21</v>
      </c>
      <c r="C109" s="421">
        <v>26824</v>
      </c>
      <c r="D109" s="421"/>
      <c r="E109" s="421"/>
      <c r="F109" s="421">
        <v>99</v>
      </c>
      <c r="G109" s="421">
        <v>93761</v>
      </c>
      <c r="H109" s="421">
        <v>0</v>
      </c>
      <c r="I109" s="421">
        <v>0</v>
      </c>
      <c r="J109" s="422">
        <v>106</v>
      </c>
      <c r="K109" s="423">
        <v>83461</v>
      </c>
      <c r="L109" s="421">
        <v>38</v>
      </c>
      <c r="M109" s="421">
        <v>42862</v>
      </c>
      <c r="N109" s="435">
        <v>99</v>
      </c>
      <c r="O109" s="435">
        <v>102704</v>
      </c>
      <c r="P109" s="421">
        <v>90</v>
      </c>
      <c r="Q109" s="421">
        <v>90308</v>
      </c>
      <c r="R109" s="421">
        <v>58</v>
      </c>
      <c r="S109" s="421">
        <v>70380</v>
      </c>
      <c r="T109" s="421">
        <v>106</v>
      </c>
      <c r="U109" s="421">
        <v>106953</v>
      </c>
      <c r="V109" s="421">
        <f>_xlfn.IFNA(VLOOKUP(A109,[3]進出口值表查詢結果!$C$11:$F$68,4,0),-[2]整車!$B$22)</f>
        <v>50</v>
      </c>
      <c r="W109" s="421">
        <f>_xlfn.IFNA(VLOOKUP(A109,[3]進出口值表查詢結果!$C$11:$F$68,3,0),-[2]整車!$B$22)</f>
        <v>61248</v>
      </c>
      <c r="X109" s="421">
        <f>_xlfn.IFNA(VLOOKUP(A109,[4]進出口值表查詢結果!$C$11:$F$68,4,0),-[2]整車!$B$22)</f>
        <v>24</v>
      </c>
      <c r="Y109" s="421">
        <f>_xlfn.IFNA(VLOOKUP(A109,[4]進出口值表查詢結果!$C$11:$F$68,3,0),-[2]整車!$B$22)</f>
        <v>4829</v>
      </c>
      <c r="Z109" s="415">
        <f t="shared" si="22"/>
        <v>691</v>
      </c>
      <c r="AA109" s="415">
        <f t="shared" si="23"/>
        <v>683330</v>
      </c>
    </row>
    <row r="110" spans="1:27">
      <c r="A110" s="458" t="s">
        <v>305</v>
      </c>
      <c r="B110" s="421"/>
      <c r="C110" s="421"/>
      <c r="D110" s="421">
        <v>26</v>
      </c>
      <c r="E110" s="421">
        <v>36509</v>
      </c>
      <c r="F110" s="421">
        <v>69</v>
      </c>
      <c r="G110" s="421">
        <v>58115</v>
      </c>
      <c r="H110" s="421">
        <v>0</v>
      </c>
      <c r="I110" s="421">
        <v>0</v>
      </c>
      <c r="J110" s="422" t="s">
        <v>59</v>
      </c>
      <c r="K110" s="425" t="s">
        <v>59</v>
      </c>
      <c r="L110" s="421"/>
      <c r="M110" s="421"/>
      <c r="N110" s="421"/>
      <c r="O110" s="421"/>
      <c r="P110" s="421">
        <v>0</v>
      </c>
      <c r="Q110" s="421">
        <v>0</v>
      </c>
      <c r="R110" s="421">
        <v>0</v>
      </c>
      <c r="S110" s="421">
        <v>0</v>
      </c>
      <c r="T110" s="421"/>
      <c r="U110" s="421"/>
      <c r="V110" s="421">
        <f>_xlfn.IFNA(VLOOKUP(A110,[3]進出口值表查詢結果!$C$11:$F$68,4,0),-[2]整車!$B$22)</f>
        <v>0</v>
      </c>
      <c r="W110" s="421">
        <f>_xlfn.IFNA(VLOOKUP(A110,[3]進出口值表查詢結果!$C$11:$F$68,3,0),-[2]整車!$B$22)</f>
        <v>0</v>
      </c>
      <c r="X110" s="421">
        <f>_xlfn.IFNA(VLOOKUP(A110,[4]進出口值表查詢結果!$C$11:$F$68,4,0),-[2]整車!$B$22)</f>
        <v>0</v>
      </c>
      <c r="Y110" s="421">
        <f>_xlfn.IFNA(VLOOKUP(A110,[4]進出口值表查詢結果!$C$11:$F$68,3,0),-[2]整車!$B$22)</f>
        <v>0</v>
      </c>
      <c r="Z110" s="415">
        <f t="shared" si="22"/>
        <v>95</v>
      </c>
      <c r="AA110" s="415">
        <f t="shared" si="23"/>
        <v>94624</v>
      </c>
    </row>
    <row r="111" spans="1:27">
      <c r="A111" s="458" t="s">
        <v>306</v>
      </c>
      <c r="B111" s="421">
        <v>38</v>
      </c>
      <c r="C111" s="421">
        <v>57613</v>
      </c>
      <c r="D111" s="421">
        <v>239</v>
      </c>
      <c r="E111" s="421">
        <v>192071</v>
      </c>
      <c r="F111" s="421">
        <v>218</v>
      </c>
      <c r="G111" s="421">
        <v>140890</v>
      </c>
      <c r="H111" s="421">
        <v>5</v>
      </c>
      <c r="I111" s="421">
        <v>10500</v>
      </c>
      <c r="J111" s="422">
        <v>175</v>
      </c>
      <c r="K111" s="425">
        <v>220849</v>
      </c>
      <c r="L111" s="421">
        <v>319</v>
      </c>
      <c r="M111" s="421">
        <v>305430</v>
      </c>
      <c r="N111" s="435">
        <v>392</v>
      </c>
      <c r="O111" s="435">
        <v>586309</v>
      </c>
      <c r="P111" s="421">
        <v>106</v>
      </c>
      <c r="Q111" s="421">
        <v>196069</v>
      </c>
      <c r="R111" s="421">
        <v>435</v>
      </c>
      <c r="S111" s="421">
        <v>558493</v>
      </c>
      <c r="T111" s="421">
        <v>345</v>
      </c>
      <c r="U111" s="421">
        <v>422823</v>
      </c>
      <c r="V111" s="421">
        <f>_xlfn.IFNA(VLOOKUP(A111,[3]進出口值表查詢結果!$C$11:$F$68,4,0),-[2]整車!$B$22)</f>
        <v>81</v>
      </c>
      <c r="W111" s="421">
        <f>_xlfn.IFNA(VLOOKUP(A111,[3]進出口值表查詢結果!$C$11:$F$68,3,0),-[2]整車!$B$22)</f>
        <v>132131</v>
      </c>
      <c r="X111" s="421">
        <f>_xlfn.IFNA(VLOOKUP(A111,[4]進出口值表查詢結果!$C$11:$F$68,4,0),-[2]整車!$B$22)</f>
        <v>22</v>
      </c>
      <c r="Y111" s="421">
        <f>_xlfn.IFNA(VLOOKUP(A111,[4]進出口值表查詢結果!$C$11:$F$68,3,0),-[2]整車!$B$22)</f>
        <v>32015</v>
      </c>
      <c r="Z111" s="415">
        <f t="shared" si="22"/>
        <v>2375</v>
      </c>
      <c r="AA111" s="415">
        <f t="shared" si="23"/>
        <v>2855193</v>
      </c>
    </row>
    <row r="112" spans="1:27">
      <c r="A112" s="458" t="s">
        <v>308</v>
      </c>
      <c r="B112" s="421">
        <v>271</v>
      </c>
      <c r="C112" s="421">
        <v>335554</v>
      </c>
      <c r="D112" s="421">
        <v>333</v>
      </c>
      <c r="E112" s="421">
        <v>314324</v>
      </c>
      <c r="F112" s="421">
        <v>378</v>
      </c>
      <c r="G112" s="421">
        <v>429439</v>
      </c>
      <c r="H112" s="421">
        <v>379</v>
      </c>
      <c r="I112" s="421">
        <v>273535</v>
      </c>
      <c r="J112" s="422">
        <v>257</v>
      </c>
      <c r="K112" s="423">
        <v>307852</v>
      </c>
      <c r="L112" s="421">
        <v>224</v>
      </c>
      <c r="M112" s="421">
        <v>305162</v>
      </c>
      <c r="N112" s="435">
        <v>431</v>
      </c>
      <c r="O112" s="435">
        <v>330830</v>
      </c>
      <c r="P112" s="421">
        <v>626</v>
      </c>
      <c r="Q112" s="421">
        <v>920976</v>
      </c>
      <c r="R112" s="421">
        <v>781</v>
      </c>
      <c r="S112" s="421">
        <v>864845</v>
      </c>
      <c r="T112" s="421">
        <v>613</v>
      </c>
      <c r="U112" s="421">
        <v>641240</v>
      </c>
      <c r="V112" s="421">
        <f>_xlfn.IFNA(VLOOKUP(A112,[3]進出口值表查詢結果!$C$11:$F$68,4,0),-[2]整車!$B$22)</f>
        <v>188</v>
      </c>
      <c r="W112" s="421">
        <f>_xlfn.IFNA(VLOOKUP(A112,[3]進出口值表查詢結果!$C$11:$F$68,3,0),-[2]整車!$B$22)</f>
        <v>254834</v>
      </c>
      <c r="X112" s="421">
        <f>_xlfn.IFNA(VLOOKUP(A112,[4]進出口值表查詢結果!$C$11:$F$68,4,0),-[2]整車!$B$22)</f>
        <v>933</v>
      </c>
      <c r="Y112" s="421">
        <f>_xlfn.IFNA(VLOOKUP(A112,[4]進出口值表查詢結果!$C$11:$F$68,3,0),-[2]整車!$B$22)</f>
        <v>495836</v>
      </c>
      <c r="Z112" s="415">
        <f t="shared" si="22"/>
        <v>5414</v>
      </c>
      <c r="AA112" s="415">
        <f t="shared" si="23"/>
        <v>5474427</v>
      </c>
    </row>
    <row r="113" spans="1:27">
      <c r="A113" s="458" t="s">
        <v>309</v>
      </c>
      <c r="B113" s="421"/>
      <c r="C113" s="421"/>
      <c r="D113" s="421">
        <v>64</v>
      </c>
      <c r="E113" s="421">
        <v>60093</v>
      </c>
      <c r="F113" s="421">
        <v>13</v>
      </c>
      <c r="G113" s="421">
        <v>12413</v>
      </c>
      <c r="H113" s="421">
        <v>0</v>
      </c>
      <c r="I113" s="421">
        <v>0</v>
      </c>
      <c r="J113" s="422">
        <v>52</v>
      </c>
      <c r="K113" s="425">
        <v>77514</v>
      </c>
      <c r="L113" s="421">
        <v>0</v>
      </c>
      <c r="M113" s="421">
        <v>0</v>
      </c>
      <c r="N113" s="435">
        <v>105</v>
      </c>
      <c r="O113" s="435">
        <v>127620</v>
      </c>
      <c r="P113" s="421">
        <v>125</v>
      </c>
      <c r="Q113" s="421">
        <v>149169</v>
      </c>
      <c r="R113" s="421">
        <v>27</v>
      </c>
      <c r="S113" s="421">
        <v>36039</v>
      </c>
      <c r="T113" s="421">
        <v>211</v>
      </c>
      <c r="U113" s="421">
        <v>20138</v>
      </c>
      <c r="V113" s="421">
        <f>_xlfn.IFNA(VLOOKUP(A113,[3]進出口值表查詢結果!$C$11:$F$68,4,0),-[2]整車!$B$22)</f>
        <v>0</v>
      </c>
      <c r="W113" s="421">
        <f>_xlfn.IFNA(VLOOKUP(A113,[3]進出口值表查詢結果!$C$11:$F$68,3,0),-[2]整車!$B$22)</f>
        <v>0</v>
      </c>
      <c r="X113" s="421">
        <f>_xlfn.IFNA(VLOOKUP(A113,[4]進出口值表查詢結果!$C$11:$F$68,4,0),-[2]整車!$B$22)</f>
        <v>38</v>
      </c>
      <c r="Y113" s="421">
        <f>_xlfn.IFNA(VLOOKUP(A113,[4]進出口值表查詢結果!$C$11:$F$68,3,0),-[2]整車!$B$22)</f>
        <v>41358</v>
      </c>
      <c r="Z113" s="415">
        <f t="shared" si="22"/>
        <v>635</v>
      </c>
      <c r="AA113" s="415">
        <f t="shared" si="23"/>
        <v>524344</v>
      </c>
    </row>
    <row r="114" spans="1:27">
      <c r="A114" s="458" t="s">
        <v>310</v>
      </c>
      <c r="B114" s="421"/>
      <c r="C114" s="421"/>
      <c r="D114" s="421"/>
      <c r="E114" s="421"/>
      <c r="F114" s="421">
        <v>0</v>
      </c>
      <c r="G114" s="421"/>
      <c r="H114" s="421">
        <v>0</v>
      </c>
      <c r="I114" s="421">
        <v>0</v>
      </c>
      <c r="J114" s="422" t="s">
        <v>59</v>
      </c>
      <c r="K114" s="425" t="s">
        <v>59</v>
      </c>
      <c r="L114" s="421">
        <v>0</v>
      </c>
      <c r="M114" s="421">
        <v>0</v>
      </c>
      <c r="N114" s="421">
        <v>0</v>
      </c>
      <c r="O114" s="421">
        <v>0</v>
      </c>
      <c r="P114" s="421">
        <v>0</v>
      </c>
      <c r="Q114" s="421">
        <v>0</v>
      </c>
      <c r="R114" s="421">
        <v>65</v>
      </c>
      <c r="S114" s="421">
        <v>16882</v>
      </c>
      <c r="T114" s="421"/>
      <c r="U114" s="421"/>
      <c r="V114" s="421">
        <f>_xlfn.IFNA(VLOOKUP(A114,[3]進出口值表查詢結果!$C$11:$F$68,4,0),-[2]整車!$B$22)</f>
        <v>0</v>
      </c>
      <c r="W114" s="421">
        <f>_xlfn.IFNA(VLOOKUP(A114,[3]進出口值表查詢結果!$C$11:$F$68,3,0),-[2]整車!$B$22)</f>
        <v>0</v>
      </c>
      <c r="X114" s="421">
        <f>_xlfn.IFNA(VLOOKUP(A114,[4]進出口值表查詢結果!$C$11:$F$68,4,0),-[2]整車!$B$22)</f>
        <v>0</v>
      </c>
      <c r="Y114" s="421">
        <f>_xlfn.IFNA(VLOOKUP(A114,[4]進出口值表查詢結果!$C$11:$F$68,3,0),-[2]整車!$B$22)</f>
        <v>0</v>
      </c>
      <c r="Z114" s="415">
        <f t="shared" si="22"/>
        <v>65</v>
      </c>
      <c r="AA114" s="415">
        <f t="shared" si="23"/>
        <v>16882</v>
      </c>
    </row>
    <row r="115" spans="1:27">
      <c r="A115" s="458" t="s">
        <v>188</v>
      </c>
      <c r="B115" s="421"/>
      <c r="C115" s="421"/>
      <c r="D115" s="421"/>
      <c r="E115" s="421"/>
      <c r="F115" s="421">
        <v>0</v>
      </c>
      <c r="G115" s="421"/>
      <c r="H115" s="421">
        <v>0</v>
      </c>
      <c r="I115" s="421">
        <v>0</v>
      </c>
      <c r="J115" s="422" t="s">
        <v>59</v>
      </c>
      <c r="K115" s="425" t="s">
        <v>59</v>
      </c>
      <c r="L115" s="421">
        <v>0</v>
      </c>
      <c r="M115" s="421">
        <v>0</v>
      </c>
      <c r="N115" s="435">
        <v>36</v>
      </c>
      <c r="O115" s="435">
        <v>54902</v>
      </c>
      <c r="P115" s="421">
        <v>0</v>
      </c>
      <c r="Q115" s="421">
        <v>0</v>
      </c>
      <c r="R115" s="421">
        <v>59</v>
      </c>
      <c r="S115" s="421">
        <v>60292</v>
      </c>
      <c r="T115" s="421">
        <v>13</v>
      </c>
      <c r="U115" s="421">
        <v>24991</v>
      </c>
      <c r="V115" s="421">
        <f>_xlfn.IFNA(VLOOKUP(A115,[3]進出口值表查詢結果!$C$11:$F$68,4,0),-[2]整車!$B$22)</f>
        <v>0</v>
      </c>
      <c r="W115" s="421">
        <f>_xlfn.IFNA(VLOOKUP(A115,[3]進出口值表查詢結果!$C$11:$F$68,3,0),-[2]整車!$B$22)</f>
        <v>0</v>
      </c>
      <c r="X115" s="421">
        <f>_xlfn.IFNA(VLOOKUP(A115,[4]進出口值表查詢結果!$C$11:$F$68,4,0),-[2]整車!$B$22)</f>
        <v>90</v>
      </c>
      <c r="Y115" s="421">
        <f>_xlfn.IFNA(VLOOKUP(A115,[4]進出口值表查詢結果!$C$11:$F$68,3,0),-[2]整車!$B$22)</f>
        <v>155913</v>
      </c>
      <c r="Z115" s="415">
        <f t="shared" si="22"/>
        <v>198</v>
      </c>
      <c r="AA115" s="415">
        <f t="shared" si="23"/>
        <v>296098</v>
      </c>
    </row>
    <row r="116" spans="1:27">
      <c r="A116" s="458" t="s">
        <v>311</v>
      </c>
      <c r="B116" s="421"/>
      <c r="C116" s="421"/>
      <c r="D116" s="421">
        <v>58</v>
      </c>
      <c r="E116" s="421">
        <v>17155</v>
      </c>
      <c r="F116" s="421">
        <v>0</v>
      </c>
      <c r="G116" s="421"/>
      <c r="H116" s="421">
        <v>0</v>
      </c>
      <c r="I116" s="421">
        <v>0</v>
      </c>
      <c r="J116" s="422" t="s">
        <v>59</v>
      </c>
      <c r="K116" s="425" t="s">
        <v>59</v>
      </c>
      <c r="L116" s="421">
        <v>66</v>
      </c>
      <c r="M116" s="421">
        <v>91388</v>
      </c>
      <c r="N116" s="435">
        <v>93</v>
      </c>
      <c r="O116" s="435">
        <v>28161</v>
      </c>
      <c r="P116" s="421">
        <v>1</v>
      </c>
      <c r="Q116" s="421">
        <v>1898</v>
      </c>
      <c r="R116" s="421">
        <v>0</v>
      </c>
      <c r="S116" s="421">
        <v>0</v>
      </c>
      <c r="T116" s="421">
        <v>70</v>
      </c>
      <c r="U116" s="421">
        <v>76661</v>
      </c>
      <c r="V116" s="421">
        <f>_xlfn.IFNA(VLOOKUP(A116,[3]進出口值表查詢結果!$C$11:$F$68,4,0),-[2]整車!$B$22)</f>
        <v>0</v>
      </c>
      <c r="W116" s="421">
        <f>_xlfn.IFNA(VLOOKUP(A116,[3]進出口值表查詢結果!$C$11:$F$68,3,0),-[2]整車!$B$22)</f>
        <v>0</v>
      </c>
      <c r="X116" s="421">
        <f>_xlfn.IFNA(VLOOKUP(A116,[4]進出口值表查詢結果!$C$11:$F$68,4,0),-[2]整車!$B$22)</f>
        <v>0</v>
      </c>
      <c r="Y116" s="421">
        <f>_xlfn.IFNA(VLOOKUP(A116,[4]進出口值表查詢結果!$C$11:$F$68,3,0),-[2]整車!$B$22)</f>
        <v>0</v>
      </c>
      <c r="Z116" s="415">
        <f t="shared" si="22"/>
        <v>288</v>
      </c>
      <c r="AA116" s="415">
        <f t="shared" si="23"/>
        <v>215263</v>
      </c>
    </row>
    <row r="117" spans="1:27">
      <c r="A117" s="458" t="s">
        <v>312</v>
      </c>
      <c r="B117" s="421">
        <v>91</v>
      </c>
      <c r="C117" s="421">
        <v>105365</v>
      </c>
      <c r="D117" s="421"/>
      <c r="E117" s="421"/>
      <c r="F117" s="421">
        <v>0</v>
      </c>
      <c r="G117" s="421"/>
      <c r="H117" s="421">
        <v>0</v>
      </c>
      <c r="I117" s="421">
        <v>0</v>
      </c>
      <c r="J117" s="422" t="s">
        <v>59</v>
      </c>
      <c r="K117" s="425" t="s">
        <v>59</v>
      </c>
      <c r="L117" s="421">
        <v>0</v>
      </c>
      <c r="M117" s="421">
        <v>0</v>
      </c>
      <c r="N117" s="435">
        <v>92</v>
      </c>
      <c r="O117" s="435">
        <v>98850</v>
      </c>
      <c r="P117" s="421">
        <v>0</v>
      </c>
      <c r="Q117" s="421">
        <v>0</v>
      </c>
      <c r="R117" s="421">
        <v>0</v>
      </c>
      <c r="S117" s="421">
        <v>0</v>
      </c>
      <c r="T117" s="421"/>
      <c r="U117" s="421"/>
      <c r="V117" s="421">
        <f>_xlfn.IFNA(VLOOKUP(A117,[3]進出口值表查詢結果!$C$11:$F$68,4,0),-[2]整車!$B$22)</f>
        <v>22</v>
      </c>
      <c r="W117" s="421">
        <f>_xlfn.IFNA(VLOOKUP(A117,[3]進出口值表查詢結果!$C$11:$F$68,3,0),-[2]整車!$B$22)</f>
        <v>28492</v>
      </c>
      <c r="X117" s="421">
        <f>_xlfn.IFNA(VLOOKUP(A117,[4]進出口值表查詢結果!$C$11:$F$68,4,0),-[2]整車!$B$22)</f>
        <v>0</v>
      </c>
      <c r="Y117" s="421">
        <f>_xlfn.IFNA(VLOOKUP(A117,[4]進出口值表查詢結果!$C$11:$F$68,3,0),-[2]整車!$B$22)</f>
        <v>0</v>
      </c>
      <c r="Z117" s="415">
        <f t="shared" si="22"/>
        <v>205</v>
      </c>
      <c r="AA117" s="415">
        <f t="shared" si="23"/>
        <v>232707</v>
      </c>
    </row>
    <row r="118" spans="1:27">
      <c r="A118" s="458" t="s">
        <v>313</v>
      </c>
      <c r="B118" s="421"/>
      <c r="C118" s="421"/>
      <c r="D118" s="421"/>
      <c r="E118" s="421"/>
      <c r="F118" s="421">
        <v>0</v>
      </c>
      <c r="G118" s="421"/>
      <c r="H118" s="421">
        <v>0</v>
      </c>
      <c r="I118" s="421">
        <v>0</v>
      </c>
      <c r="J118" s="422" t="s">
        <v>59</v>
      </c>
      <c r="K118" s="425" t="s">
        <v>59</v>
      </c>
      <c r="L118" s="421">
        <v>0</v>
      </c>
      <c r="M118" s="421">
        <v>0</v>
      </c>
      <c r="N118" s="421">
        <v>0</v>
      </c>
      <c r="O118" s="421">
        <v>0</v>
      </c>
      <c r="P118" s="421">
        <v>0</v>
      </c>
      <c r="Q118" s="421">
        <v>0</v>
      </c>
      <c r="R118" s="421">
        <v>4</v>
      </c>
      <c r="S118" s="421">
        <v>4008</v>
      </c>
      <c r="T118" s="421"/>
      <c r="U118" s="421"/>
      <c r="V118" s="421">
        <f>_xlfn.IFNA(VLOOKUP(A118,[3]進出口值表查詢結果!$C$11:$F$68,4,0),-[2]整車!$B$22)</f>
        <v>0</v>
      </c>
      <c r="W118" s="421">
        <f>_xlfn.IFNA(VLOOKUP(A118,[3]進出口值表查詢結果!$C$11:$F$68,3,0),-[2]整車!$B$22)</f>
        <v>0</v>
      </c>
      <c r="X118" s="421">
        <f>_xlfn.IFNA(VLOOKUP(A118,[4]進出口值表查詢結果!$C$11:$F$68,4,0),-[2]整車!$B$22)</f>
        <v>0</v>
      </c>
      <c r="Y118" s="421">
        <f>_xlfn.IFNA(VLOOKUP(A118,[4]進出口值表查詢結果!$C$11:$F$68,3,0),-[2]整車!$B$22)</f>
        <v>0</v>
      </c>
      <c r="Z118" s="415">
        <f t="shared" si="22"/>
        <v>4</v>
      </c>
      <c r="AA118" s="415">
        <f t="shared" si="23"/>
        <v>4008</v>
      </c>
    </row>
    <row r="119" spans="1:27">
      <c r="A119" s="458" t="s">
        <v>314</v>
      </c>
      <c r="B119" s="421"/>
      <c r="C119" s="421"/>
      <c r="D119" s="421"/>
      <c r="E119" s="421"/>
      <c r="F119" s="421">
        <v>0</v>
      </c>
      <c r="G119" s="421"/>
      <c r="H119" s="421">
        <v>0</v>
      </c>
      <c r="I119" s="421">
        <v>0</v>
      </c>
      <c r="J119" s="422" t="s">
        <v>59</v>
      </c>
      <c r="K119" s="425" t="s">
        <v>59</v>
      </c>
      <c r="L119" s="421">
        <v>0</v>
      </c>
      <c r="M119" s="421">
        <v>0</v>
      </c>
      <c r="N119" s="421">
        <v>0</v>
      </c>
      <c r="O119" s="421">
        <v>0</v>
      </c>
      <c r="P119" s="421">
        <v>0</v>
      </c>
      <c r="Q119" s="421">
        <v>0</v>
      </c>
      <c r="R119" s="421">
        <v>0</v>
      </c>
      <c r="S119" s="421">
        <v>0</v>
      </c>
      <c r="T119" s="421"/>
      <c r="U119" s="421"/>
      <c r="V119" s="421">
        <f>_xlfn.IFNA(VLOOKUP(A119,[3]進出口值表查詢結果!$C$11:$F$68,4,0),-[2]整車!$B$22)</f>
        <v>0</v>
      </c>
      <c r="W119" s="421">
        <f>_xlfn.IFNA(VLOOKUP(A119,[3]進出口值表查詢結果!$C$11:$F$68,3,0),-[2]整車!$B$22)</f>
        <v>0</v>
      </c>
      <c r="X119" s="421">
        <f>_xlfn.IFNA(VLOOKUP(A119,[4]進出口值表查詢結果!$C$11:$F$68,4,0),-[2]整車!$B$22)</f>
        <v>0</v>
      </c>
      <c r="Y119" s="421">
        <f>_xlfn.IFNA(VLOOKUP(A119,[4]進出口值表查詢結果!$C$11:$F$68,3,0),-[2]整車!$B$22)</f>
        <v>0</v>
      </c>
      <c r="Z119" s="415">
        <f t="shared" si="22"/>
        <v>0</v>
      </c>
      <c r="AA119" s="415">
        <f t="shared" si="23"/>
        <v>0</v>
      </c>
    </row>
    <row r="120" spans="1:27">
      <c r="A120" s="458" t="s">
        <v>399</v>
      </c>
      <c r="B120" s="421">
        <v>30</v>
      </c>
      <c r="C120" s="421">
        <v>47684</v>
      </c>
      <c r="D120" s="421">
        <v>18</v>
      </c>
      <c r="E120" s="421">
        <v>21652</v>
      </c>
      <c r="F120" s="421">
        <v>40</v>
      </c>
      <c r="G120" s="421">
        <v>80054</v>
      </c>
      <c r="H120" s="421">
        <v>31</v>
      </c>
      <c r="I120" s="421">
        <v>62073</v>
      </c>
      <c r="J120" s="422" t="s">
        <v>59</v>
      </c>
      <c r="K120" s="425" t="s">
        <v>59</v>
      </c>
      <c r="L120" s="421">
        <v>93</v>
      </c>
      <c r="M120" s="421">
        <v>149531</v>
      </c>
      <c r="N120" s="435">
        <v>44</v>
      </c>
      <c r="O120" s="435">
        <v>69675</v>
      </c>
      <c r="P120" s="421">
        <v>115</v>
      </c>
      <c r="Q120" s="421">
        <v>177702</v>
      </c>
      <c r="R120" s="421">
        <v>11</v>
      </c>
      <c r="S120" s="421">
        <v>29144</v>
      </c>
      <c r="T120" s="421">
        <v>86</v>
      </c>
      <c r="U120" s="421">
        <v>116179</v>
      </c>
      <c r="V120" s="421">
        <f>_xlfn.IFNA(VLOOKUP(A120,[3]進出口值表查詢結果!$C$11:$F$68,4,0),-[2]整車!$B$22)</f>
        <v>1</v>
      </c>
      <c r="W120" s="421">
        <f>_xlfn.IFNA(VLOOKUP(A120,[3]進出口值表查詢結果!$C$11:$F$68,3,0),-[2]整車!$B$22)</f>
        <v>3605</v>
      </c>
      <c r="X120" s="421">
        <f>_xlfn.IFNA(VLOOKUP(A120,[4]進出口值表查詢結果!$C$11:$F$68,4,0),-[2]整車!$B$22)</f>
        <v>246</v>
      </c>
      <c r="Y120" s="421">
        <f>_xlfn.IFNA(VLOOKUP(A120,[4]進出口值表查詢結果!$C$11:$F$68,3,0),-[2]整車!$B$22)</f>
        <v>224562</v>
      </c>
      <c r="Z120" s="415">
        <f t="shared" si="22"/>
        <v>715</v>
      </c>
      <c r="AA120" s="415">
        <f t="shared" si="23"/>
        <v>981861</v>
      </c>
    </row>
    <row r="121" spans="1:27">
      <c r="A121" s="458" t="s">
        <v>315</v>
      </c>
      <c r="B121" s="421"/>
      <c r="C121" s="421"/>
      <c r="D121" s="421"/>
      <c r="E121" s="421"/>
      <c r="F121" s="421">
        <v>0</v>
      </c>
      <c r="G121" s="421"/>
      <c r="H121" s="421">
        <v>0</v>
      </c>
      <c r="I121" s="421">
        <v>0</v>
      </c>
      <c r="J121" s="422" t="s">
        <v>59</v>
      </c>
      <c r="K121" s="425" t="s">
        <v>59</v>
      </c>
      <c r="L121" s="421">
        <v>0</v>
      </c>
      <c r="M121" s="421">
        <v>0</v>
      </c>
      <c r="N121" s="421">
        <v>0</v>
      </c>
      <c r="O121" s="421">
        <v>0</v>
      </c>
      <c r="P121" s="421">
        <v>0</v>
      </c>
      <c r="Q121" s="421">
        <v>0</v>
      </c>
      <c r="R121" s="421">
        <v>0</v>
      </c>
      <c r="S121" s="421">
        <v>0</v>
      </c>
      <c r="T121" s="421"/>
      <c r="U121" s="421"/>
      <c r="V121" s="421">
        <f>_xlfn.IFNA(VLOOKUP(A121,[3]進出口值表查詢結果!$C$11:$F$68,4,0),-[2]整車!$B$22)</f>
        <v>0</v>
      </c>
      <c r="W121" s="421">
        <f>_xlfn.IFNA(VLOOKUP(A121,[3]進出口值表查詢結果!$C$11:$F$68,3,0),-[2]整車!$B$22)</f>
        <v>0</v>
      </c>
      <c r="X121" s="421">
        <f>_xlfn.IFNA(VLOOKUP(A121,[4]進出口值表查詢結果!$C$11:$F$68,4,0),-[2]整車!$B$22)</f>
        <v>0</v>
      </c>
      <c r="Y121" s="421">
        <f>_xlfn.IFNA(VLOOKUP(A121,[4]進出口值表查詢結果!$C$11:$F$68,3,0),-[2]整車!$B$22)</f>
        <v>0</v>
      </c>
      <c r="Z121" s="415">
        <f t="shared" si="22"/>
        <v>0</v>
      </c>
      <c r="AA121" s="415">
        <f t="shared" si="23"/>
        <v>0</v>
      </c>
    </row>
    <row r="122" spans="1:27">
      <c r="A122" s="458" t="s">
        <v>316</v>
      </c>
      <c r="B122" s="421"/>
      <c r="C122" s="421"/>
      <c r="D122" s="421"/>
      <c r="E122" s="421"/>
      <c r="F122" s="421">
        <v>0</v>
      </c>
      <c r="G122" s="421"/>
      <c r="H122" s="421">
        <v>0</v>
      </c>
      <c r="I122" s="421">
        <v>0</v>
      </c>
      <c r="J122" s="422" t="s">
        <v>59</v>
      </c>
      <c r="K122" s="425" t="s">
        <v>59</v>
      </c>
      <c r="L122" s="421">
        <v>0</v>
      </c>
      <c r="M122" s="421">
        <v>0</v>
      </c>
      <c r="N122" s="421">
        <v>0</v>
      </c>
      <c r="O122" s="421">
        <v>0</v>
      </c>
      <c r="P122" s="421">
        <v>0</v>
      </c>
      <c r="Q122" s="421">
        <v>0</v>
      </c>
      <c r="R122" s="421">
        <v>0</v>
      </c>
      <c r="S122" s="421">
        <v>0</v>
      </c>
      <c r="T122" s="421"/>
      <c r="U122" s="421"/>
      <c r="V122" s="421">
        <f>_xlfn.IFNA(VLOOKUP(A122,[3]進出口值表查詢結果!$C$11:$F$68,4,0),-[2]整車!$B$22)</f>
        <v>0</v>
      </c>
      <c r="W122" s="421">
        <f>_xlfn.IFNA(VLOOKUP(A122,[3]進出口值表查詢結果!$C$11:$F$68,3,0),-[2]整車!$B$22)</f>
        <v>0</v>
      </c>
      <c r="X122" s="421">
        <f>_xlfn.IFNA(VLOOKUP(A122,[4]進出口值表查詢結果!$C$11:$F$68,4,0),-[2]整車!$B$22)</f>
        <v>0</v>
      </c>
      <c r="Y122" s="421">
        <f>_xlfn.IFNA(VLOOKUP(A122,[4]進出口值表查詢結果!$C$11:$F$68,3,0),-[2]整車!$B$22)</f>
        <v>0</v>
      </c>
      <c r="Z122" s="415">
        <f t="shared" si="22"/>
        <v>0</v>
      </c>
      <c r="AA122" s="415">
        <f t="shared" si="23"/>
        <v>0</v>
      </c>
    </row>
    <row r="123" spans="1:27">
      <c r="A123" s="458" t="s">
        <v>317</v>
      </c>
      <c r="B123" s="421"/>
      <c r="C123" s="421"/>
      <c r="D123" s="421"/>
      <c r="E123" s="421"/>
      <c r="F123" s="421">
        <v>0</v>
      </c>
      <c r="G123" s="421"/>
      <c r="H123" s="421">
        <v>0</v>
      </c>
      <c r="I123" s="421">
        <v>0</v>
      </c>
      <c r="J123" s="422" t="s">
        <v>59</v>
      </c>
      <c r="K123" s="425" t="s">
        <v>59</v>
      </c>
      <c r="L123" s="421">
        <v>0</v>
      </c>
      <c r="M123" s="421">
        <v>0</v>
      </c>
      <c r="N123" s="421">
        <v>0</v>
      </c>
      <c r="O123" s="421">
        <v>0</v>
      </c>
      <c r="P123" s="421">
        <v>0</v>
      </c>
      <c r="Q123" s="421">
        <v>0</v>
      </c>
      <c r="R123" s="421">
        <v>0</v>
      </c>
      <c r="S123" s="421">
        <v>0</v>
      </c>
      <c r="T123" s="421"/>
      <c r="U123" s="421"/>
      <c r="V123" s="421">
        <f>_xlfn.IFNA(VLOOKUP(A123,[3]進出口值表查詢結果!$C$11:$F$68,4,0),-[2]整車!$B$22)</f>
        <v>0</v>
      </c>
      <c r="W123" s="421">
        <f>_xlfn.IFNA(VLOOKUP(A123,[3]進出口值表查詢結果!$C$11:$F$68,3,0),-[2]整車!$B$22)</f>
        <v>0</v>
      </c>
      <c r="X123" s="421">
        <f>_xlfn.IFNA(VLOOKUP(A123,[4]進出口值表查詢結果!$C$11:$F$68,4,0),-[2]整車!$B$22)</f>
        <v>0</v>
      </c>
      <c r="Y123" s="421">
        <f>_xlfn.IFNA(VLOOKUP(A123,[4]進出口值表查詢結果!$C$11:$F$68,3,0),-[2]整車!$B$22)</f>
        <v>0</v>
      </c>
      <c r="Z123" s="415">
        <f t="shared" si="22"/>
        <v>0</v>
      </c>
      <c r="AA123" s="415">
        <f t="shared" si="23"/>
        <v>0</v>
      </c>
    </row>
    <row r="124" spans="1:27">
      <c r="A124" s="458" t="s">
        <v>318</v>
      </c>
      <c r="B124" s="421"/>
      <c r="C124" s="421"/>
      <c r="D124" s="421"/>
      <c r="E124" s="421"/>
      <c r="F124" s="421">
        <v>0</v>
      </c>
      <c r="G124" s="421"/>
      <c r="H124" s="421">
        <v>0</v>
      </c>
      <c r="I124" s="421">
        <v>0</v>
      </c>
      <c r="J124" s="422" t="s">
        <v>59</v>
      </c>
      <c r="K124" s="425" t="s">
        <v>59</v>
      </c>
      <c r="L124" s="421">
        <v>0</v>
      </c>
      <c r="M124" s="421">
        <v>0</v>
      </c>
      <c r="N124" s="421">
        <v>0</v>
      </c>
      <c r="O124" s="421">
        <v>0</v>
      </c>
      <c r="P124" s="421">
        <v>0</v>
      </c>
      <c r="Q124" s="421">
        <v>0</v>
      </c>
      <c r="R124" s="421">
        <v>0</v>
      </c>
      <c r="S124" s="421">
        <v>0</v>
      </c>
      <c r="T124" s="421"/>
      <c r="U124" s="421"/>
      <c r="V124" s="421">
        <f>_xlfn.IFNA(VLOOKUP(A124,[3]進出口值表查詢結果!$C$11:$F$68,4,0),-[2]整車!$B$22)</f>
        <v>0</v>
      </c>
      <c r="W124" s="421">
        <f>_xlfn.IFNA(VLOOKUP(A124,[3]進出口值表查詢結果!$C$11:$F$68,3,0),-[2]整車!$B$22)</f>
        <v>0</v>
      </c>
      <c r="X124" s="421">
        <f>_xlfn.IFNA(VLOOKUP(A124,[4]進出口值表查詢結果!$C$11:$F$68,4,0),-[2]整車!$B$22)</f>
        <v>0</v>
      </c>
      <c r="Y124" s="421">
        <f>_xlfn.IFNA(VLOOKUP(A124,[4]進出口值表查詢結果!$C$11:$F$68,3,0),-[2]整車!$B$22)</f>
        <v>0</v>
      </c>
      <c r="Z124" s="415">
        <f t="shared" si="22"/>
        <v>0</v>
      </c>
      <c r="AA124" s="415">
        <f t="shared" si="23"/>
        <v>0</v>
      </c>
    </row>
    <row r="125" spans="1:27">
      <c r="A125" s="458" t="s">
        <v>319</v>
      </c>
      <c r="B125" s="421"/>
      <c r="C125" s="421"/>
      <c r="D125" s="421"/>
      <c r="E125" s="421"/>
      <c r="F125" s="421">
        <v>0</v>
      </c>
      <c r="G125" s="421"/>
      <c r="H125" s="421">
        <v>0</v>
      </c>
      <c r="I125" s="421">
        <v>0</v>
      </c>
      <c r="J125" s="422" t="s">
        <v>59</v>
      </c>
      <c r="K125" s="425" t="s">
        <v>59</v>
      </c>
      <c r="L125" s="421">
        <v>0</v>
      </c>
      <c r="M125" s="421">
        <v>0</v>
      </c>
      <c r="N125" s="421">
        <v>0</v>
      </c>
      <c r="O125" s="421">
        <v>0</v>
      </c>
      <c r="P125" s="421">
        <v>0</v>
      </c>
      <c r="Q125" s="421">
        <v>0</v>
      </c>
      <c r="R125" s="421">
        <v>0</v>
      </c>
      <c r="S125" s="421">
        <v>0</v>
      </c>
      <c r="T125" s="421"/>
      <c r="U125" s="421"/>
      <c r="V125" s="421">
        <f>_xlfn.IFNA(VLOOKUP(A125,[3]進出口值表查詢結果!$C$11:$F$68,4,0),-[2]整車!$B$22)</f>
        <v>0</v>
      </c>
      <c r="W125" s="421">
        <f>_xlfn.IFNA(VLOOKUP(A125,[3]進出口值表查詢結果!$C$11:$F$68,3,0),-[2]整車!$B$22)</f>
        <v>0</v>
      </c>
      <c r="X125" s="421">
        <f>_xlfn.IFNA(VLOOKUP(A125,[4]進出口值表查詢結果!$C$11:$F$68,4,0),-[2]整車!$B$22)</f>
        <v>0</v>
      </c>
      <c r="Y125" s="421">
        <f>_xlfn.IFNA(VLOOKUP(A125,[4]進出口值表查詢結果!$C$11:$F$68,3,0),-[2]整車!$B$22)</f>
        <v>0</v>
      </c>
      <c r="Z125" s="415">
        <f t="shared" si="22"/>
        <v>0</v>
      </c>
      <c r="AA125" s="415">
        <f t="shared" si="23"/>
        <v>0</v>
      </c>
    </row>
    <row r="126" spans="1:27">
      <c r="A126" s="458" t="s">
        <v>194</v>
      </c>
      <c r="B126" s="421"/>
      <c r="C126" s="421"/>
      <c r="D126" s="421"/>
      <c r="E126" s="421"/>
      <c r="F126" s="421">
        <v>0</v>
      </c>
      <c r="G126" s="421"/>
      <c r="H126" s="421">
        <v>0</v>
      </c>
      <c r="I126" s="421">
        <v>0</v>
      </c>
      <c r="J126" s="422" t="s">
        <v>59</v>
      </c>
      <c r="K126" s="425" t="s">
        <v>59</v>
      </c>
      <c r="L126" s="421">
        <v>0</v>
      </c>
      <c r="M126" s="421">
        <v>0</v>
      </c>
      <c r="N126" s="421">
        <v>0</v>
      </c>
      <c r="O126" s="421">
        <v>0</v>
      </c>
      <c r="P126" s="421">
        <v>0</v>
      </c>
      <c r="Q126" s="421">
        <v>0</v>
      </c>
      <c r="R126" s="421">
        <v>0</v>
      </c>
      <c r="S126" s="421">
        <v>0</v>
      </c>
      <c r="T126" s="421"/>
      <c r="U126" s="421"/>
      <c r="V126" s="421">
        <f>_xlfn.IFNA(VLOOKUP(A126,[3]進出口值表查詢結果!$C$11:$F$68,4,0),-[2]整車!$B$22)</f>
        <v>0</v>
      </c>
      <c r="W126" s="421">
        <f>_xlfn.IFNA(VLOOKUP(A126,[3]進出口值表查詢結果!$C$11:$F$68,3,0),-[2]整車!$B$22)</f>
        <v>0</v>
      </c>
      <c r="X126" s="421">
        <f>_xlfn.IFNA(VLOOKUP(A126,[4]進出口值表查詢結果!$C$11:$F$68,4,0),-[2]整車!$B$22)</f>
        <v>0</v>
      </c>
      <c r="Y126" s="421">
        <f>_xlfn.IFNA(VLOOKUP(A126,[4]進出口值表查詢結果!$C$11:$F$68,3,0),-[2]整車!$B$22)</f>
        <v>0</v>
      </c>
      <c r="Z126" s="415">
        <f t="shared" si="22"/>
        <v>0</v>
      </c>
      <c r="AA126" s="415">
        <f t="shared" si="23"/>
        <v>0</v>
      </c>
    </row>
    <row r="127" spans="1:27">
      <c r="A127" s="458" t="s">
        <v>320</v>
      </c>
      <c r="B127" s="421">
        <v>111</v>
      </c>
      <c r="C127" s="421">
        <v>54549</v>
      </c>
      <c r="D127" s="421">
        <v>92</v>
      </c>
      <c r="E127" s="421">
        <v>90640</v>
      </c>
      <c r="F127" s="421">
        <v>82</v>
      </c>
      <c r="G127" s="421">
        <v>150017</v>
      </c>
      <c r="H127" s="421">
        <v>0</v>
      </c>
      <c r="I127" s="421">
        <v>0</v>
      </c>
      <c r="J127" s="422">
        <v>84</v>
      </c>
      <c r="K127" s="423">
        <v>97060</v>
      </c>
      <c r="L127" s="421">
        <v>0</v>
      </c>
      <c r="M127" s="421">
        <v>0</v>
      </c>
      <c r="N127" s="435">
        <v>68</v>
      </c>
      <c r="O127" s="435">
        <v>99493</v>
      </c>
      <c r="P127" s="421">
        <v>0</v>
      </c>
      <c r="Q127" s="421">
        <v>0</v>
      </c>
      <c r="R127" s="421">
        <v>0</v>
      </c>
      <c r="S127" s="421">
        <v>0</v>
      </c>
      <c r="T127" s="421">
        <v>65</v>
      </c>
      <c r="U127" s="421">
        <v>92599</v>
      </c>
      <c r="V127" s="421">
        <f>_xlfn.IFNA(VLOOKUP(A127,[3]進出口值表查詢結果!$C$11:$F$68,4,0),-[2]整車!$B$22)</f>
        <v>0</v>
      </c>
      <c r="W127" s="421">
        <f>_xlfn.IFNA(VLOOKUP(A127,[3]進出口值表查詢結果!$C$11:$F$68,3,0),-[2]整車!$B$22)</f>
        <v>0</v>
      </c>
      <c r="X127" s="421">
        <f>_xlfn.IFNA(VLOOKUP(A127,[4]進出口值表查詢結果!$C$11:$F$68,4,0),-[2]整車!$B$22)</f>
        <v>184</v>
      </c>
      <c r="Y127" s="421">
        <f>_xlfn.IFNA(VLOOKUP(A127,[4]進出口值表查詢結果!$C$11:$F$68,3,0),-[2]整車!$B$22)</f>
        <v>163785</v>
      </c>
      <c r="Z127" s="415">
        <f t="shared" si="22"/>
        <v>686</v>
      </c>
      <c r="AA127" s="415">
        <f t="shared" si="23"/>
        <v>748143</v>
      </c>
    </row>
    <row r="128" spans="1:27">
      <c r="A128" s="458" t="s">
        <v>321</v>
      </c>
      <c r="B128" s="421"/>
      <c r="C128" s="421"/>
      <c r="D128" s="421"/>
      <c r="E128" s="421"/>
      <c r="F128" s="421">
        <v>0</v>
      </c>
      <c r="G128" s="421"/>
      <c r="H128" s="421">
        <v>0</v>
      </c>
      <c r="I128" s="421">
        <v>0</v>
      </c>
      <c r="J128" s="422" t="s">
        <v>59</v>
      </c>
      <c r="K128" s="425" t="s">
        <v>59</v>
      </c>
      <c r="L128" s="421">
        <v>0</v>
      </c>
      <c r="M128" s="421">
        <v>0</v>
      </c>
      <c r="N128" s="421">
        <v>0</v>
      </c>
      <c r="O128" s="421">
        <v>0</v>
      </c>
      <c r="P128" s="421">
        <v>0</v>
      </c>
      <c r="Q128" s="421">
        <v>0</v>
      </c>
      <c r="R128" s="421">
        <v>0</v>
      </c>
      <c r="S128" s="421">
        <v>0</v>
      </c>
      <c r="T128" s="421"/>
      <c r="U128" s="421"/>
      <c r="V128" s="421">
        <f>_xlfn.IFNA(VLOOKUP(A128,[3]進出口值表查詢結果!$C$11:$F$68,4,0),-[2]整車!$B$22)</f>
        <v>0</v>
      </c>
      <c r="W128" s="421">
        <f>_xlfn.IFNA(VLOOKUP(A128,[3]進出口值表查詢結果!$C$11:$F$68,3,0),-[2]整車!$B$22)</f>
        <v>0</v>
      </c>
      <c r="X128" s="421">
        <f>_xlfn.IFNA(VLOOKUP(A128,[4]進出口值表查詢結果!$C$11:$F$68,4,0),-[2]整車!$B$22)</f>
        <v>0</v>
      </c>
      <c r="Y128" s="421">
        <f>_xlfn.IFNA(VLOOKUP(A128,[4]進出口值表查詢結果!$C$11:$F$68,3,0),-[2]整車!$B$22)</f>
        <v>0</v>
      </c>
      <c r="Z128" s="415">
        <f t="shared" si="22"/>
        <v>0</v>
      </c>
      <c r="AA128" s="415">
        <f t="shared" si="23"/>
        <v>0</v>
      </c>
    </row>
    <row r="129" spans="1:27">
      <c r="A129" s="458" t="s">
        <v>322</v>
      </c>
      <c r="B129" s="421"/>
      <c r="C129" s="421"/>
      <c r="D129" s="421"/>
      <c r="E129" s="421"/>
      <c r="F129" s="421">
        <v>0</v>
      </c>
      <c r="G129" s="421"/>
      <c r="H129" s="421">
        <v>0</v>
      </c>
      <c r="I129" s="421">
        <v>0</v>
      </c>
      <c r="J129" s="422" t="s">
        <v>59</v>
      </c>
      <c r="K129" s="425" t="s">
        <v>59</v>
      </c>
      <c r="L129" s="421">
        <v>0</v>
      </c>
      <c r="M129" s="421">
        <v>0</v>
      </c>
      <c r="N129" s="421">
        <v>0</v>
      </c>
      <c r="O129" s="421">
        <v>0</v>
      </c>
      <c r="P129" s="421">
        <v>0</v>
      </c>
      <c r="Q129" s="421">
        <v>0</v>
      </c>
      <c r="R129" s="421">
        <v>0</v>
      </c>
      <c r="S129" s="421">
        <v>0</v>
      </c>
      <c r="T129" s="421"/>
      <c r="U129" s="421"/>
      <c r="V129" s="421">
        <f>_xlfn.IFNA(VLOOKUP(A129,[3]進出口值表查詢結果!$C$11:$F$68,4,0),-[2]整車!$B$22)</f>
        <v>0</v>
      </c>
      <c r="W129" s="421">
        <f>_xlfn.IFNA(VLOOKUP(A129,[3]進出口值表查詢結果!$C$11:$F$68,3,0),-[2]整車!$B$22)</f>
        <v>0</v>
      </c>
      <c r="X129" s="421">
        <f>_xlfn.IFNA(VLOOKUP(A129,[4]進出口值表查詢結果!$C$11:$F$68,4,0),-[2]整車!$B$22)</f>
        <v>0</v>
      </c>
      <c r="Y129" s="421">
        <f>_xlfn.IFNA(VLOOKUP(A129,[4]進出口值表查詢結果!$C$11:$F$68,3,0),-[2]整車!$B$22)</f>
        <v>0</v>
      </c>
      <c r="Z129" s="415">
        <f t="shared" si="22"/>
        <v>0</v>
      </c>
      <c r="AA129" s="415">
        <f t="shared" si="23"/>
        <v>0</v>
      </c>
    </row>
    <row r="130" spans="1:27">
      <c r="A130" s="420" t="s">
        <v>323</v>
      </c>
      <c r="B130" s="421"/>
      <c r="C130" s="421"/>
      <c r="D130" s="421"/>
      <c r="E130" s="421"/>
      <c r="F130" s="421">
        <v>0</v>
      </c>
      <c r="G130" s="421"/>
      <c r="H130" s="421">
        <v>0</v>
      </c>
      <c r="I130" s="421">
        <v>0</v>
      </c>
      <c r="J130" s="422" t="s">
        <v>59</v>
      </c>
      <c r="K130" s="425" t="s">
        <v>59</v>
      </c>
      <c r="L130" s="421">
        <v>0</v>
      </c>
      <c r="M130" s="421">
        <v>0</v>
      </c>
      <c r="N130" s="421">
        <v>0</v>
      </c>
      <c r="O130" s="421">
        <v>0</v>
      </c>
      <c r="P130" s="421">
        <v>0</v>
      </c>
      <c r="Q130" s="421">
        <v>0</v>
      </c>
      <c r="R130" s="421">
        <v>0</v>
      </c>
      <c r="S130" s="421">
        <v>0</v>
      </c>
      <c r="T130" s="421"/>
      <c r="U130" s="421"/>
      <c r="V130" s="421">
        <f>_xlfn.IFNA(VLOOKUP(A130,[3]進出口值表查詢結果!$C$11:$F$68,4,0),-[2]整車!$B$22)</f>
        <v>0</v>
      </c>
      <c r="W130" s="421">
        <f>_xlfn.IFNA(VLOOKUP(A130,[3]進出口值表查詢結果!$C$11:$F$68,3,0),-[2]整車!$B$22)</f>
        <v>0</v>
      </c>
      <c r="X130" s="421">
        <f>_xlfn.IFNA(VLOOKUP(A130,[4]進出口值表查詢結果!$C$11:$F$68,4,0),-[2]整車!$B$22)</f>
        <v>0</v>
      </c>
      <c r="Y130" s="421">
        <f>_xlfn.IFNA(VLOOKUP(A130,[4]進出口值表查詢結果!$C$11:$F$68,3,0),-[2]整車!$B$22)</f>
        <v>0</v>
      </c>
      <c r="Z130" s="415">
        <f t="shared" si="22"/>
        <v>0</v>
      </c>
      <c r="AA130" s="415">
        <f t="shared" si="23"/>
        <v>0</v>
      </c>
    </row>
    <row r="131" spans="1:27">
      <c r="A131" s="458" t="s">
        <v>324</v>
      </c>
      <c r="B131" s="421"/>
      <c r="C131" s="421"/>
      <c r="D131" s="421"/>
      <c r="E131" s="421"/>
      <c r="F131" s="421">
        <v>0</v>
      </c>
      <c r="G131" s="421"/>
      <c r="H131" s="421">
        <v>0</v>
      </c>
      <c r="I131" s="421">
        <v>0</v>
      </c>
      <c r="J131" s="422" t="s">
        <v>59</v>
      </c>
      <c r="K131" s="425" t="s">
        <v>59</v>
      </c>
      <c r="L131" s="421">
        <v>0</v>
      </c>
      <c r="M131" s="421">
        <v>0</v>
      </c>
      <c r="N131" s="421">
        <v>0</v>
      </c>
      <c r="O131" s="421">
        <v>0</v>
      </c>
      <c r="P131" s="421">
        <v>0</v>
      </c>
      <c r="Q131" s="421">
        <v>0</v>
      </c>
      <c r="R131" s="421">
        <v>0</v>
      </c>
      <c r="S131" s="421">
        <v>0</v>
      </c>
      <c r="T131" s="421"/>
      <c r="U131" s="421"/>
      <c r="V131" s="421">
        <f>_xlfn.IFNA(VLOOKUP(A131,[3]進出口值表查詢結果!$C$11:$F$68,4,0),-[2]整車!$B$22)</f>
        <v>0</v>
      </c>
      <c r="W131" s="421">
        <f>_xlfn.IFNA(VLOOKUP(A131,[3]進出口值表查詢結果!$C$11:$F$68,3,0),-[2]整車!$B$22)</f>
        <v>0</v>
      </c>
      <c r="X131" s="421">
        <f>_xlfn.IFNA(VLOOKUP(A131,[4]進出口值表查詢結果!$C$11:$F$68,4,0),-[2]整車!$B$22)</f>
        <v>0</v>
      </c>
      <c r="Y131" s="421">
        <f>_xlfn.IFNA(VLOOKUP(A131,[4]進出口值表查詢結果!$C$11:$F$68,3,0),-[2]整車!$B$22)</f>
        <v>0</v>
      </c>
      <c r="Z131" s="415">
        <f t="shared" si="22"/>
        <v>0</v>
      </c>
      <c r="AA131" s="415">
        <f t="shared" si="23"/>
        <v>0</v>
      </c>
    </row>
    <row r="132" spans="1:27">
      <c r="A132" s="458" t="s">
        <v>325</v>
      </c>
      <c r="B132" s="421"/>
      <c r="C132" s="421"/>
      <c r="D132" s="421"/>
      <c r="E132" s="421"/>
      <c r="F132" s="421">
        <v>0</v>
      </c>
      <c r="G132" s="421"/>
      <c r="H132" s="421">
        <v>0</v>
      </c>
      <c r="I132" s="421">
        <v>0</v>
      </c>
      <c r="J132" s="422" t="s">
        <v>59</v>
      </c>
      <c r="K132" s="425" t="s">
        <v>59</v>
      </c>
      <c r="L132" s="421">
        <v>0</v>
      </c>
      <c r="M132" s="421">
        <v>0</v>
      </c>
      <c r="N132" s="421">
        <v>0</v>
      </c>
      <c r="O132" s="421">
        <v>0</v>
      </c>
      <c r="P132" s="421">
        <v>0</v>
      </c>
      <c r="Q132" s="421">
        <v>0</v>
      </c>
      <c r="R132" s="421">
        <v>0</v>
      </c>
      <c r="S132" s="421">
        <v>0</v>
      </c>
      <c r="T132" s="421"/>
      <c r="U132" s="421"/>
      <c r="V132" s="421">
        <f>_xlfn.IFNA(VLOOKUP(A132,[3]進出口值表查詢結果!$C$11:$F$68,4,0),-[2]整車!$B$22)</f>
        <v>0</v>
      </c>
      <c r="W132" s="421">
        <f>_xlfn.IFNA(VLOOKUP(A132,[3]進出口值表查詢結果!$C$11:$F$68,3,0),-[2]整車!$B$22)</f>
        <v>0</v>
      </c>
      <c r="X132" s="421">
        <f>_xlfn.IFNA(VLOOKUP(A132,[4]進出口值表查詢結果!$C$11:$F$68,4,0),-[2]整車!$B$22)</f>
        <v>0</v>
      </c>
      <c r="Y132" s="421">
        <f>_xlfn.IFNA(VLOOKUP(A132,[4]進出口值表查詢結果!$C$11:$F$68,3,0),-[2]整車!$B$22)</f>
        <v>0</v>
      </c>
      <c r="Z132" s="415">
        <f t="shared" si="22"/>
        <v>0</v>
      </c>
      <c r="AA132" s="415">
        <f t="shared" si="23"/>
        <v>0</v>
      </c>
    </row>
    <row r="133" spans="1:27">
      <c r="A133" s="458" t="s">
        <v>326</v>
      </c>
      <c r="B133" s="421"/>
      <c r="C133" s="421"/>
      <c r="D133" s="421"/>
      <c r="E133" s="421"/>
      <c r="F133" s="421">
        <v>0</v>
      </c>
      <c r="G133" s="421"/>
      <c r="H133" s="421">
        <v>0</v>
      </c>
      <c r="I133" s="421">
        <v>0</v>
      </c>
      <c r="J133" s="422" t="s">
        <v>59</v>
      </c>
      <c r="K133" s="425" t="s">
        <v>59</v>
      </c>
      <c r="L133" s="421">
        <v>0</v>
      </c>
      <c r="M133" s="421">
        <v>0</v>
      </c>
      <c r="N133" s="421">
        <v>0</v>
      </c>
      <c r="O133" s="421">
        <v>0</v>
      </c>
      <c r="P133" s="421">
        <v>0</v>
      </c>
      <c r="Q133" s="421">
        <v>0</v>
      </c>
      <c r="R133" s="421">
        <v>0</v>
      </c>
      <c r="S133" s="421">
        <v>0</v>
      </c>
      <c r="T133" s="421"/>
      <c r="U133" s="421"/>
      <c r="V133" s="421">
        <f>_xlfn.IFNA(VLOOKUP(A133,[3]進出口值表查詢結果!$C$11:$F$68,4,0),-[2]整車!$B$22)</f>
        <v>0</v>
      </c>
      <c r="W133" s="421">
        <f>_xlfn.IFNA(VLOOKUP(A133,[3]進出口值表查詢結果!$C$11:$F$68,3,0),-[2]整車!$B$22)</f>
        <v>0</v>
      </c>
      <c r="X133" s="421">
        <f>_xlfn.IFNA(VLOOKUP(A133,[4]進出口值表查詢結果!$C$11:$F$68,4,0),-[2]整車!$B$22)</f>
        <v>0</v>
      </c>
      <c r="Y133" s="421">
        <f>_xlfn.IFNA(VLOOKUP(A133,[4]進出口值表查詢結果!$C$11:$F$68,3,0),-[2]整車!$B$22)</f>
        <v>0</v>
      </c>
      <c r="Z133" s="415">
        <f t="shared" si="22"/>
        <v>0</v>
      </c>
      <c r="AA133" s="415">
        <f t="shared" si="23"/>
        <v>0</v>
      </c>
    </row>
    <row r="134" spans="1:27">
      <c r="A134" s="458" t="s">
        <v>327</v>
      </c>
      <c r="B134" s="421"/>
      <c r="C134" s="421"/>
      <c r="D134" s="421"/>
      <c r="E134" s="421"/>
      <c r="F134" s="421">
        <v>0</v>
      </c>
      <c r="G134" s="421"/>
      <c r="H134" s="421">
        <v>0</v>
      </c>
      <c r="I134" s="421">
        <v>0</v>
      </c>
      <c r="J134" s="422" t="s">
        <v>59</v>
      </c>
      <c r="K134" s="445" t="s">
        <v>59</v>
      </c>
      <c r="L134" s="421">
        <v>0</v>
      </c>
      <c r="M134" s="421">
        <v>0</v>
      </c>
      <c r="N134" s="421">
        <v>0</v>
      </c>
      <c r="O134" s="421">
        <v>0</v>
      </c>
      <c r="P134" s="421">
        <v>0</v>
      </c>
      <c r="Q134" s="421">
        <v>0</v>
      </c>
      <c r="R134" s="421">
        <v>0</v>
      </c>
      <c r="S134" s="421">
        <v>0</v>
      </c>
      <c r="T134" s="421"/>
      <c r="U134" s="421"/>
      <c r="V134" s="421">
        <f>_xlfn.IFNA(VLOOKUP(A134,[3]進出口值表查詢結果!$C$11:$F$68,4,0),-[2]整車!$B$22)</f>
        <v>0</v>
      </c>
      <c r="W134" s="421">
        <f>_xlfn.IFNA(VLOOKUP(A134,[3]進出口值表查詢結果!$C$11:$F$68,3,0),-[2]整車!$B$22)</f>
        <v>0</v>
      </c>
      <c r="X134" s="421">
        <f>_xlfn.IFNA(VLOOKUP(A134,[4]進出口值表查詢結果!$C$11:$F$68,4,0),-[2]整車!$B$22)</f>
        <v>0</v>
      </c>
      <c r="Y134" s="421">
        <f>_xlfn.IFNA(VLOOKUP(A134,[4]進出口值表查詢結果!$C$11:$F$68,3,0),-[2]整車!$B$22)</f>
        <v>0</v>
      </c>
      <c r="Z134" s="415">
        <f t="shared" si="22"/>
        <v>0</v>
      </c>
      <c r="AA134" s="415">
        <f t="shared" si="23"/>
        <v>0</v>
      </c>
    </row>
    <row r="135" spans="1:27">
      <c r="A135" s="424"/>
      <c r="B135" s="421"/>
      <c r="C135" s="421"/>
      <c r="D135" s="421"/>
      <c r="E135" s="421"/>
      <c r="F135" s="421"/>
      <c r="G135" s="421"/>
      <c r="H135" s="421"/>
      <c r="I135" s="421"/>
      <c r="J135" s="422"/>
      <c r="K135" s="423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15"/>
      <c r="AA135" s="415"/>
    </row>
    <row r="136" spans="1:27">
      <c r="A136" s="441" t="s">
        <v>145</v>
      </c>
      <c r="B136" s="442">
        <f t="shared" ref="B136:M136" si="24">SUM(B137:B150)</f>
        <v>391</v>
      </c>
      <c r="C136" s="442">
        <f t="shared" si="24"/>
        <v>601333</v>
      </c>
      <c r="D136" s="442">
        <f t="shared" si="24"/>
        <v>195</v>
      </c>
      <c r="E136" s="442">
        <f t="shared" si="24"/>
        <v>250399</v>
      </c>
      <c r="F136" s="442">
        <f t="shared" si="24"/>
        <v>714</v>
      </c>
      <c r="G136" s="442">
        <f t="shared" si="24"/>
        <v>599636</v>
      </c>
      <c r="H136" s="442">
        <f t="shared" si="24"/>
        <v>1024</v>
      </c>
      <c r="I136" s="442">
        <f t="shared" si="24"/>
        <v>190726</v>
      </c>
      <c r="J136" s="443">
        <f t="shared" si="24"/>
        <v>1213</v>
      </c>
      <c r="K136" s="444">
        <f t="shared" si="24"/>
        <v>446610</v>
      </c>
      <c r="L136" s="442">
        <f t="shared" si="24"/>
        <v>517</v>
      </c>
      <c r="M136" s="442">
        <f t="shared" si="24"/>
        <v>504422</v>
      </c>
      <c r="N136" s="442">
        <f>SUM(N137:N150)</f>
        <v>1680</v>
      </c>
      <c r="O136" s="442">
        <f>SUM(O137:O150)</f>
        <v>1034923</v>
      </c>
      <c r="P136" s="442">
        <f>SUM(P137:P149)</f>
        <v>1055</v>
      </c>
      <c r="Q136" s="442">
        <f>SUM(Q137:Q149)</f>
        <v>1060011</v>
      </c>
      <c r="R136" s="442">
        <f t="shared" ref="R136:Y136" si="25">SUM(R137:R150)</f>
        <v>1394</v>
      </c>
      <c r="S136" s="442">
        <f t="shared" si="25"/>
        <v>1001461</v>
      </c>
      <c r="T136" s="442">
        <f t="shared" si="25"/>
        <v>2073</v>
      </c>
      <c r="U136" s="442">
        <f t="shared" si="25"/>
        <v>1401961</v>
      </c>
      <c r="V136" s="442">
        <f>SUM(V137:V150)</f>
        <v>747</v>
      </c>
      <c r="W136" s="442">
        <f>SUM(W137:W150)</f>
        <v>547003</v>
      </c>
      <c r="X136" s="442">
        <f t="shared" si="25"/>
        <v>325</v>
      </c>
      <c r="Y136" s="442">
        <f t="shared" si="25"/>
        <v>457417</v>
      </c>
      <c r="Z136" s="428">
        <f t="shared" ref="Z136:Z167" si="26">SUM(B136,D136,F136,H136,J136,L136,N136,P136,R136,T136,V136,X136)</f>
        <v>11328</v>
      </c>
      <c r="AA136" s="428">
        <f t="shared" ref="AA136:AA167" si="27">SUM(C136,E136,G136,I136,K136,M136,O136,Q136,S136,U136,W136,Y136)</f>
        <v>8095902</v>
      </c>
    </row>
    <row r="137" spans="1:27">
      <c r="A137" s="463" t="s">
        <v>224</v>
      </c>
      <c r="B137" s="421">
        <v>7</v>
      </c>
      <c r="C137" s="421">
        <v>13229</v>
      </c>
      <c r="D137" s="421">
        <v>3</v>
      </c>
      <c r="E137" s="421">
        <v>2398</v>
      </c>
      <c r="F137" s="421">
        <v>74</v>
      </c>
      <c r="G137" s="421">
        <v>133887</v>
      </c>
      <c r="H137" s="421">
        <v>96</v>
      </c>
      <c r="I137" s="421">
        <v>168964</v>
      </c>
      <c r="J137" s="422"/>
      <c r="K137" s="423"/>
      <c r="L137" s="421">
        <v>198</v>
      </c>
      <c r="M137" s="421">
        <v>94268</v>
      </c>
      <c r="N137" s="421">
        <v>356</v>
      </c>
      <c r="O137" s="421">
        <v>453280</v>
      </c>
      <c r="P137" s="421">
        <v>591</v>
      </c>
      <c r="Q137" s="421">
        <v>597186</v>
      </c>
      <c r="R137" s="421">
        <v>397</v>
      </c>
      <c r="S137" s="421">
        <v>182473</v>
      </c>
      <c r="T137" s="421">
        <v>225</v>
      </c>
      <c r="U137" s="421">
        <v>224164</v>
      </c>
      <c r="V137" s="421">
        <f>_xlfn.IFNA(VLOOKUP(A137,[3]進出口值表查詢結果!$C$11:$F$68,4,0),-[2]整車!$B$22)</f>
        <v>121</v>
      </c>
      <c r="W137" s="421">
        <f>_xlfn.IFNA(VLOOKUP(A137,[3]進出口值表查詢結果!$C$11:$F$68,3,0),-[2]整車!$B$22)</f>
        <v>63501</v>
      </c>
      <c r="X137" s="421">
        <f>_xlfn.IFNA(VLOOKUP(A137,[4]進出口值表查詢結果!$C$11:$F$68,4,0),-[2]整車!$B$22)</f>
        <v>123</v>
      </c>
      <c r="Y137" s="421">
        <f>_xlfn.IFNA(VLOOKUP(A137,[4]進出口值表查詢結果!$C$11:$F$68,3,0),-[2]整車!$B$22)</f>
        <v>156263</v>
      </c>
      <c r="Z137" s="415">
        <f t="shared" si="26"/>
        <v>2191</v>
      </c>
      <c r="AA137" s="415">
        <f t="shared" si="27"/>
        <v>2089613</v>
      </c>
    </row>
    <row r="138" spans="1:27">
      <c r="A138" s="458" t="s">
        <v>168</v>
      </c>
      <c r="B138" s="421"/>
      <c r="C138" s="421"/>
      <c r="D138" s="421"/>
      <c r="E138" s="421"/>
      <c r="F138" s="421">
        <v>0</v>
      </c>
      <c r="G138" s="421"/>
      <c r="H138" s="421">
        <v>0</v>
      </c>
      <c r="I138" s="421">
        <v>0</v>
      </c>
      <c r="J138" s="422"/>
      <c r="K138" s="423"/>
      <c r="L138" s="421">
        <v>0</v>
      </c>
      <c r="M138" s="421">
        <v>0</v>
      </c>
      <c r="N138" s="421">
        <v>123</v>
      </c>
      <c r="O138" s="421">
        <v>61292</v>
      </c>
      <c r="P138" s="421">
        <v>0</v>
      </c>
      <c r="Q138" s="421">
        <v>0</v>
      </c>
      <c r="R138" s="421">
        <v>0</v>
      </c>
      <c r="S138" s="421">
        <v>0</v>
      </c>
      <c r="T138" s="421">
        <v>84</v>
      </c>
      <c r="U138" s="421">
        <v>105611</v>
      </c>
      <c r="V138" s="421">
        <f>_xlfn.IFNA(VLOOKUP(A138,[3]進出口值表查詢結果!$C$11:$F$68,4,0),-[2]整車!$B$22)</f>
        <v>68</v>
      </c>
      <c r="W138" s="421">
        <f>_xlfn.IFNA(VLOOKUP(A138,[3]進出口值表查詢結果!$C$11:$F$68,3,0),-[2]整車!$B$22)</f>
        <v>64056</v>
      </c>
      <c r="X138" s="421">
        <f>_xlfn.IFNA(VLOOKUP(A138,[4]進出口值表查詢結果!$C$11:$F$68,4,0),-[2]整車!$B$22)</f>
        <v>0</v>
      </c>
      <c r="Y138" s="421">
        <f>_xlfn.IFNA(VLOOKUP(A138,[4]進出口值表查詢結果!$C$11:$F$68,3,0),-[2]整車!$B$22)</f>
        <v>0</v>
      </c>
      <c r="Z138" s="415">
        <f t="shared" si="26"/>
        <v>275</v>
      </c>
      <c r="AA138" s="415">
        <f t="shared" si="27"/>
        <v>230959</v>
      </c>
    </row>
    <row r="139" spans="1:27">
      <c r="A139" s="458" t="s">
        <v>196</v>
      </c>
      <c r="B139" s="421">
        <v>280</v>
      </c>
      <c r="C139" s="421">
        <v>479573</v>
      </c>
      <c r="D139" s="421">
        <v>172</v>
      </c>
      <c r="E139" s="421">
        <v>228214</v>
      </c>
      <c r="F139" s="421">
        <v>600</v>
      </c>
      <c r="G139" s="421">
        <v>459244</v>
      </c>
      <c r="H139" s="421">
        <v>0</v>
      </c>
      <c r="I139" s="421">
        <v>0</v>
      </c>
      <c r="J139" s="422">
        <v>1213</v>
      </c>
      <c r="K139" s="423">
        <v>446610</v>
      </c>
      <c r="L139" s="421">
        <v>165</v>
      </c>
      <c r="M139" s="421">
        <v>220979</v>
      </c>
      <c r="N139" s="421">
        <v>339</v>
      </c>
      <c r="O139" s="421">
        <v>507640</v>
      </c>
      <c r="P139" s="421">
        <v>425</v>
      </c>
      <c r="Q139" s="421">
        <v>413046</v>
      </c>
      <c r="R139" s="421">
        <v>740</v>
      </c>
      <c r="S139" s="421">
        <v>667120</v>
      </c>
      <c r="T139" s="421">
        <v>1704</v>
      </c>
      <c r="U139" s="421">
        <v>1071291</v>
      </c>
      <c r="V139" s="421">
        <f>_xlfn.IFNA(VLOOKUP(A139,[3]進出口值表查詢結果!$C$11:$F$68,4,0),-[2]整車!$B$22)</f>
        <v>552</v>
      </c>
      <c r="W139" s="421">
        <f>_xlfn.IFNA(VLOOKUP(A139,[3]進出口值表查詢結果!$C$11:$F$68,3,0),-[2]整車!$B$22)</f>
        <v>411890</v>
      </c>
      <c r="X139" s="421">
        <f>_xlfn.IFNA(VLOOKUP(A139,[4]進出口值表查詢結果!$C$11:$F$68,4,0),-[2]整車!$B$22)</f>
        <v>108</v>
      </c>
      <c r="Y139" s="421">
        <f>_xlfn.IFNA(VLOOKUP(A139,[4]進出口值表查詢結果!$C$11:$F$68,3,0),-[2]整車!$B$22)</f>
        <v>192722</v>
      </c>
      <c r="Z139" s="415">
        <f t="shared" si="26"/>
        <v>6298</v>
      </c>
      <c r="AA139" s="415">
        <f t="shared" si="27"/>
        <v>5098329</v>
      </c>
    </row>
    <row r="140" spans="1:27">
      <c r="A140" s="458" t="s">
        <v>328</v>
      </c>
      <c r="B140" s="421"/>
      <c r="C140" s="421"/>
      <c r="D140" s="421"/>
      <c r="E140" s="421"/>
      <c r="F140" s="421">
        <v>0</v>
      </c>
      <c r="G140" s="421"/>
      <c r="H140" s="421">
        <v>0</v>
      </c>
      <c r="I140" s="421">
        <v>0</v>
      </c>
      <c r="J140" s="422"/>
      <c r="K140" s="423"/>
      <c r="L140" s="421">
        <v>0</v>
      </c>
      <c r="M140" s="421">
        <v>0</v>
      </c>
      <c r="N140" s="421">
        <v>0</v>
      </c>
      <c r="O140" s="421">
        <v>0</v>
      </c>
      <c r="P140" s="421">
        <v>0</v>
      </c>
      <c r="Q140" s="421">
        <v>0</v>
      </c>
      <c r="R140" s="421">
        <v>0</v>
      </c>
      <c r="S140" s="421">
        <v>0</v>
      </c>
      <c r="T140" s="421"/>
      <c r="U140" s="421"/>
      <c r="V140" s="421">
        <f>_xlfn.IFNA(VLOOKUP(A140,[3]進出口值表查詢結果!$C$11:$F$68,4,0),-[2]整車!$B$22)</f>
        <v>0</v>
      </c>
      <c r="W140" s="421">
        <f>_xlfn.IFNA(VLOOKUP(A140,[3]進出口值表查詢結果!$C$11:$F$68,3,0),-[2]整車!$B$22)</f>
        <v>0</v>
      </c>
      <c r="X140" s="421">
        <f>_xlfn.IFNA(VLOOKUP(A140,[4]進出口值表查詢結果!$C$11:$F$68,4,0),-[2]整車!$B$22)</f>
        <v>0</v>
      </c>
      <c r="Y140" s="421">
        <f>_xlfn.IFNA(VLOOKUP(A140,[4]進出口值表查詢結果!$C$11:$F$68,3,0),-[2]整車!$B$22)</f>
        <v>0</v>
      </c>
      <c r="Z140" s="415">
        <f t="shared" si="26"/>
        <v>0</v>
      </c>
      <c r="AA140" s="415">
        <f t="shared" si="27"/>
        <v>0</v>
      </c>
    </row>
    <row r="141" spans="1:27">
      <c r="A141" s="458" t="s">
        <v>329</v>
      </c>
      <c r="B141" s="421"/>
      <c r="C141" s="421"/>
      <c r="D141" s="421"/>
      <c r="E141" s="421"/>
      <c r="F141" s="421">
        <v>0</v>
      </c>
      <c r="G141" s="421"/>
      <c r="H141" s="421">
        <v>0</v>
      </c>
      <c r="I141" s="421">
        <v>0</v>
      </c>
      <c r="J141" s="422"/>
      <c r="K141" s="423"/>
      <c r="L141" s="421">
        <v>0</v>
      </c>
      <c r="M141" s="421">
        <v>0</v>
      </c>
      <c r="N141" s="421">
        <v>0</v>
      </c>
      <c r="O141" s="421">
        <v>0</v>
      </c>
      <c r="P141" s="421">
        <v>0</v>
      </c>
      <c r="Q141" s="421">
        <v>0</v>
      </c>
      <c r="R141" s="421">
        <v>0</v>
      </c>
      <c r="S141" s="421">
        <v>0</v>
      </c>
      <c r="T141" s="421"/>
      <c r="U141" s="421"/>
      <c r="V141" s="421">
        <f>_xlfn.IFNA(VLOOKUP(A141,[3]進出口值表查詢結果!$C$11:$F$68,4,0),-[2]整車!$B$22)</f>
        <v>0</v>
      </c>
      <c r="W141" s="421">
        <f>_xlfn.IFNA(VLOOKUP(A141,[3]進出口值表查詢結果!$C$11:$F$68,3,0),-[2]整車!$B$22)</f>
        <v>0</v>
      </c>
      <c r="X141" s="421">
        <f>_xlfn.IFNA(VLOOKUP(A141,[4]進出口值表查詢結果!$C$11:$F$68,4,0),-[2]整車!$B$22)</f>
        <v>0</v>
      </c>
      <c r="Y141" s="421">
        <f>_xlfn.IFNA(VLOOKUP(A141,[4]進出口值表查詢結果!$C$11:$F$68,3,0),-[2]整車!$B$22)</f>
        <v>0</v>
      </c>
      <c r="Z141" s="415">
        <f t="shared" si="26"/>
        <v>0</v>
      </c>
      <c r="AA141" s="415">
        <f t="shared" si="27"/>
        <v>0</v>
      </c>
    </row>
    <row r="142" spans="1:27">
      <c r="A142" s="458" t="s">
        <v>330</v>
      </c>
      <c r="B142" s="421">
        <v>77</v>
      </c>
      <c r="C142" s="421">
        <v>80740</v>
      </c>
      <c r="D142" s="421"/>
      <c r="E142" s="421"/>
      <c r="F142" s="421">
        <v>40</v>
      </c>
      <c r="G142" s="421">
        <v>6505</v>
      </c>
      <c r="H142" s="421">
        <v>0</v>
      </c>
      <c r="I142" s="421">
        <v>0</v>
      </c>
      <c r="J142" s="422"/>
      <c r="K142" s="423"/>
      <c r="L142" s="421">
        <v>101</v>
      </c>
      <c r="M142" s="421">
        <v>139946</v>
      </c>
      <c r="N142" s="421">
        <v>0</v>
      </c>
      <c r="O142" s="421">
        <v>0</v>
      </c>
      <c r="P142" s="421">
        <v>0</v>
      </c>
      <c r="Q142" s="421">
        <v>0</v>
      </c>
      <c r="R142" s="421">
        <v>0</v>
      </c>
      <c r="S142" s="421">
        <v>0</v>
      </c>
      <c r="T142" s="421"/>
      <c r="U142" s="421"/>
      <c r="V142" s="421">
        <f>_xlfn.IFNA(VLOOKUP(A142,[3]進出口值表查詢結果!$C$11:$F$68,4,0),-[2]整車!$B$22)</f>
        <v>0</v>
      </c>
      <c r="W142" s="421">
        <f>_xlfn.IFNA(VLOOKUP(A142,[3]進出口值表查詢結果!$C$11:$F$68,3,0),-[2]整車!$B$22)</f>
        <v>0</v>
      </c>
      <c r="X142" s="421">
        <f>_xlfn.IFNA(VLOOKUP(A142,[4]進出口值表查詢結果!$C$11:$F$68,4,0),-[2]整車!$B$22)</f>
        <v>94</v>
      </c>
      <c r="Y142" s="421">
        <f>_xlfn.IFNA(VLOOKUP(A142,[4]進出口值表查詢結果!$C$11:$F$68,3,0),-[2]整車!$B$22)</f>
        <v>108432</v>
      </c>
      <c r="Z142" s="415">
        <f t="shared" si="26"/>
        <v>312</v>
      </c>
      <c r="AA142" s="415">
        <f t="shared" si="27"/>
        <v>335623</v>
      </c>
    </row>
    <row r="143" spans="1:27">
      <c r="A143" s="458" t="s">
        <v>331</v>
      </c>
      <c r="B143" s="421"/>
      <c r="C143" s="421"/>
      <c r="D143" s="421"/>
      <c r="E143" s="421"/>
      <c r="F143" s="421">
        <v>0</v>
      </c>
      <c r="G143" s="421"/>
      <c r="H143" s="421">
        <v>0</v>
      </c>
      <c r="I143" s="421">
        <v>0</v>
      </c>
      <c r="J143" s="422"/>
      <c r="K143" s="423"/>
      <c r="L143" s="421">
        <v>25</v>
      </c>
      <c r="M143" s="421">
        <v>25972</v>
      </c>
      <c r="N143" s="421">
        <v>2</v>
      </c>
      <c r="O143" s="421">
        <v>3989</v>
      </c>
      <c r="P143" s="421">
        <v>6</v>
      </c>
      <c r="Q143" s="421">
        <v>5727</v>
      </c>
      <c r="R143" s="421">
        <v>5</v>
      </c>
      <c r="S143" s="421">
        <v>5843</v>
      </c>
      <c r="T143" s="421"/>
      <c r="U143" s="421"/>
      <c r="V143" s="421">
        <f>_xlfn.IFNA(VLOOKUP(A143,[3]進出口值表查詢結果!$C$11:$F$68,4,0),-[2]整車!$B$22)</f>
        <v>6</v>
      </c>
      <c r="W143" s="421">
        <f>_xlfn.IFNA(VLOOKUP(A143,[3]進出口值表查詢結果!$C$11:$F$68,3,0),-[2]整車!$B$22)</f>
        <v>7556</v>
      </c>
      <c r="X143" s="421">
        <f>_xlfn.IFNA(VLOOKUP(A143,[4]進出口值表查詢結果!$C$11:$F$68,4,0),-[2]整車!$B$22)</f>
        <v>0</v>
      </c>
      <c r="Y143" s="421">
        <f>_xlfn.IFNA(VLOOKUP(A143,[4]進出口值表查詢結果!$C$11:$F$68,3,0),-[2]整車!$B$22)</f>
        <v>0</v>
      </c>
      <c r="Z143" s="415">
        <f t="shared" si="26"/>
        <v>44</v>
      </c>
      <c r="AA143" s="415">
        <f t="shared" si="27"/>
        <v>49087</v>
      </c>
    </row>
    <row r="144" spans="1:27">
      <c r="A144" s="458" t="s">
        <v>332</v>
      </c>
      <c r="B144" s="421"/>
      <c r="C144" s="421"/>
      <c r="D144" s="421"/>
      <c r="E144" s="421"/>
      <c r="F144" s="421">
        <v>0</v>
      </c>
      <c r="G144" s="421"/>
      <c r="H144" s="421">
        <v>0</v>
      </c>
      <c r="I144" s="421">
        <v>0</v>
      </c>
      <c r="J144" s="422"/>
      <c r="K144" s="423"/>
      <c r="L144" s="421">
        <v>0</v>
      </c>
      <c r="M144" s="421">
        <v>0</v>
      </c>
      <c r="N144" s="421">
        <v>0</v>
      </c>
      <c r="O144" s="421">
        <v>0</v>
      </c>
      <c r="P144" s="421">
        <v>0</v>
      </c>
      <c r="Q144" s="421">
        <v>0</v>
      </c>
      <c r="R144" s="421">
        <v>0</v>
      </c>
      <c r="S144" s="421">
        <v>0</v>
      </c>
      <c r="T144" s="421"/>
      <c r="U144" s="421"/>
      <c r="V144" s="421">
        <f>_xlfn.IFNA(VLOOKUP(A144,[3]進出口值表查詢結果!$C$11:$F$68,4,0),-[2]整車!$B$22)</f>
        <v>0</v>
      </c>
      <c r="W144" s="421">
        <f>_xlfn.IFNA(VLOOKUP(A144,[3]進出口值表查詢結果!$C$11:$F$68,3,0),-[2]整車!$B$22)</f>
        <v>0</v>
      </c>
      <c r="X144" s="421">
        <f>_xlfn.IFNA(VLOOKUP(A144,[4]進出口值表查詢結果!$C$11:$F$68,4,0),-[2]整車!$B$22)</f>
        <v>0</v>
      </c>
      <c r="Y144" s="421">
        <f>_xlfn.IFNA(VLOOKUP(A144,[4]進出口值表查詢結果!$C$11:$F$68,3,0),-[2]整車!$B$22)</f>
        <v>0</v>
      </c>
      <c r="Z144" s="415">
        <f t="shared" si="26"/>
        <v>0</v>
      </c>
      <c r="AA144" s="415">
        <f t="shared" si="27"/>
        <v>0</v>
      </c>
    </row>
    <row r="145" spans="1:27">
      <c r="A145" s="458" t="s">
        <v>333</v>
      </c>
      <c r="B145" s="421"/>
      <c r="C145" s="421"/>
      <c r="D145" s="421">
        <v>20</v>
      </c>
      <c r="E145" s="421">
        <v>19787</v>
      </c>
      <c r="F145" s="421">
        <v>0</v>
      </c>
      <c r="G145" s="421"/>
      <c r="H145" s="421">
        <v>0</v>
      </c>
      <c r="I145" s="421">
        <v>0</v>
      </c>
      <c r="J145" s="422"/>
      <c r="K145" s="423"/>
      <c r="L145" s="421">
        <v>0</v>
      </c>
      <c r="M145" s="421">
        <v>0</v>
      </c>
      <c r="N145" s="421">
        <v>0</v>
      </c>
      <c r="O145" s="421">
        <v>0</v>
      </c>
      <c r="P145" s="421">
        <v>0</v>
      </c>
      <c r="Q145" s="421">
        <v>0</v>
      </c>
      <c r="R145" s="421">
        <v>0</v>
      </c>
      <c r="S145" s="421">
        <v>0</v>
      </c>
      <c r="T145" s="421"/>
      <c r="U145" s="421"/>
      <c r="V145" s="421">
        <f>_xlfn.IFNA(VLOOKUP(A145,[3]進出口值表查詢結果!$C$11:$F$68,4,0),-[2]整車!$B$22)</f>
        <v>0</v>
      </c>
      <c r="W145" s="421">
        <f>_xlfn.IFNA(VLOOKUP(A145,[3]進出口值表查詢結果!$C$11:$F$68,3,0),-[2]整車!$B$22)</f>
        <v>0</v>
      </c>
      <c r="X145" s="421">
        <f>_xlfn.IFNA(VLOOKUP(A145,[4]進出口值表查詢結果!$C$11:$F$68,4,0),-[2]整車!$B$22)</f>
        <v>0</v>
      </c>
      <c r="Y145" s="421">
        <f>_xlfn.IFNA(VLOOKUP(A145,[4]進出口值表查詢結果!$C$11:$F$68,3,0),-[2]整車!$B$22)</f>
        <v>0</v>
      </c>
      <c r="Z145" s="415">
        <f t="shared" si="26"/>
        <v>20</v>
      </c>
      <c r="AA145" s="415">
        <f t="shared" si="27"/>
        <v>19787</v>
      </c>
    </row>
    <row r="146" spans="1:27">
      <c r="A146" s="458" t="s">
        <v>334</v>
      </c>
      <c r="B146" s="421"/>
      <c r="C146" s="421"/>
      <c r="D146" s="421"/>
      <c r="E146" s="421"/>
      <c r="F146" s="421">
        <v>0</v>
      </c>
      <c r="G146" s="421"/>
      <c r="H146" s="421">
        <v>0</v>
      </c>
      <c r="I146" s="421">
        <v>0</v>
      </c>
      <c r="J146" s="422"/>
      <c r="K146" s="423"/>
      <c r="L146" s="421">
        <v>0</v>
      </c>
      <c r="M146" s="421">
        <v>0</v>
      </c>
      <c r="N146" s="421">
        <v>0</v>
      </c>
      <c r="O146" s="421">
        <v>0</v>
      </c>
      <c r="P146" s="421">
        <v>0</v>
      </c>
      <c r="Q146" s="421">
        <v>0</v>
      </c>
      <c r="R146" s="421">
        <v>0</v>
      </c>
      <c r="S146" s="421">
        <v>0</v>
      </c>
      <c r="T146" s="421"/>
      <c r="U146" s="421"/>
      <c r="V146" s="421">
        <f>_xlfn.IFNA(VLOOKUP(A146,[3]進出口值表查詢結果!$C$11:$F$68,4,0),-[2]整車!$B$22)</f>
        <v>0</v>
      </c>
      <c r="W146" s="421">
        <f>_xlfn.IFNA(VLOOKUP(A146,[3]進出口值表查詢結果!$C$11:$F$68,3,0),-[2]整車!$B$22)</f>
        <v>0</v>
      </c>
      <c r="X146" s="421">
        <f>_xlfn.IFNA(VLOOKUP(A146,[4]進出口值表查詢結果!$C$11:$F$68,4,0),-[2]整車!$B$22)</f>
        <v>0</v>
      </c>
      <c r="Y146" s="421">
        <f>_xlfn.IFNA(VLOOKUP(A146,[4]進出口值表查詢結果!$C$11:$F$68,3,0),-[2]整車!$B$22)</f>
        <v>0</v>
      </c>
      <c r="Z146" s="415">
        <f t="shared" si="26"/>
        <v>0</v>
      </c>
      <c r="AA146" s="415">
        <f t="shared" si="27"/>
        <v>0</v>
      </c>
    </row>
    <row r="147" spans="1:27">
      <c r="A147" s="458" t="s">
        <v>335</v>
      </c>
      <c r="B147" s="421">
        <v>27</v>
      </c>
      <c r="C147" s="421">
        <v>27791</v>
      </c>
      <c r="D147" s="421"/>
      <c r="E147" s="421"/>
      <c r="F147" s="421">
        <v>0</v>
      </c>
      <c r="G147" s="421"/>
      <c r="H147" s="421">
        <v>16</v>
      </c>
      <c r="I147" s="421">
        <v>12686</v>
      </c>
      <c r="J147" s="422"/>
      <c r="K147" s="423"/>
      <c r="L147" s="421">
        <v>28</v>
      </c>
      <c r="M147" s="421">
        <v>23257</v>
      </c>
      <c r="N147" s="421">
        <v>0</v>
      </c>
      <c r="O147" s="421">
        <v>0</v>
      </c>
      <c r="P147" s="421">
        <v>33</v>
      </c>
      <c r="Q147" s="421">
        <v>44052</v>
      </c>
      <c r="R147" s="421">
        <v>252</v>
      </c>
      <c r="S147" s="421">
        <v>146025</v>
      </c>
      <c r="T147" s="421"/>
      <c r="U147" s="421"/>
      <c r="V147" s="421">
        <f>_xlfn.IFNA(VLOOKUP(A147,[3]進出口值表查詢結果!$C$11:$F$68,4,0),-[2]整車!$B$22)</f>
        <v>0</v>
      </c>
      <c r="W147" s="421">
        <f>_xlfn.IFNA(VLOOKUP(A147,[3]進出口值表查詢結果!$C$11:$F$68,3,0),-[2]整車!$B$22)</f>
        <v>0</v>
      </c>
      <c r="X147" s="421">
        <f>_xlfn.IFNA(VLOOKUP(A147,[4]進出口值表查詢結果!$C$11:$F$68,4,0),-[2]整車!$B$22)</f>
        <v>0</v>
      </c>
      <c r="Y147" s="421">
        <f>_xlfn.IFNA(VLOOKUP(A147,[4]進出口值表查詢結果!$C$11:$F$68,3,0),-[2]整車!$B$22)</f>
        <v>0</v>
      </c>
      <c r="Z147" s="415">
        <f t="shared" si="26"/>
        <v>356</v>
      </c>
      <c r="AA147" s="415">
        <f t="shared" si="27"/>
        <v>253811</v>
      </c>
    </row>
    <row r="148" spans="1:27">
      <c r="A148" s="458" t="s">
        <v>336</v>
      </c>
      <c r="B148" s="421"/>
      <c r="C148" s="421"/>
      <c r="D148" s="421"/>
      <c r="E148" s="421"/>
      <c r="F148" s="421">
        <v>0</v>
      </c>
      <c r="G148" s="421"/>
      <c r="H148" s="421">
        <v>0</v>
      </c>
      <c r="I148" s="421">
        <v>0</v>
      </c>
      <c r="J148" s="422"/>
      <c r="K148" s="423"/>
      <c r="L148" s="421">
        <v>0</v>
      </c>
      <c r="M148" s="421">
        <v>0</v>
      </c>
      <c r="N148" s="421">
        <v>0</v>
      </c>
      <c r="O148" s="421">
        <v>0</v>
      </c>
      <c r="P148" s="421">
        <v>0</v>
      </c>
      <c r="Q148" s="421">
        <v>0</v>
      </c>
      <c r="R148" s="421">
        <v>0</v>
      </c>
      <c r="S148" s="421">
        <v>0</v>
      </c>
      <c r="T148" s="421"/>
      <c r="U148" s="421"/>
      <c r="V148" s="421">
        <f>_xlfn.IFNA(VLOOKUP(A148,[3]進出口值表查詢結果!$C$11:$F$68,4,0),-[2]整車!$B$22)</f>
        <v>0</v>
      </c>
      <c r="W148" s="421">
        <f>_xlfn.IFNA(VLOOKUP(A148,[3]進出口值表查詢結果!$C$11:$F$68,3,0),-[2]整車!$B$22)</f>
        <v>0</v>
      </c>
      <c r="X148" s="421">
        <f>_xlfn.IFNA(VLOOKUP(A148,[4]進出口值表查詢結果!$C$11:$F$68,4,0),-[2]整車!$B$22)</f>
        <v>0</v>
      </c>
      <c r="Y148" s="421">
        <f>_xlfn.IFNA(VLOOKUP(A148,[4]進出口值表查詢結果!$C$11:$F$68,3,0),-[2]整車!$B$22)</f>
        <v>0</v>
      </c>
      <c r="Z148" s="415">
        <f t="shared" si="26"/>
        <v>0</v>
      </c>
      <c r="AA148" s="415">
        <f t="shared" si="27"/>
        <v>0</v>
      </c>
    </row>
    <row r="149" spans="1:27">
      <c r="A149" s="458" t="s">
        <v>337</v>
      </c>
      <c r="B149" s="421"/>
      <c r="C149" s="421"/>
      <c r="D149" s="421"/>
      <c r="E149" s="421"/>
      <c r="F149" s="421">
        <v>0</v>
      </c>
      <c r="G149" s="421"/>
      <c r="H149" s="421">
        <v>0</v>
      </c>
      <c r="I149" s="421">
        <v>0</v>
      </c>
      <c r="J149" s="422"/>
      <c r="K149" s="423"/>
      <c r="L149" s="421">
        <v>0</v>
      </c>
      <c r="M149" s="421">
        <v>0</v>
      </c>
      <c r="N149" s="421">
        <v>0</v>
      </c>
      <c r="O149" s="421">
        <v>0</v>
      </c>
      <c r="P149" s="421">
        <v>0</v>
      </c>
      <c r="Q149" s="421">
        <v>0</v>
      </c>
      <c r="R149" s="421">
        <v>0</v>
      </c>
      <c r="S149" s="421">
        <v>0</v>
      </c>
      <c r="T149" s="421"/>
      <c r="U149" s="421"/>
      <c r="V149" s="421">
        <f>_xlfn.IFNA(VLOOKUP(A149,[3]進出口值表查詢結果!$C$11:$F$68,4,0),-[2]整車!$B$22)</f>
        <v>0</v>
      </c>
      <c r="W149" s="421">
        <f>_xlfn.IFNA(VLOOKUP(A149,[3]進出口值表查詢結果!$C$11:$F$68,3,0),-[2]整車!$B$22)</f>
        <v>0</v>
      </c>
      <c r="X149" s="421">
        <f>_xlfn.IFNA(VLOOKUP(A149,[4]進出口值表查詢結果!$C$11:$F$68,4,0),-[2]整車!$B$22)</f>
        <v>0</v>
      </c>
      <c r="Y149" s="421">
        <f>_xlfn.IFNA(VLOOKUP(A149,[4]進出口值表查詢結果!$C$11:$F$68,3,0),-[2]整車!$B$22)</f>
        <v>0</v>
      </c>
      <c r="Z149" s="415">
        <f t="shared" si="26"/>
        <v>0</v>
      </c>
      <c r="AA149" s="415">
        <f t="shared" si="27"/>
        <v>0</v>
      </c>
    </row>
    <row r="150" spans="1:27">
      <c r="A150" s="458" t="s">
        <v>338</v>
      </c>
      <c r="B150" s="421"/>
      <c r="C150" s="421"/>
      <c r="D150" s="421"/>
      <c r="E150" s="421"/>
      <c r="F150" s="421">
        <v>0</v>
      </c>
      <c r="G150" s="421"/>
      <c r="H150" s="421">
        <v>912</v>
      </c>
      <c r="I150" s="421">
        <v>9076</v>
      </c>
      <c r="J150" s="422"/>
      <c r="K150" s="423"/>
      <c r="L150" s="421">
        <v>0</v>
      </c>
      <c r="M150" s="421">
        <v>0</v>
      </c>
      <c r="N150" s="421">
        <v>860</v>
      </c>
      <c r="O150" s="421">
        <v>8722</v>
      </c>
      <c r="P150" s="421">
        <v>0</v>
      </c>
      <c r="Q150" s="421">
        <v>0</v>
      </c>
      <c r="R150" s="421">
        <v>0</v>
      </c>
      <c r="S150" s="421">
        <v>0</v>
      </c>
      <c r="T150" s="421">
        <v>60</v>
      </c>
      <c r="U150" s="421">
        <v>895</v>
      </c>
      <c r="V150" s="421">
        <f>_xlfn.IFNA(VLOOKUP(A150,[3]進出口值表查詢結果!$C$11:$F$68,4,0),-[2]整車!$B$22)</f>
        <v>0</v>
      </c>
      <c r="W150" s="421">
        <f>_xlfn.IFNA(VLOOKUP(A150,[3]進出口值表查詢結果!$C$11:$F$68,3,0),-[2]整車!$B$22)</f>
        <v>0</v>
      </c>
      <c r="X150" s="421">
        <f>_xlfn.IFNA(VLOOKUP(A150,[4]進出口值表查詢結果!$C$11:$F$68,4,0),-[2]整車!$B$22)</f>
        <v>0</v>
      </c>
      <c r="Y150" s="421">
        <f>_xlfn.IFNA(VLOOKUP(A150,[4]進出口值表查詢結果!$C$11:$F$68,3,0),-[2]整車!$B$22)</f>
        <v>0</v>
      </c>
      <c r="Z150" s="415">
        <f t="shared" si="26"/>
        <v>1832</v>
      </c>
      <c r="AA150" s="415">
        <f t="shared" si="27"/>
        <v>18693</v>
      </c>
    </row>
    <row r="151" spans="1:27">
      <c r="A151" s="464" t="s">
        <v>339</v>
      </c>
      <c r="B151" s="442">
        <f t="shared" ref="B151:Y151" si="28">SUM(B152:B188)</f>
        <v>438</v>
      </c>
      <c r="C151" s="442">
        <f t="shared" si="28"/>
        <v>697135</v>
      </c>
      <c r="D151" s="442">
        <f t="shared" si="28"/>
        <v>255</v>
      </c>
      <c r="E151" s="442">
        <f t="shared" si="28"/>
        <v>237208</v>
      </c>
      <c r="F151" s="442">
        <f t="shared" si="28"/>
        <v>115</v>
      </c>
      <c r="G151" s="442">
        <f t="shared" si="28"/>
        <v>139562</v>
      </c>
      <c r="H151" s="442">
        <f t="shared" si="28"/>
        <v>86</v>
      </c>
      <c r="I151" s="442">
        <f t="shared" si="28"/>
        <v>117092</v>
      </c>
      <c r="J151" s="443">
        <f t="shared" si="28"/>
        <v>613</v>
      </c>
      <c r="K151" s="444">
        <f>SUM(K152:K188)</f>
        <v>1036854</v>
      </c>
      <c r="L151" s="442">
        <f t="shared" si="28"/>
        <v>427</v>
      </c>
      <c r="M151" s="442">
        <f t="shared" si="28"/>
        <v>494605</v>
      </c>
      <c r="N151" s="442">
        <f t="shared" si="28"/>
        <v>849</v>
      </c>
      <c r="O151" s="442">
        <f t="shared" si="28"/>
        <v>1256457</v>
      </c>
      <c r="P151" s="442">
        <f t="shared" si="28"/>
        <v>1223</v>
      </c>
      <c r="Q151" s="442">
        <f t="shared" si="28"/>
        <v>669332</v>
      </c>
      <c r="R151" s="442">
        <f t="shared" si="28"/>
        <v>709</v>
      </c>
      <c r="S151" s="442">
        <f t="shared" si="28"/>
        <v>987195</v>
      </c>
      <c r="T151" s="442">
        <f t="shared" si="28"/>
        <v>318</v>
      </c>
      <c r="U151" s="442">
        <f t="shared" si="28"/>
        <v>309983</v>
      </c>
      <c r="V151" s="442">
        <f>SUM(V152:V188)</f>
        <v>638</v>
      </c>
      <c r="W151" s="442">
        <f>SUM(W152:W188)</f>
        <v>766517</v>
      </c>
      <c r="X151" s="442">
        <f t="shared" si="28"/>
        <v>526</v>
      </c>
      <c r="Y151" s="442">
        <f t="shared" si="28"/>
        <v>550560</v>
      </c>
      <c r="Z151" s="428">
        <f t="shared" si="26"/>
        <v>6197</v>
      </c>
      <c r="AA151" s="428">
        <f t="shared" si="27"/>
        <v>7262500</v>
      </c>
    </row>
    <row r="152" spans="1:27">
      <c r="A152" s="458" t="s">
        <v>185</v>
      </c>
      <c r="B152" s="421">
        <v>384</v>
      </c>
      <c r="C152" s="421">
        <v>666044</v>
      </c>
      <c r="D152" s="421">
        <v>225</v>
      </c>
      <c r="E152" s="421">
        <v>237041</v>
      </c>
      <c r="F152" s="421">
        <v>111</v>
      </c>
      <c r="G152" s="421">
        <v>136011</v>
      </c>
      <c r="H152" s="421">
        <v>36</v>
      </c>
      <c r="I152" s="421">
        <v>67009</v>
      </c>
      <c r="J152" s="422">
        <v>449</v>
      </c>
      <c r="K152" s="423">
        <v>996359</v>
      </c>
      <c r="L152" s="421">
        <v>306</v>
      </c>
      <c r="M152" s="421">
        <v>433512</v>
      </c>
      <c r="N152" s="421">
        <v>849</v>
      </c>
      <c r="O152" s="421">
        <v>1256457</v>
      </c>
      <c r="P152" s="421">
        <v>395</v>
      </c>
      <c r="Q152" s="421">
        <v>604709</v>
      </c>
      <c r="R152" s="421">
        <v>684</v>
      </c>
      <c r="S152" s="421">
        <v>986787</v>
      </c>
      <c r="T152" s="421">
        <v>211</v>
      </c>
      <c r="U152" s="421">
        <v>279759</v>
      </c>
      <c r="V152" s="421">
        <f>_xlfn.IFNA(VLOOKUP(A152,[3]進出口值表查詢結果!$C$11:$F$68,4,0),-[2]整車!$B$22)</f>
        <v>506</v>
      </c>
      <c r="W152" s="421">
        <f>_xlfn.IFNA(VLOOKUP(A152,[3]進出口值表查詢結果!$C$11:$F$68,3,0),-[2]整車!$B$22)</f>
        <v>630607</v>
      </c>
      <c r="X152" s="421">
        <f>_xlfn.IFNA(VLOOKUP(A152,[4]進出口值表查詢結果!$C$11:$F$68,4,0),-[2]整車!$B$22)</f>
        <v>360</v>
      </c>
      <c r="Y152" s="421">
        <f>_xlfn.IFNA(VLOOKUP(A152,[4]進出口值表查詢結果!$C$11:$F$68,3,0),-[2]整車!$B$22)</f>
        <v>482820</v>
      </c>
      <c r="Z152" s="415">
        <f t="shared" si="26"/>
        <v>4516</v>
      </c>
      <c r="AA152" s="415">
        <f t="shared" si="27"/>
        <v>6777115</v>
      </c>
    </row>
    <row r="153" spans="1:27">
      <c r="A153" s="458" t="s">
        <v>341</v>
      </c>
      <c r="B153" s="421">
        <v>1</v>
      </c>
      <c r="C153" s="421">
        <v>2333</v>
      </c>
      <c r="D153" s="421"/>
      <c r="E153" s="421"/>
      <c r="F153" s="421">
        <v>0</v>
      </c>
      <c r="G153" s="421"/>
      <c r="H153" s="421">
        <v>15</v>
      </c>
      <c r="I153" s="421">
        <v>19675</v>
      </c>
      <c r="J153" s="422">
        <v>39</v>
      </c>
      <c r="K153" s="423">
        <v>39292</v>
      </c>
      <c r="L153" s="421">
        <v>0</v>
      </c>
      <c r="M153" s="421">
        <v>0</v>
      </c>
      <c r="N153" s="421">
        <v>0</v>
      </c>
      <c r="O153" s="421">
        <v>0</v>
      </c>
      <c r="P153" s="421">
        <v>0</v>
      </c>
      <c r="Q153" s="421">
        <v>0</v>
      </c>
      <c r="R153" s="421">
        <v>0</v>
      </c>
      <c r="S153" s="421">
        <v>0</v>
      </c>
      <c r="T153" s="421"/>
      <c r="U153" s="421"/>
      <c r="V153" s="421">
        <f>_xlfn.IFNA(VLOOKUP(A153,[3]進出口值表查詢結果!$C$11:$F$68,4,0),-[2]整車!$B$22)</f>
        <v>132</v>
      </c>
      <c r="W153" s="421">
        <f>_xlfn.IFNA(VLOOKUP(A153,[3]進出口值表查詢結果!$C$11:$F$68,3,0),-[2]整車!$B$22)</f>
        <v>135910</v>
      </c>
      <c r="X153" s="421">
        <f>_xlfn.IFNA(VLOOKUP(A153,[4]進出口值表查詢結果!$C$11:$F$68,4,0),-[2]整車!$B$22)</f>
        <v>0</v>
      </c>
      <c r="Y153" s="421">
        <f>_xlfn.IFNA(VLOOKUP(A153,[4]進出口值表查詢結果!$C$11:$F$68,3,0),-[2]整車!$B$22)</f>
        <v>0</v>
      </c>
      <c r="Z153" s="415">
        <f t="shared" si="26"/>
        <v>187</v>
      </c>
      <c r="AA153" s="415">
        <f t="shared" si="27"/>
        <v>197210</v>
      </c>
    </row>
    <row r="154" spans="1:27">
      <c r="A154" s="458" t="s">
        <v>342</v>
      </c>
      <c r="B154" s="421"/>
      <c r="C154" s="421"/>
      <c r="D154" s="421"/>
      <c r="E154" s="421"/>
      <c r="F154" s="421">
        <v>0</v>
      </c>
      <c r="G154" s="421"/>
      <c r="H154" s="421">
        <v>0</v>
      </c>
      <c r="I154" s="421">
        <v>0</v>
      </c>
      <c r="J154" s="422"/>
      <c r="K154" s="423"/>
      <c r="L154" s="421">
        <v>0</v>
      </c>
      <c r="M154" s="421">
        <v>0</v>
      </c>
      <c r="N154" s="421">
        <v>0</v>
      </c>
      <c r="O154" s="421">
        <v>0</v>
      </c>
      <c r="P154" s="421">
        <v>0</v>
      </c>
      <c r="Q154" s="421">
        <v>0</v>
      </c>
      <c r="R154" s="421">
        <v>0</v>
      </c>
      <c r="S154" s="421">
        <v>0</v>
      </c>
      <c r="T154" s="421"/>
      <c r="U154" s="421"/>
      <c r="V154" s="421">
        <f>_xlfn.IFNA(VLOOKUP(A154,[3]進出口值表查詢結果!$C$11:$F$68,4,0),-[2]整車!$B$22)</f>
        <v>0</v>
      </c>
      <c r="W154" s="421">
        <f>_xlfn.IFNA(VLOOKUP(A154,[3]進出口值表查詢結果!$C$11:$F$68,3,0),-[2]整車!$B$22)</f>
        <v>0</v>
      </c>
      <c r="X154" s="421">
        <f>_xlfn.IFNA(VLOOKUP(A154,[4]進出口值表查詢結果!$C$11:$F$68,4,0),-[2]整車!$B$22)</f>
        <v>0</v>
      </c>
      <c r="Y154" s="421">
        <f>_xlfn.IFNA(VLOOKUP(A154,[4]進出口值表查詢結果!$C$11:$F$68,3,0),-[2]整車!$B$22)</f>
        <v>0</v>
      </c>
      <c r="Z154" s="415">
        <f t="shared" si="26"/>
        <v>0</v>
      </c>
      <c r="AA154" s="415">
        <f t="shared" si="27"/>
        <v>0</v>
      </c>
    </row>
    <row r="155" spans="1:27">
      <c r="A155" s="458" t="s">
        <v>343</v>
      </c>
      <c r="B155" s="421"/>
      <c r="C155" s="421"/>
      <c r="D155" s="421"/>
      <c r="E155" s="421"/>
      <c r="F155" s="421">
        <v>0</v>
      </c>
      <c r="G155" s="421"/>
      <c r="H155" s="421">
        <v>0</v>
      </c>
      <c r="I155" s="421">
        <v>0</v>
      </c>
      <c r="J155" s="422"/>
      <c r="K155" s="423"/>
      <c r="L155" s="421">
        <v>0</v>
      </c>
      <c r="M155" s="421">
        <v>0</v>
      </c>
      <c r="N155" s="421">
        <v>0</v>
      </c>
      <c r="O155" s="421">
        <v>0</v>
      </c>
      <c r="P155" s="421">
        <v>0</v>
      </c>
      <c r="Q155" s="421">
        <v>0</v>
      </c>
      <c r="R155" s="421">
        <v>0</v>
      </c>
      <c r="S155" s="421">
        <v>0</v>
      </c>
      <c r="T155" s="421"/>
      <c r="U155" s="421"/>
      <c r="V155" s="421">
        <f>_xlfn.IFNA(VLOOKUP(A155,[3]進出口值表查詢結果!$C$11:$F$68,4,0),-[2]整車!$B$22)</f>
        <v>0</v>
      </c>
      <c r="W155" s="421">
        <f>_xlfn.IFNA(VLOOKUP(A155,[3]進出口值表查詢結果!$C$11:$F$68,3,0),-[2]整車!$B$22)</f>
        <v>0</v>
      </c>
      <c r="X155" s="421">
        <f>_xlfn.IFNA(VLOOKUP(A155,[4]進出口值表查詢結果!$C$11:$F$68,4,0),-[2]整車!$B$22)</f>
        <v>0</v>
      </c>
      <c r="Y155" s="421">
        <f>_xlfn.IFNA(VLOOKUP(A155,[4]進出口值表查詢結果!$C$11:$F$68,3,0),-[2]整車!$B$22)</f>
        <v>0</v>
      </c>
      <c r="Z155" s="415">
        <f t="shared" si="26"/>
        <v>0</v>
      </c>
      <c r="AA155" s="415">
        <f t="shared" si="27"/>
        <v>0</v>
      </c>
    </row>
    <row r="156" spans="1:27">
      <c r="A156" s="458" t="s">
        <v>200</v>
      </c>
      <c r="B156" s="421"/>
      <c r="C156" s="421"/>
      <c r="D156" s="421"/>
      <c r="E156" s="421"/>
      <c r="F156" s="421">
        <v>0</v>
      </c>
      <c r="G156" s="421"/>
      <c r="H156" s="421">
        <v>0</v>
      </c>
      <c r="I156" s="421">
        <v>0</v>
      </c>
      <c r="J156" s="422"/>
      <c r="K156" s="423"/>
      <c r="L156" s="421">
        <v>0</v>
      </c>
      <c r="M156" s="421">
        <v>0</v>
      </c>
      <c r="N156" s="421">
        <v>0</v>
      </c>
      <c r="O156" s="421">
        <v>0</v>
      </c>
      <c r="P156" s="421">
        <v>0</v>
      </c>
      <c r="Q156" s="421">
        <v>0</v>
      </c>
      <c r="R156" s="421">
        <v>0</v>
      </c>
      <c r="S156" s="421">
        <v>0</v>
      </c>
      <c r="T156" s="421"/>
      <c r="U156" s="421"/>
      <c r="V156" s="421">
        <f>_xlfn.IFNA(VLOOKUP(A156,[3]進出口值表查詢結果!$C$11:$F$68,4,0),-[2]整車!$B$22)</f>
        <v>0</v>
      </c>
      <c r="W156" s="421">
        <f>_xlfn.IFNA(VLOOKUP(A156,[3]進出口值表查詢結果!$C$11:$F$68,3,0),-[2]整車!$B$22)</f>
        <v>0</v>
      </c>
      <c r="X156" s="421">
        <f>_xlfn.IFNA(VLOOKUP(A156,[4]進出口值表查詢結果!$C$11:$F$68,4,0),-[2]整車!$B$22)</f>
        <v>0</v>
      </c>
      <c r="Y156" s="421">
        <f>_xlfn.IFNA(VLOOKUP(A156,[4]進出口值表查詢結果!$C$11:$F$68,3,0),-[2]整車!$B$22)</f>
        <v>0</v>
      </c>
      <c r="Z156" s="415">
        <f t="shared" si="26"/>
        <v>0</v>
      </c>
      <c r="AA156" s="415">
        <f t="shared" si="27"/>
        <v>0</v>
      </c>
    </row>
    <row r="157" spans="1:27">
      <c r="A157" s="458" t="s">
        <v>344</v>
      </c>
      <c r="B157" s="421"/>
      <c r="C157" s="421"/>
      <c r="D157" s="421"/>
      <c r="E157" s="421"/>
      <c r="F157" s="421">
        <v>0</v>
      </c>
      <c r="G157" s="421"/>
      <c r="H157" s="421">
        <v>0</v>
      </c>
      <c r="I157" s="421">
        <v>0</v>
      </c>
      <c r="J157" s="422"/>
      <c r="K157" s="423"/>
      <c r="L157" s="421">
        <v>0</v>
      </c>
      <c r="M157" s="421">
        <v>0</v>
      </c>
      <c r="N157" s="421">
        <v>0</v>
      </c>
      <c r="O157" s="421">
        <v>0</v>
      </c>
      <c r="P157" s="421">
        <v>113</v>
      </c>
      <c r="Q157" s="421">
        <v>610</v>
      </c>
      <c r="R157" s="421">
        <v>25</v>
      </c>
      <c r="S157" s="421">
        <v>408</v>
      </c>
      <c r="T157" s="421">
        <v>56</v>
      </c>
      <c r="U157" s="421">
        <v>448</v>
      </c>
      <c r="V157" s="421">
        <f>_xlfn.IFNA(VLOOKUP(A157,[3]進出口值表查詢結果!$C$11:$F$68,4,0),-[2]整車!$B$22)</f>
        <v>0</v>
      </c>
      <c r="W157" s="421">
        <f>_xlfn.IFNA(VLOOKUP(A157,[3]進出口值表查詢結果!$C$11:$F$68,3,0),-[2]整車!$B$22)</f>
        <v>0</v>
      </c>
      <c r="X157" s="421">
        <f>_xlfn.IFNA(VLOOKUP(A157,[4]進出口值表查詢結果!$C$11:$F$75,4,0),-[2]整車!$B$22)</f>
        <v>6</v>
      </c>
      <c r="Y157" s="421">
        <f>_xlfn.IFNA(VLOOKUP(A157,[4]進出口值表查詢結果!$C$11:$F$75,3,0),-[2]整車!$B$22)</f>
        <v>175</v>
      </c>
      <c r="Z157" s="415">
        <f t="shared" si="26"/>
        <v>200</v>
      </c>
      <c r="AA157" s="415">
        <f t="shared" si="27"/>
        <v>1641</v>
      </c>
    </row>
    <row r="158" spans="1:27">
      <c r="A158" s="458" t="s">
        <v>345</v>
      </c>
      <c r="B158" s="421"/>
      <c r="C158" s="421"/>
      <c r="D158" s="421"/>
      <c r="E158" s="421"/>
      <c r="F158" s="421">
        <v>0</v>
      </c>
      <c r="G158" s="421"/>
      <c r="H158" s="421">
        <v>0</v>
      </c>
      <c r="I158" s="421">
        <v>0</v>
      </c>
      <c r="J158" s="422"/>
      <c r="K158" s="423"/>
      <c r="L158" s="421">
        <v>0</v>
      </c>
      <c r="M158" s="421">
        <v>0</v>
      </c>
      <c r="N158" s="421">
        <v>0</v>
      </c>
      <c r="O158" s="421">
        <v>0</v>
      </c>
      <c r="P158" s="421">
        <v>0</v>
      </c>
      <c r="Q158" s="421">
        <v>0</v>
      </c>
      <c r="R158" s="421">
        <v>0</v>
      </c>
      <c r="S158" s="421">
        <v>0</v>
      </c>
      <c r="T158" s="421"/>
      <c r="U158" s="421"/>
      <c r="V158" s="421">
        <f>_xlfn.IFNA(VLOOKUP(A158,[3]進出口值表查詢結果!$C$11:$F$68,4,0),-[2]整車!$B$22)</f>
        <v>0</v>
      </c>
      <c r="W158" s="421">
        <f>_xlfn.IFNA(VLOOKUP(A158,[3]進出口值表查詢結果!$C$11:$F$68,3,0),-[2]整車!$B$22)</f>
        <v>0</v>
      </c>
      <c r="X158" s="421">
        <f>_xlfn.IFNA(VLOOKUP(A158,[4]進出口值表查詢結果!$C$11:$F$75,4,0),-[2]整車!$B$22)</f>
        <v>0</v>
      </c>
      <c r="Y158" s="421">
        <f>_xlfn.IFNA(VLOOKUP(A158,[4]進出口值表查詢結果!$C$11:$F$75,3,0),-[2]整車!$B$22)</f>
        <v>0</v>
      </c>
      <c r="Z158" s="415">
        <f t="shared" si="26"/>
        <v>0</v>
      </c>
      <c r="AA158" s="415">
        <f t="shared" si="27"/>
        <v>0</v>
      </c>
    </row>
    <row r="159" spans="1:27">
      <c r="A159" s="458" t="s">
        <v>346</v>
      </c>
      <c r="B159" s="421"/>
      <c r="C159" s="421"/>
      <c r="D159" s="421"/>
      <c r="E159" s="421"/>
      <c r="F159" s="421">
        <v>0</v>
      </c>
      <c r="G159" s="421"/>
      <c r="H159" s="421">
        <v>0</v>
      </c>
      <c r="I159" s="421">
        <v>0</v>
      </c>
      <c r="J159" s="422"/>
      <c r="K159" s="423"/>
      <c r="L159" s="421">
        <v>0</v>
      </c>
      <c r="M159" s="421">
        <v>0</v>
      </c>
      <c r="N159" s="421">
        <v>0</v>
      </c>
      <c r="O159" s="421">
        <v>0</v>
      </c>
      <c r="P159" s="421">
        <v>0</v>
      </c>
      <c r="Q159" s="421">
        <v>0</v>
      </c>
      <c r="R159" s="421">
        <v>0</v>
      </c>
      <c r="S159" s="421">
        <v>0</v>
      </c>
      <c r="T159" s="421"/>
      <c r="U159" s="421"/>
      <c r="V159" s="421">
        <f>_xlfn.IFNA(VLOOKUP(A159,[3]進出口值表查詢結果!$C$11:$F$68,4,0),-[2]整車!$B$22)</f>
        <v>0</v>
      </c>
      <c r="W159" s="421">
        <f>_xlfn.IFNA(VLOOKUP(A159,[3]進出口值表查詢結果!$C$11:$F$68,3,0),-[2]整車!$B$22)</f>
        <v>0</v>
      </c>
      <c r="X159" s="421">
        <f>_xlfn.IFNA(VLOOKUP(A159,[4]進出口值表查詢結果!$C$11:$F$75,4,0),-[2]整車!$B$22)</f>
        <v>0</v>
      </c>
      <c r="Y159" s="421">
        <f>_xlfn.IFNA(VLOOKUP(A159,[4]進出口值表查詢結果!$C$11:$F$75,3,0),-[2]整車!$B$22)</f>
        <v>0</v>
      </c>
      <c r="Z159" s="415">
        <f t="shared" si="26"/>
        <v>0</v>
      </c>
      <c r="AA159" s="415">
        <f t="shared" si="27"/>
        <v>0</v>
      </c>
    </row>
    <row r="160" spans="1:27">
      <c r="A160" s="458" t="s">
        <v>347</v>
      </c>
      <c r="B160" s="421"/>
      <c r="C160" s="421"/>
      <c r="D160" s="421"/>
      <c r="E160" s="421"/>
      <c r="F160" s="421">
        <v>4</v>
      </c>
      <c r="G160" s="421">
        <v>3551</v>
      </c>
      <c r="H160" s="421">
        <v>0</v>
      </c>
      <c r="I160" s="421">
        <v>0</v>
      </c>
      <c r="J160" s="422"/>
      <c r="K160" s="423"/>
      <c r="L160" s="421">
        <v>0</v>
      </c>
      <c r="M160" s="421">
        <v>0</v>
      </c>
      <c r="N160" s="421">
        <v>0</v>
      </c>
      <c r="O160" s="421">
        <v>0</v>
      </c>
      <c r="P160" s="421">
        <v>155</v>
      </c>
      <c r="Q160" s="421">
        <v>20061</v>
      </c>
      <c r="R160" s="421">
        <v>0</v>
      </c>
      <c r="S160" s="421">
        <v>0</v>
      </c>
      <c r="T160" s="421"/>
      <c r="U160" s="421"/>
      <c r="V160" s="421">
        <f>_xlfn.IFNA(VLOOKUP(A160,[3]進出口值表查詢結果!$C$11:$F$68,4,0),-[2]整車!$B$22)</f>
        <v>0</v>
      </c>
      <c r="W160" s="421">
        <f>_xlfn.IFNA(VLOOKUP(A160,[3]進出口值表查詢結果!$C$11:$F$68,3,0),-[2]整車!$B$22)</f>
        <v>0</v>
      </c>
      <c r="X160" s="421">
        <f>_xlfn.IFNA(VLOOKUP(A160,[4]進出口值表查詢結果!$C$11:$F$75,4,0),-[2]整車!$B$22)</f>
        <v>0</v>
      </c>
      <c r="Y160" s="421">
        <f>_xlfn.IFNA(VLOOKUP(A160,[4]進出口值表查詢結果!$C$11:$F$75,3,0),-[2]整車!$B$22)</f>
        <v>0</v>
      </c>
      <c r="Z160" s="415">
        <f t="shared" si="26"/>
        <v>159</v>
      </c>
      <c r="AA160" s="415">
        <f t="shared" si="27"/>
        <v>23612</v>
      </c>
    </row>
    <row r="161" spans="1:27">
      <c r="A161" s="458" t="s">
        <v>348</v>
      </c>
      <c r="B161" s="421">
        <v>17</v>
      </c>
      <c r="C161" s="421">
        <v>28291</v>
      </c>
      <c r="D161" s="421"/>
      <c r="E161" s="421"/>
      <c r="F161" s="421">
        <v>0</v>
      </c>
      <c r="G161" s="421"/>
      <c r="H161" s="421">
        <v>35</v>
      </c>
      <c r="I161" s="421">
        <v>30408</v>
      </c>
      <c r="J161" s="422"/>
      <c r="K161" s="423"/>
      <c r="L161" s="421">
        <v>39</v>
      </c>
      <c r="M161" s="421">
        <v>54290</v>
      </c>
      <c r="N161" s="421">
        <v>0</v>
      </c>
      <c r="O161" s="421">
        <v>0</v>
      </c>
      <c r="P161" s="421">
        <v>36</v>
      </c>
      <c r="Q161" s="421">
        <v>38326</v>
      </c>
      <c r="R161" s="421">
        <v>0</v>
      </c>
      <c r="S161" s="421">
        <v>0</v>
      </c>
      <c r="T161" s="421">
        <v>41</v>
      </c>
      <c r="U161" s="421">
        <v>29673</v>
      </c>
      <c r="V161" s="421">
        <f>_xlfn.IFNA(VLOOKUP(A161,[3]進出口值表查詢結果!$C$11:$F$68,4,0),-[2]整車!$B$22)</f>
        <v>0</v>
      </c>
      <c r="W161" s="421">
        <f>_xlfn.IFNA(VLOOKUP(A161,[3]進出口值表查詢結果!$C$11:$F$68,3,0),-[2]整車!$B$22)</f>
        <v>0</v>
      </c>
      <c r="X161" s="421">
        <f>_xlfn.IFNA(VLOOKUP(A161,[4]進出口值表查詢結果!$C$11:$F$75,4,0),-[2]整車!$B$22)</f>
        <v>50</v>
      </c>
      <c r="Y161" s="421">
        <f>_xlfn.IFNA(VLOOKUP(A161,[4]進出口值表查詢結果!$C$11:$F$75,3,0),-[2]整車!$B$22)</f>
        <v>63646</v>
      </c>
      <c r="Z161" s="415">
        <f t="shared" si="26"/>
        <v>218</v>
      </c>
      <c r="AA161" s="415">
        <f t="shared" si="27"/>
        <v>244634</v>
      </c>
    </row>
    <row r="162" spans="1:27">
      <c r="A162" s="458" t="s">
        <v>349</v>
      </c>
      <c r="B162" s="421"/>
      <c r="C162" s="421"/>
      <c r="D162" s="421"/>
      <c r="E162" s="421"/>
      <c r="F162" s="421">
        <v>0</v>
      </c>
      <c r="G162" s="421"/>
      <c r="H162" s="421">
        <v>0</v>
      </c>
      <c r="I162" s="421">
        <v>0</v>
      </c>
      <c r="J162" s="422">
        <v>5</v>
      </c>
      <c r="K162" s="423">
        <v>802</v>
      </c>
      <c r="L162" s="421">
        <v>0</v>
      </c>
      <c r="M162" s="421">
        <v>0</v>
      </c>
      <c r="N162" s="421">
        <v>0</v>
      </c>
      <c r="O162" s="421">
        <v>0</v>
      </c>
      <c r="P162" s="421">
        <v>0</v>
      </c>
      <c r="Q162" s="421">
        <v>0</v>
      </c>
      <c r="R162" s="421">
        <v>0</v>
      </c>
      <c r="S162" s="421">
        <v>0</v>
      </c>
      <c r="T162" s="421"/>
      <c r="U162" s="421"/>
      <c r="V162" s="421">
        <f>_xlfn.IFNA(VLOOKUP(A162,[3]進出口值表查詢結果!$C$11:$F$68,4,0),-[2]整車!$B$22)</f>
        <v>0</v>
      </c>
      <c r="W162" s="421">
        <f>_xlfn.IFNA(VLOOKUP(A162,[3]進出口值表查詢結果!$C$11:$F$68,3,0),-[2]整車!$B$22)</f>
        <v>0</v>
      </c>
      <c r="X162" s="421">
        <f>_xlfn.IFNA(VLOOKUP(A162,[4]進出口值表查詢結果!$C$11:$F$75,4,0),-[2]整車!$B$22)</f>
        <v>0</v>
      </c>
      <c r="Y162" s="421">
        <f>_xlfn.IFNA(VLOOKUP(A162,[4]進出口值表查詢結果!$C$11:$F$75,3,0),-[2]整車!$B$22)</f>
        <v>0</v>
      </c>
      <c r="Z162" s="415">
        <f t="shared" si="26"/>
        <v>5</v>
      </c>
      <c r="AA162" s="415">
        <f t="shared" si="27"/>
        <v>802</v>
      </c>
    </row>
    <row r="163" spans="1:27">
      <c r="A163" s="458" t="s">
        <v>350</v>
      </c>
      <c r="B163" s="421"/>
      <c r="C163" s="421"/>
      <c r="D163" s="421"/>
      <c r="E163" s="421"/>
      <c r="F163" s="421">
        <v>0</v>
      </c>
      <c r="G163" s="421"/>
      <c r="H163" s="421">
        <v>0</v>
      </c>
      <c r="I163" s="421">
        <v>0</v>
      </c>
      <c r="J163" s="422">
        <v>120</v>
      </c>
      <c r="K163" s="423">
        <v>401</v>
      </c>
      <c r="L163" s="421">
        <v>82</v>
      </c>
      <c r="M163" s="421">
        <v>6803</v>
      </c>
      <c r="N163" s="421">
        <v>0</v>
      </c>
      <c r="O163" s="421">
        <v>0</v>
      </c>
      <c r="P163" s="421">
        <v>512</v>
      </c>
      <c r="Q163" s="421">
        <v>5219</v>
      </c>
      <c r="R163" s="421">
        <v>0</v>
      </c>
      <c r="S163" s="421">
        <v>0</v>
      </c>
      <c r="T163" s="421"/>
      <c r="U163" s="421"/>
      <c r="V163" s="421">
        <f>_xlfn.IFNA(VLOOKUP(A163,[3]進出口值表查詢結果!$C$11:$F$68,4,0),-[2]整車!$B$22)</f>
        <v>0</v>
      </c>
      <c r="W163" s="421">
        <f>_xlfn.IFNA(VLOOKUP(A163,[3]進出口值表查詢結果!$C$11:$F$68,3,0),-[2]整車!$B$22)</f>
        <v>0</v>
      </c>
      <c r="X163" s="421">
        <f>_xlfn.IFNA(VLOOKUP(A163,[4]進出口值表查詢結果!$C$11:$F$75,4,0),-[2]整車!$B$22)</f>
        <v>0</v>
      </c>
      <c r="Y163" s="421">
        <f>_xlfn.IFNA(VLOOKUP(A163,[4]進出口值表查詢結果!$C$11:$F$75,3,0),-[2]整車!$B$22)</f>
        <v>0</v>
      </c>
      <c r="Z163" s="415">
        <f t="shared" si="26"/>
        <v>714</v>
      </c>
      <c r="AA163" s="415">
        <f t="shared" si="27"/>
        <v>12423</v>
      </c>
    </row>
    <row r="164" spans="1:27">
      <c r="A164" s="458" t="s">
        <v>351</v>
      </c>
      <c r="B164" s="421"/>
      <c r="C164" s="421"/>
      <c r="D164" s="421"/>
      <c r="E164" s="421"/>
      <c r="F164" s="421">
        <v>0</v>
      </c>
      <c r="G164" s="421"/>
      <c r="H164" s="421">
        <v>0</v>
      </c>
      <c r="I164" s="421">
        <v>0</v>
      </c>
      <c r="J164" s="422"/>
      <c r="K164" s="423"/>
      <c r="L164" s="421">
        <v>0</v>
      </c>
      <c r="M164" s="421">
        <v>0</v>
      </c>
      <c r="N164" s="421">
        <v>0</v>
      </c>
      <c r="O164" s="421">
        <v>0</v>
      </c>
      <c r="P164" s="421">
        <v>0</v>
      </c>
      <c r="Q164" s="421">
        <v>0</v>
      </c>
      <c r="R164" s="421">
        <v>0</v>
      </c>
      <c r="S164" s="421">
        <v>0</v>
      </c>
      <c r="T164" s="421"/>
      <c r="U164" s="421"/>
      <c r="V164" s="421">
        <f>_xlfn.IFNA(VLOOKUP(A164,[3]進出口值表查詢結果!$C$11:$F$68,4,0),-[2]整車!$B$22)</f>
        <v>0</v>
      </c>
      <c r="W164" s="421">
        <f>_xlfn.IFNA(VLOOKUP(A164,[3]進出口值表查詢結果!$C$11:$F$68,3,0),-[2]整車!$B$22)</f>
        <v>0</v>
      </c>
      <c r="X164" s="421">
        <f>_xlfn.IFNA(VLOOKUP(A164,[4]進出口值表查詢結果!$C$11:$F$75,4,0),-[2]整車!$B$22)</f>
        <v>0</v>
      </c>
      <c r="Y164" s="421">
        <f>_xlfn.IFNA(VLOOKUP(A164,[4]進出口值表查詢結果!$C$11:$F$75,3,0),-[2]整車!$B$22)</f>
        <v>0</v>
      </c>
      <c r="Z164" s="415">
        <f t="shared" si="26"/>
        <v>0</v>
      </c>
      <c r="AA164" s="415">
        <f t="shared" si="27"/>
        <v>0</v>
      </c>
    </row>
    <row r="165" spans="1:27">
      <c r="A165" s="458" t="s">
        <v>352</v>
      </c>
      <c r="B165" s="421"/>
      <c r="C165" s="421"/>
      <c r="D165" s="421"/>
      <c r="E165" s="421"/>
      <c r="F165" s="421">
        <v>0</v>
      </c>
      <c r="G165" s="421"/>
      <c r="H165" s="421">
        <v>0</v>
      </c>
      <c r="I165" s="421">
        <v>0</v>
      </c>
      <c r="J165" s="422"/>
      <c r="K165" s="423"/>
      <c r="L165" s="421">
        <v>0</v>
      </c>
      <c r="M165" s="421">
        <v>0</v>
      </c>
      <c r="N165" s="421">
        <v>0</v>
      </c>
      <c r="O165" s="421">
        <v>0</v>
      </c>
      <c r="P165" s="421">
        <v>0</v>
      </c>
      <c r="Q165" s="421">
        <v>0</v>
      </c>
      <c r="R165" s="421">
        <v>0</v>
      </c>
      <c r="S165" s="421">
        <v>0</v>
      </c>
      <c r="T165" s="421"/>
      <c r="U165" s="421"/>
      <c r="V165" s="421">
        <f>_xlfn.IFNA(VLOOKUP(A165,[3]進出口值表查詢結果!$C$11:$F$68,4,0),-[2]整車!$B$22)</f>
        <v>0</v>
      </c>
      <c r="W165" s="421">
        <f>_xlfn.IFNA(VLOOKUP(A165,[3]進出口值表查詢結果!$C$11:$F$68,3,0),-[2]整車!$B$22)</f>
        <v>0</v>
      </c>
      <c r="X165" s="421">
        <f>_xlfn.IFNA(VLOOKUP(A165,[4]進出口值表查詢結果!$C$11:$F$75,4,0),-[2]整車!$B$22)</f>
        <v>0</v>
      </c>
      <c r="Y165" s="421">
        <f>_xlfn.IFNA(VLOOKUP(A165,[4]進出口值表查詢結果!$C$11:$F$75,3,0),-[2]整車!$B$22)</f>
        <v>0</v>
      </c>
      <c r="Z165" s="415">
        <f t="shared" si="26"/>
        <v>0</v>
      </c>
      <c r="AA165" s="415">
        <f t="shared" si="27"/>
        <v>0</v>
      </c>
    </row>
    <row r="166" spans="1:27">
      <c r="A166" s="458" t="s">
        <v>353</v>
      </c>
      <c r="B166" s="421"/>
      <c r="C166" s="421"/>
      <c r="D166" s="421"/>
      <c r="E166" s="421"/>
      <c r="F166" s="421">
        <v>0</v>
      </c>
      <c r="G166" s="421"/>
      <c r="H166" s="421">
        <v>0</v>
      </c>
      <c r="I166" s="421">
        <v>0</v>
      </c>
      <c r="J166" s="422"/>
      <c r="K166" s="423"/>
      <c r="L166" s="421">
        <v>0</v>
      </c>
      <c r="M166" s="421">
        <v>0</v>
      </c>
      <c r="N166" s="421">
        <v>0</v>
      </c>
      <c r="O166" s="421">
        <v>0</v>
      </c>
      <c r="P166" s="421">
        <v>0</v>
      </c>
      <c r="Q166" s="421">
        <v>0</v>
      </c>
      <c r="R166" s="421">
        <v>0</v>
      </c>
      <c r="S166" s="421">
        <v>0</v>
      </c>
      <c r="T166" s="421"/>
      <c r="U166" s="421"/>
      <c r="V166" s="421">
        <f>_xlfn.IFNA(VLOOKUP(A166,[3]進出口值表查詢結果!$C$11:$F$68,4,0),-[2]整車!$B$22)</f>
        <v>0</v>
      </c>
      <c r="W166" s="421">
        <f>_xlfn.IFNA(VLOOKUP(A166,[3]進出口值表查詢結果!$C$11:$F$68,3,0),-[2]整車!$B$22)</f>
        <v>0</v>
      </c>
      <c r="X166" s="421">
        <f>_xlfn.IFNA(VLOOKUP(A166,[4]進出口值表查詢結果!$C$11:$F$75,4,0),-[2]整車!$B$22)</f>
        <v>0</v>
      </c>
      <c r="Y166" s="421">
        <f>_xlfn.IFNA(VLOOKUP(A166,[4]進出口值表查詢結果!$C$11:$F$75,3,0),-[2]整車!$B$22)</f>
        <v>0</v>
      </c>
      <c r="Z166" s="415">
        <f t="shared" si="26"/>
        <v>0</v>
      </c>
      <c r="AA166" s="415">
        <f t="shared" si="27"/>
        <v>0</v>
      </c>
    </row>
    <row r="167" spans="1:27">
      <c r="A167" s="458" t="s">
        <v>354</v>
      </c>
      <c r="B167" s="421"/>
      <c r="C167" s="421"/>
      <c r="D167" s="421"/>
      <c r="E167" s="421"/>
      <c r="F167" s="421">
        <v>0</v>
      </c>
      <c r="G167" s="421"/>
      <c r="H167" s="421">
        <v>0</v>
      </c>
      <c r="I167" s="421">
        <v>0</v>
      </c>
      <c r="J167" s="422"/>
      <c r="K167" s="423"/>
      <c r="L167" s="421">
        <v>0</v>
      </c>
      <c r="M167" s="421">
        <v>0</v>
      </c>
      <c r="N167" s="421">
        <v>0</v>
      </c>
      <c r="O167" s="421">
        <v>0</v>
      </c>
      <c r="P167" s="421">
        <v>0</v>
      </c>
      <c r="Q167" s="421">
        <v>0</v>
      </c>
      <c r="R167" s="421">
        <v>0</v>
      </c>
      <c r="S167" s="421">
        <v>0</v>
      </c>
      <c r="T167" s="421"/>
      <c r="U167" s="421"/>
      <c r="V167" s="421">
        <f>_xlfn.IFNA(VLOOKUP(A167,[3]進出口值表查詢結果!$C$11:$F$68,4,0),-[2]整車!$B$22)</f>
        <v>0</v>
      </c>
      <c r="W167" s="421">
        <f>_xlfn.IFNA(VLOOKUP(A167,[3]進出口值表查詢結果!$C$11:$F$68,3,0),-[2]整車!$B$22)</f>
        <v>0</v>
      </c>
      <c r="X167" s="421">
        <f>_xlfn.IFNA(VLOOKUP(A167,[4]進出口值表查詢結果!$C$11:$F$75,4,0),-[2]整車!$B$22)</f>
        <v>0</v>
      </c>
      <c r="Y167" s="421">
        <f>_xlfn.IFNA(VLOOKUP(A167,[4]進出口值表查詢結果!$C$11:$F$75,3,0),-[2]整車!$B$22)</f>
        <v>0</v>
      </c>
      <c r="Z167" s="415">
        <f t="shared" si="26"/>
        <v>0</v>
      </c>
      <c r="AA167" s="415">
        <f t="shared" si="27"/>
        <v>0</v>
      </c>
    </row>
    <row r="168" spans="1:27">
      <c r="A168" s="458" t="s">
        <v>355</v>
      </c>
      <c r="B168" s="421">
        <v>30</v>
      </c>
      <c r="C168" s="421">
        <v>67</v>
      </c>
      <c r="D168" s="421">
        <v>30</v>
      </c>
      <c r="E168" s="421">
        <v>167</v>
      </c>
      <c r="F168" s="421">
        <v>0</v>
      </c>
      <c r="G168" s="421"/>
      <c r="H168" s="421">
        <v>0</v>
      </c>
      <c r="I168" s="421">
        <v>0</v>
      </c>
      <c r="J168" s="422"/>
      <c r="K168" s="423"/>
      <c r="L168" s="421">
        <v>0</v>
      </c>
      <c r="M168" s="421">
        <v>0</v>
      </c>
      <c r="N168" s="421">
        <v>0</v>
      </c>
      <c r="O168" s="421">
        <v>0</v>
      </c>
      <c r="P168" s="421">
        <v>0</v>
      </c>
      <c r="Q168" s="421">
        <v>0</v>
      </c>
      <c r="R168" s="421">
        <v>0</v>
      </c>
      <c r="S168" s="421">
        <v>0</v>
      </c>
      <c r="T168" s="421">
        <v>10</v>
      </c>
      <c r="U168" s="421">
        <v>103</v>
      </c>
      <c r="V168" s="421">
        <f>_xlfn.IFNA(VLOOKUP(A168,[3]進出口值表查詢結果!$C$11:$F$68,4,0),-[2]整車!$B$22)</f>
        <v>0</v>
      </c>
      <c r="W168" s="421">
        <f>_xlfn.IFNA(VLOOKUP(A168,[3]進出口值表查詢結果!$C$11:$F$68,3,0),-[2]整車!$B$22)</f>
        <v>0</v>
      </c>
      <c r="X168" s="421">
        <f>_xlfn.IFNA(VLOOKUP(A168,[4]進出口值表查詢結果!$C$11:$F$75,4,0),-[2]整車!$B$22)</f>
        <v>0</v>
      </c>
      <c r="Y168" s="421">
        <f>_xlfn.IFNA(VLOOKUP(A168,[4]進出口值表查詢結果!$C$11:$F$75,3,0),-[2]整車!$B$22)</f>
        <v>0</v>
      </c>
      <c r="Z168" s="415">
        <f t="shared" ref="Z168:Z185" si="29">SUM(B168,D168,F168,H168,J168,L168,N168,P168,R168,T168,V168,X168)</f>
        <v>70</v>
      </c>
      <c r="AA168" s="415">
        <f t="shared" ref="AA168:AA185" si="30">SUM(C168,E168,G168,I168,K168,M168,O168,Q168,S168,U168,W168,Y168)</f>
        <v>337</v>
      </c>
    </row>
    <row r="169" spans="1:27">
      <c r="A169" s="458" t="s">
        <v>407</v>
      </c>
      <c r="B169" s="421"/>
      <c r="C169" s="421"/>
      <c r="D169" s="421"/>
      <c r="E169" s="421"/>
      <c r="F169" s="421">
        <v>0</v>
      </c>
      <c r="G169" s="421"/>
      <c r="H169" s="421">
        <v>0</v>
      </c>
      <c r="I169" s="421">
        <v>0</v>
      </c>
      <c r="J169" s="422"/>
      <c r="K169" s="423"/>
      <c r="L169" s="421">
        <v>0</v>
      </c>
      <c r="M169" s="421">
        <v>0</v>
      </c>
      <c r="N169" s="421">
        <v>0</v>
      </c>
      <c r="O169" s="421">
        <v>0</v>
      </c>
      <c r="P169" s="421">
        <v>0</v>
      </c>
      <c r="Q169" s="421">
        <v>0</v>
      </c>
      <c r="R169" s="421">
        <v>0</v>
      </c>
      <c r="S169" s="421">
        <v>0</v>
      </c>
      <c r="T169" s="421"/>
      <c r="U169" s="421"/>
      <c r="V169" s="421">
        <f>_xlfn.IFNA(VLOOKUP(A169,[3]進出口值表查詢結果!$C$11:$F$68,4,0),-[2]整車!$B$22)</f>
        <v>0</v>
      </c>
      <c r="W169" s="421">
        <f>_xlfn.IFNA(VLOOKUP(A169,[3]進出口值表查詢結果!$C$11:$F$68,3,0),-[2]整車!$B$22)</f>
        <v>0</v>
      </c>
      <c r="X169" s="421">
        <f>_xlfn.IFNA(VLOOKUP(A169,[4]進出口值表查詢結果!$C$11:$F$75,4,0),-[2]整車!$B$22)</f>
        <v>52</v>
      </c>
      <c r="Y169" s="421">
        <f>_xlfn.IFNA(VLOOKUP(A169,[4]進出口值表查詢結果!$C$11:$F$75,3,0),-[2]整車!$B$22)</f>
        <v>175</v>
      </c>
      <c r="Z169" s="415">
        <f t="shared" si="29"/>
        <v>52</v>
      </c>
      <c r="AA169" s="415">
        <f t="shared" si="30"/>
        <v>175</v>
      </c>
    </row>
    <row r="170" spans="1:27">
      <c r="A170" s="458" t="s">
        <v>356</v>
      </c>
      <c r="B170" s="421">
        <v>6</v>
      </c>
      <c r="C170" s="421">
        <v>400</v>
      </c>
      <c r="D170" s="421"/>
      <c r="E170" s="421"/>
      <c r="F170" s="421">
        <v>0</v>
      </c>
      <c r="G170" s="421"/>
      <c r="H170" s="421">
        <v>0</v>
      </c>
      <c r="I170" s="421">
        <v>0</v>
      </c>
      <c r="J170" s="422"/>
      <c r="K170" s="423"/>
      <c r="L170" s="421">
        <v>0</v>
      </c>
      <c r="M170" s="421">
        <v>0</v>
      </c>
      <c r="N170" s="421">
        <v>0</v>
      </c>
      <c r="O170" s="421">
        <v>0</v>
      </c>
      <c r="P170" s="421">
        <v>0</v>
      </c>
      <c r="Q170" s="421">
        <v>0</v>
      </c>
      <c r="R170" s="421">
        <v>0</v>
      </c>
      <c r="S170" s="421">
        <v>0</v>
      </c>
      <c r="T170" s="421"/>
      <c r="U170" s="421"/>
      <c r="V170" s="421">
        <f>_xlfn.IFNA(VLOOKUP(A170,[3]進出口值表查詢結果!$C$11:$F$68,4,0),-[2]整車!$B$22)</f>
        <v>0</v>
      </c>
      <c r="W170" s="421">
        <f>_xlfn.IFNA(VLOOKUP(A170,[3]進出口值表查詢結果!$C$11:$F$68,3,0),-[2]整車!$B$22)</f>
        <v>0</v>
      </c>
      <c r="X170" s="421">
        <f>_xlfn.IFNA(VLOOKUP(A170,[4]進出口值表查詢結果!$C$11:$F$75,4,0),-[2]整車!$B$22)</f>
        <v>0</v>
      </c>
      <c r="Y170" s="421">
        <f>_xlfn.IFNA(VLOOKUP(A170,[4]進出口值表查詢結果!$C$11:$F$75,3,0),-[2]整車!$B$22)</f>
        <v>0</v>
      </c>
      <c r="Z170" s="415">
        <f t="shared" si="29"/>
        <v>6</v>
      </c>
      <c r="AA170" s="415">
        <f t="shared" si="30"/>
        <v>400</v>
      </c>
    </row>
    <row r="171" spans="1:27">
      <c r="A171" s="458" t="s">
        <v>357</v>
      </c>
      <c r="B171" s="421"/>
      <c r="C171" s="421"/>
      <c r="D171" s="421"/>
      <c r="E171" s="421"/>
      <c r="F171" s="421">
        <v>0</v>
      </c>
      <c r="G171" s="421"/>
      <c r="H171" s="421">
        <v>0</v>
      </c>
      <c r="I171" s="421">
        <v>0</v>
      </c>
      <c r="J171" s="422"/>
      <c r="K171" s="423"/>
      <c r="L171" s="421">
        <v>0</v>
      </c>
      <c r="M171" s="421">
        <v>0</v>
      </c>
      <c r="N171" s="421">
        <v>0</v>
      </c>
      <c r="O171" s="421">
        <v>0</v>
      </c>
      <c r="P171" s="421">
        <v>12</v>
      </c>
      <c r="Q171" s="421">
        <v>407</v>
      </c>
      <c r="R171" s="421">
        <v>0</v>
      </c>
      <c r="S171" s="421">
        <v>0</v>
      </c>
      <c r="T171" s="421"/>
      <c r="U171" s="421"/>
      <c r="V171" s="421">
        <f>_xlfn.IFNA(VLOOKUP(A171,[3]進出口值表查詢結果!$C$11:$F$68,4,0),-[2]整車!$B$22)</f>
        <v>0</v>
      </c>
      <c r="W171" s="421">
        <f>_xlfn.IFNA(VLOOKUP(A171,[3]進出口值表查詢結果!$C$11:$F$68,3,0),-[2]整車!$B$22)</f>
        <v>0</v>
      </c>
      <c r="X171" s="421">
        <f>_xlfn.IFNA(VLOOKUP(A171,[4]進出口值表查詢結果!$C$11:$F$75,4,0),-[2]整車!$B$22)</f>
        <v>40</v>
      </c>
      <c r="Y171" s="421">
        <f>_xlfn.IFNA(VLOOKUP(A171,[4]進出口值表查詢結果!$C$11:$F$75,3,0),-[2]整車!$B$22)</f>
        <v>420</v>
      </c>
      <c r="Z171" s="415">
        <f t="shared" si="29"/>
        <v>52</v>
      </c>
      <c r="AA171" s="415">
        <f t="shared" si="30"/>
        <v>827</v>
      </c>
    </row>
    <row r="172" spans="1:27">
      <c r="A172" s="458" t="s">
        <v>358</v>
      </c>
      <c r="B172" s="421"/>
      <c r="C172" s="421"/>
      <c r="D172" s="421"/>
      <c r="E172" s="421"/>
      <c r="F172" s="421">
        <v>0</v>
      </c>
      <c r="G172" s="421"/>
      <c r="H172" s="421">
        <v>0</v>
      </c>
      <c r="I172" s="421">
        <v>0</v>
      </c>
      <c r="J172" s="422"/>
      <c r="K172" s="423"/>
      <c r="L172" s="421">
        <v>0</v>
      </c>
      <c r="M172" s="421">
        <v>0</v>
      </c>
      <c r="N172" s="421">
        <v>0</v>
      </c>
      <c r="O172" s="421">
        <v>0</v>
      </c>
      <c r="P172" s="421">
        <v>0</v>
      </c>
      <c r="Q172" s="421">
        <v>0</v>
      </c>
      <c r="R172" s="421">
        <v>0</v>
      </c>
      <c r="S172" s="421">
        <v>0</v>
      </c>
      <c r="T172" s="421"/>
      <c r="U172" s="421"/>
      <c r="V172" s="421">
        <f>_xlfn.IFNA(VLOOKUP(A172,[3]進出口值表查詢結果!$C$11:$F$68,4,0),-[2]整車!$B$22)</f>
        <v>0</v>
      </c>
      <c r="W172" s="421">
        <f>_xlfn.IFNA(VLOOKUP(A172,[3]進出口值表查詢結果!$C$11:$F$68,3,0),-[2]整車!$B$22)</f>
        <v>0</v>
      </c>
      <c r="X172" s="421">
        <f>_xlfn.IFNA(VLOOKUP(A172,[4]進出口值表查詢結果!$C$11:$F$75,4,0),-[2]整車!$B$22)</f>
        <v>0</v>
      </c>
      <c r="Y172" s="421">
        <f>_xlfn.IFNA(VLOOKUP(A172,[4]進出口值表查詢結果!$C$11:$F$75,3,0),-[2]整車!$B$22)</f>
        <v>0</v>
      </c>
      <c r="Z172" s="415">
        <f t="shared" si="29"/>
        <v>0</v>
      </c>
      <c r="AA172" s="415">
        <f t="shared" si="30"/>
        <v>0</v>
      </c>
    </row>
    <row r="173" spans="1:27">
      <c r="A173" s="458" t="s">
        <v>198</v>
      </c>
      <c r="B173" s="421"/>
      <c r="C173" s="421"/>
      <c r="D173" s="421"/>
      <c r="E173" s="421"/>
      <c r="F173" s="421">
        <v>0</v>
      </c>
      <c r="G173" s="421"/>
      <c r="H173" s="421">
        <v>0</v>
      </c>
      <c r="I173" s="421">
        <v>0</v>
      </c>
      <c r="J173" s="422"/>
      <c r="K173" s="423"/>
      <c r="L173" s="421">
        <v>0</v>
      </c>
      <c r="M173" s="421">
        <v>0</v>
      </c>
      <c r="N173" s="421">
        <v>0</v>
      </c>
      <c r="O173" s="421">
        <v>0</v>
      </c>
      <c r="P173" s="421">
        <v>0</v>
      </c>
      <c r="Q173" s="421">
        <v>0</v>
      </c>
      <c r="R173" s="421">
        <v>0</v>
      </c>
      <c r="S173" s="421">
        <v>0</v>
      </c>
      <c r="T173" s="421"/>
      <c r="U173" s="421"/>
      <c r="V173" s="421">
        <f>_xlfn.IFNA(VLOOKUP(A173,[3]進出口值表查詢結果!$C$11:$F$68,4,0),-[2]整車!$B$22)</f>
        <v>0</v>
      </c>
      <c r="W173" s="421">
        <f>_xlfn.IFNA(VLOOKUP(A173,[3]進出口值表查詢結果!$C$11:$F$68,3,0),-[2]整車!$B$22)</f>
        <v>0</v>
      </c>
      <c r="X173" s="421">
        <f>_xlfn.IFNA(VLOOKUP(A173,[4]進出口值表查詢結果!$C$11:$F$75,4,0),-[2]整車!$B$22)</f>
        <v>0</v>
      </c>
      <c r="Y173" s="421">
        <f>_xlfn.IFNA(VLOOKUP(A173,[4]進出口值表查詢結果!$C$11:$F$75,3,0),-[2]整車!$B$22)</f>
        <v>0</v>
      </c>
      <c r="Z173" s="415">
        <f t="shared" si="29"/>
        <v>0</v>
      </c>
      <c r="AA173" s="415">
        <f t="shared" si="30"/>
        <v>0</v>
      </c>
    </row>
    <row r="174" spans="1:27">
      <c r="A174" s="458" t="s">
        <v>359</v>
      </c>
      <c r="B174" s="421"/>
      <c r="C174" s="421"/>
      <c r="D174" s="421"/>
      <c r="E174" s="421"/>
      <c r="F174" s="421">
        <v>0</v>
      </c>
      <c r="G174" s="421"/>
      <c r="H174" s="421">
        <v>0</v>
      </c>
      <c r="I174" s="421">
        <v>0</v>
      </c>
      <c r="J174" s="422"/>
      <c r="K174" s="423"/>
      <c r="L174" s="421">
        <v>0</v>
      </c>
      <c r="M174" s="421">
        <v>0</v>
      </c>
      <c r="N174" s="421">
        <v>0</v>
      </c>
      <c r="O174" s="421">
        <v>0</v>
      </c>
      <c r="P174" s="421">
        <v>0</v>
      </c>
      <c r="Q174" s="421">
        <v>0</v>
      </c>
      <c r="R174" s="421">
        <v>0</v>
      </c>
      <c r="S174" s="421">
        <v>0</v>
      </c>
      <c r="T174" s="421"/>
      <c r="U174" s="421"/>
      <c r="V174" s="421">
        <f>_xlfn.IFNA(VLOOKUP(A174,[3]進出口值表查詢結果!$C$11:$F$68,4,0),-[2]整車!$B$22)</f>
        <v>0</v>
      </c>
      <c r="W174" s="421">
        <f>_xlfn.IFNA(VLOOKUP(A174,[3]進出口值表查詢結果!$C$11:$F$68,3,0),-[2]整車!$B$22)</f>
        <v>0</v>
      </c>
      <c r="X174" s="421">
        <f>_xlfn.IFNA(VLOOKUP(A174,[4]進出口值表查詢結果!$C$11:$F$75,4,0),-[2]整車!$B$22)</f>
        <v>18</v>
      </c>
      <c r="Y174" s="421">
        <f>_xlfn.IFNA(VLOOKUP(A174,[4]進出口值表查詢結果!$C$11:$F$75,3,0),-[2]整車!$B$22)</f>
        <v>3324</v>
      </c>
      <c r="Z174" s="415">
        <f t="shared" si="29"/>
        <v>18</v>
      </c>
      <c r="AA174" s="415">
        <f t="shared" si="30"/>
        <v>3324</v>
      </c>
    </row>
    <row r="175" spans="1:27">
      <c r="A175" s="458" t="s">
        <v>360</v>
      </c>
      <c r="B175" s="421"/>
      <c r="C175" s="421"/>
      <c r="D175" s="421"/>
      <c r="E175" s="421"/>
      <c r="F175" s="421">
        <v>0</v>
      </c>
      <c r="G175" s="421"/>
      <c r="H175" s="421">
        <v>0</v>
      </c>
      <c r="I175" s="421">
        <v>0</v>
      </c>
      <c r="J175" s="422"/>
      <c r="K175" s="423"/>
      <c r="L175" s="421">
        <v>0</v>
      </c>
      <c r="M175" s="421">
        <v>0</v>
      </c>
      <c r="N175" s="421">
        <v>0</v>
      </c>
      <c r="O175" s="421">
        <v>0</v>
      </c>
      <c r="P175" s="421">
        <v>0</v>
      </c>
      <c r="Q175" s="421">
        <v>0</v>
      </c>
      <c r="R175" s="421">
        <v>0</v>
      </c>
      <c r="S175" s="421">
        <v>0</v>
      </c>
      <c r="T175" s="421"/>
      <c r="U175" s="421"/>
      <c r="V175" s="421">
        <f>_xlfn.IFNA(VLOOKUP(A175,[3]進出口值表查詢結果!$C$11:$F$68,4,0),-[2]整車!$B$22)</f>
        <v>0</v>
      </c>
      <c r="W175" s="421">
        <f>_xlfn.IFNA(VLOOKUP(A175,[3]進出口值表查詢結果!$C$11:$F$68,3,0),-[2]整車!$B$22)</f>
        <v>0</v>
      </c>
      <c r="X175" s="421">
        <f>_xlfn.IFNA(VLOOKUP(A175,[4]進出口值表查詢結果!$C$11:$F$75,4,0),-[2]整車!$B$22)</f>
        <v>0</v>
      </c>
      <c r="Y175" s="421">
        <f>_xlfn.IFNA(VLOOKUP(A175,[4]進出口值表查詢結果!$C$11:$F$75,3,0),-[2]整車!$B$22)</f>
        <v>0</v>
      </c>
      <c r="Z175" s="415">
        <f t="shared" si="29"/>
        <v>0</v>
      </c>
      <c r="AA175" s="415">
        <f t="shared" si="30"/>
        <v>0</v>
      </c>
    </row>
    <row r="176" spans="1:27">
      <c r="A176" s="458" t="s">
        <v>361</v>
      </c>
      <c r="B176" s="421"/>
      <c r="C176" s="421"/>
      <c r="D176" s="421"/>
      <c r="E176" s="421"/>
      <c r="F176" s="421">
        <v>0</v>
      </c>
      <c r="G176" s="421"/>
      <c r="H176" s="421">
        <v>0</v>
      </c>
      <c r="I176" s="421">
        <v>0</v>
      </c>
      <c r="J176" s="422"/>
      <c r="K176" s="423"/>
      <c r="L176" s="421">
        <v>0</v>
      </c>
      <c r="M176" s="421">
        <v>0</v>
      </c>
      <c r="N176" s="421">
        <v>0</v>
      </c>
      <c r="O176" s="421">
        <v>0</v>
      </c>
      <c r="P176" s="421">
        <v>0</v>
      </c>
      <c r="Q176" s="421">
        <v>0</v>
      </c>
      <c r="R176" s="421">
        <v>0</v>
      </c>
      <c r="S176" s="421">
        <v>0</v>
      </c>
      <c r="T176" s="421"/>
      <c r="U176" s="421"/>
      <c r="V176" s="421">
        <f>_xlfn.IFNA(VLOOKUP(A176,[3]進出口值表查詢結果!$C$11:$F$68,4,0),-[2]整車!$B$22)</f>
        <v>0</v>
      </c>
      <c r="W176" s="421">
        <f>_xlfn.IFNA(VLOOKUP(A176,[3]進出口值表查詢結果!$C$11:$F$68,3,0),-[2]整車!$B$22)</f>
        <v>0</v>
      </c>
      <c r="X176" s="421">
        <f>_xlfn.IFNA(VLOOKUP(A176,[4]進出口值表查詢結果!$C$11:$F$75,4,0),-[2]整車!$B$22)</f>
        <v>0</v>
      </c>
      <c r="Y176" s="421">
        <f>_xlfn.IFNA(VLOOKUP(A176,[4]進出口值表查詢結果!$C$11:$F$75,3,0),-[2]整車!$B$22)</f>
        <v>0</v>
      </c>
      <c r="Z176" s="415">
        <f t="shared" si="29"/>
        <v>0</v>
      </c>
      <c r="AA176" s="415">
        <f t="shared" si="30"/>
        <v>0</v>
      </c>
    </row>
    <row r="177" spans="1:27">
      <c r="A177" s="458" t="s">
        <v>362</v>
      </c>
      <c r="B177" s="421"/>
      <c r="C177" s="421"/>
      <c r="D177" s="421"/>
      <c r="E177" s="421"/>
      <c r="F177" s="421">
        <v>0</v>
      </c>
      <c r="G177" s="421"/>
      <c r="H177" s="421">
        <v>0</v>
      </c>
      <c r="I177" s="421">
        <v>0</v>
      </c>
      <c r="J177" s="422"/>
      <c r="K177" s="423"/>
      <c r="L177" s="421">
        <v>0</v>
      </c>
      <c r="M177" s="421">
        <v>0</v>
      </c>
      <c r="N177" s="421">
        <v>0</v>
      </c>
      <c r="O177" s="421">
        <v>0</v>
      </c>
      <c r="P177" s="421">
        <v>0</v>
      </c>
      <c r="Q177" s="421">
        <v>0</v>
      </c>
      <c r="R177" s="421">
        <v>0</v>
      </c>
      <c r="S177" s="421">
        <v>0</v>
      </c>
      <c r="T177" s="421"/>
      <c r="U177" s="421"/>
      <c r="V177" s="421">
        <f>_xlfn.IFNA(VLOOKUP(A177,[3]進出口值表查詢結果!$C$11:$F$68,4,0),-[2]整車!$B$22)</f>
        <v>0</v>
      </c>
      <c r="W177" s="421">
        <f>_xlfn.IFNA(VLOOKUP(A177,[3]進出口值表查詢結果!$C$11:$F$68,3,0),-[2]整車!$B$22)</f>
        <v>0</v>
      </c>
      <c r="X177" s="421">
        <f>_xlfn.IFNA(VLOOKUP(A177,[4]進出口值表查詢結果!$C$11:$F$75,4,0),-[2]整車!$B$22)</f>
        <v>0</v>
      </c>
      <c r="Y177" s="421">
        <f>_xlfn.IFNA(VLOOKUP(A177,[4]進出口值表查詢結果!$C$11:$F$75,3,0),-[2]整車!$B$22)</f>
        <v>0</v>
      </c>
      <c r="Z177" s="415">
        <f t="shared" si="29"/>
        <v>0</v>
      </c>
      <c r="AA177" s="415">
        <f t="shared" si="30"/>
        <v>0</v>
      </c>
    </row>
    <row r="178" spans="1:27">
      <c r="A178" s="458" t="s">
        <v>363</v>
      </c>
      <c r="B178" s="421"/>
      <c r="C178" s="421"/>
      <c r="D178" s="421"/>
      <c r="E178" s="421"/>
      <c r="F178" s="421">
        <v>0</v>
      </c>
      <c r="G178" s="421"/>
      <c r="H178" s="421">
        <v>0</v>
      </c>
      <c r="I178" s="421">
        <v>0</v>
      </c>
      <c r="J178" s="422"/>
      <c r="K178" s="423">
        <v>0</v>
      </c>
      <c r="L178" s="421">
        <v>0</v>
      </c>
      <c r="M178" s="421">
        <v>0</v>
      </c>
      <c r="N178" s="421">
        <v>0</v>
      </c>
      <c r="O178" s="421">
        <v>0</v>
      </c>
      <c r="P178" s="421">
        <v>0</v>
      </c>
      <c r="Q178" s="421">
        <v>0</v>
      </c>
      <c r="R178" s="421">
        <v>0</v>
      </c>
      <c r="S178" s="421">
        <v>0</v>
      </c>
      <c r="T178" s="421"/>
      <c r="U178" s="421"/>
      <c r="V178" s="421">
        <f>_xlfn.IFNA(VLOOKUP(A178,[3]進出口值表查詢結果!$C$11:$F$68,4,0),-[2]整車!$B$22)</f>
        <v>0</v>
      </c>
      <c r="W178" s="421">
        <f>_xlfn.IFNA(VLOOKUP(A178,[3]進出口值表查詢結果!$C$11:$F$68,3,0),-[2]整車!$B$22)</f>
        <v>0</v>
      </c>
      <c r="X178" s="421">
        <f>_xlfn.IFNA(VLOOKUP(A178,[4]進出口值表查詢結果!$C$11:$F$75,4,0),-[2]整車!$B$22)</f>
        <v>0</v>
      </c>
      <c r="Y178" s="421">
        <f>_xlfn.IFNA(VLOOKUP(A178,[4]進出口值表查詢結果!$C$11:$F$75,3,0),-[2]整車!$B$22)</f>
        <v>0</v>
      </c>
      <c r="Z178" s="415">
        <f t="shared" si="29"/>
        <v>0</v>
      </c>
      <c r="AA178" s="415">
        <f t="shared" si="30"/>
        <v>0</v>
      </c>
    </row>
    <row r="179" spans="1:27">
      <c r="A179" s="458" t="s">
        <v>364</v>
      </c>
      <c r="B179" s="421"/>
      <c r="C179" s="421"/>
      <c r="D179" s="421"/>
      <c r="E179" s="421"/>
      <c r="F179" s="421">
        <v>0</v>
      </c>
      <c r="G179" s="421"/>
      <c r="H179" s="421">
        <v>0</v>
      </c>
      <c r="I179" s="421">
        <v>0</v>
      </c>
      <c r="J179" s="422"/>
      <c r="K179" s="423">
        <v>0</v>
      </c>
      <c r="L179" s="421">
        <v>0</v>
      </c>
      <c r="M179" s="421">
        <v>0</v>
      </c>
      <c r="N179" s="421">
        <v>0</v>
      </c>
      <c r="O179" s="421">
        <v>0</v>
      </c>
      <c r="P179" s="421">
        <v>0</v>
      </c>
      <c r="Q179" s="421">
        <v>0</v>
      </c>
      <c r="R179" s="421">
        <v>0</v>
      </c>
      <c r="S179" s="421">
        <v>0</v>
      </c>
      <c r="T179" s="421"/>
      <c r="U179" s="421"/>
      <c r="V179" s="421">
        <f>_xlfn.IFNA(VLOOKUP(A179,[3]進出口值表查詢結果!$C$11:$F$68,4,0),-[2]整車!$B$22)</f>
        <v>0</v>
      </c>
      <c r="W179" s="421">
        <f>_xlfn.IFNA(VLOOKUP(A179,[3]進出口值表查詢結果!$C$11:$F$68,3,0),-[2]整車!$B$22)</f>
        <v>0</v>
      </c>
      <c r="X179" s="421">
        <f>_xlfn.IFNA(VLOOKUP(A179,[4]進出口值表查詢結果!$C$11:$F$75,4,0),-[2]整車!$B$22)</f>
        <v>0</v>
      </c>
      <c r="Y179" s="421">
        <f>_xlfn.IFNA(VLOOKUP(A179,[4]進出口值表查詢結果!$C$11:$F$75,3,0),-[2]整車!$B$22)</f>
        <v>0</v>
      </c>
      <c r="Z179" s="415">
        <f t="shared" si="29"/>
        <v>0</v>
      </c>
      <c r="AA179" s="415">
        <f t="shared" si="30"/>
        <v>0</v>
      </c>
    </row>
    <row r="180" spans="1:27">
      <c r="A180" s="458" t="s">
        <v>365</v>
      </c>
      <c r="B180" s="421"/>
      <c r="C180" s="421"/>
      <c r="D180" s="421"/>
      <c r="E180" s="421"/>
      <c r="F180" s="421">
        <v>0</v>
      </c>
      <c r="G180" s="421"/>
      <c r="H180" s="421">
        <v>0</v>
      </c>
      <c r="I180" s="421">
        <v>0</v>
      </c>
      <c r="J180" s="422"/>
      <c r="K180" s="423">
        <v>0</v>
      </c>
      <c r="L180" s="421">
        <v>0</v>
      </c>
      <c r="M180" s="421">
        <v>0</v>
      </c>
      <c r="N180" s="421">
        <v>0</v>
      </c>
      <c r="O180" s="421">
        <v>0</v>
      </c>
      <c r="P180" s="421">
        <v>0</v>
      </c>
      <c r="Q180" s="421">
        <v>0</v>
      </c>
      <c r="R180" s="421">
        <v>0</v>
      </c>
      <c r="S180" s="421">
        <v>0</v>
      </c>
      <c r="T180" s="421"/>
      <c r="U180" s="421"/>
      <c r="V180" s="421">
        <f>_xlfn.IFNA(VLOOKUP(A180,[3]進出口值表查詢結果!$C$11:$F$68,4,0),-[2]整車!$B$22)</f>
        <v>0</v>
      </c>
      <c r="W180" s="421">
        <f>_xlfn.IFNA(VLOOKUP(A180,[3]進出口值表查詢結果!$C$11:$F$68,3,0),-[2]整車!$B$22)</f>
        <v>0</v>
      </c>
      <c r="X180" s="421">
        <f>_xlfn.IFNA(VLOOKUP(A180,[4]進出口值表查詢結果!$C$11:$F$75,4,0),-[2]整車!$B$22)</f>
        <v>0</v>
      </c>
      <c r="Y180" s="421">
        <f>_xlfn.IFNA(VLOOKUP(A180,[4]進出口值表查詢結果!$C$11:$F$75,3,0),-[2]整車!$B$22)</f>
        <v>0</v>
      </c>
      <c r="Z180" s="415">
        <f t="shared" si="29"/>
        <v>0</v>
      </c>
      <c r="AA180" s="415">
        <f t="shared" si="30"/>
        <v>0</v>
      </c>
    </row>
    <row r="181" spans="1:27">
      <c r="A181" s="458" t="s">
        <v>366</v>
      </c>
      <c r="B181" s="421"/>
      <c r="C181" s="421"/>
      <c r="D181" s="421"/>
      <c r="E181" s="421"/>
      <c r="F181" s="421">
        <v>0</v>
      </c>
      <c r="G181" s="421"/>
      <c r="H181" s="421">
        <v>0</v>
      </c>
      <c r="I181" s="421">
        <v>0</v>
      </c>
      <c r="J181" s="422"/>
      <c r="K181" s="423">
        <v>0</v>
      </c>
      <c r="L181" s="421">
        <v>0</v>
      </c>
      <c r="M181" s="421">
        <v>0</v>
      </c>
      <c r="N181" s="421">
        <v>0</v>
      </c>
      <c r="O181" s="421">
        <v>0</v>
      </c>
      <c r="P181" s="421">
        <v>0</v>
      </c>
      <c r="Q181" s="421">
        <v>0</v>
      </c>
      <c r="R181" s="421">
        <v>0</v>
      </c>
      <c r="S181" s="421">
        <v>0</v>
      </c>
      <c r="T181" s="421"/>
      <c r="U181" s="421"/>
      <c r="V181" s="421">
        <f>_xlfn.IFNA(VLOOKUP(A181,[3]進出口值表查詢結果!$C$11:$F$68,4,0),-[2]整車!$B$22)</f>
        <v>0</v>
      </c>
      <c r="W181" s="421">
        <f>_xlfn.IFNA(VLOOKUP(A181,[3]進出口值表查詢結果!$C$11:$F$68,3,0),-[2]整車!$B$22)</f>
        <v>0</v>
      </c>
      <c r="X181" s="421">
        <f>_xlfn.IFNA(VLOOKUP(A181,[4]進出口值表查詢結果!$C$11:$F$75,4,0),-[2]整車!$B$22)</f>
        <v>0</v>
      </c>
      <c r="Y181" s="421">
        <f>_xlfn.IFNA(VLOOKUP(A181,[4]進出口值表查詢結果!$C$11:$F$75,3,0),-[2]整車!$B$22)</f>
        <v>0</v>
      </c>
      <c r="Z181" s="415">
        <f t="shared" si="29"/>
        <v>0</v>
      </c>
      <c r="AA181" s="415">
        <f t="shared" si="30"/>
        <v>0</v>
      </c>
    </row>
    <row r="182" spans="1:27">
      <c r="A182" s="458" t="s">
        <v>367</v>
      </c>
      <c r="B182" s="421"/>
      <c r="C182" s="421"/>
      <c r="D182" s="421"/>
      <c r="E182" s="421"/>
      <c r="F182" s="421">
        <v>0</v>
      </c>
      <c r="G182" s="421"/>
      <c r="H182" s="421">
        <v>0</v>
      </c>
      <c r="I182" s="421">
        <v>0</v>
      </c>
      <c r="J182" s="422"/>
      <c r="K182" s="423">
        <v>0</v>
      </c>
      <c r="L182" s="421">
        <v>0</v>
      </c>
      <c r="M182" s="421">
        <v>0</v>
      </c>
      <c r="N182" s="421">
        <v>0</v>
      </c>
      <c r="O182" s="421">
        <v>0</v>
      </c>
      <c r="P182" s="421">
        <v>0</v>
      </c>
      <c r="Q182" s="421">
        <v>0</v>
      </c>
      <c r="R182" s="421">
        <v>0</v>
      </c>
      <c r="S182" s="421">
        <v>0</v>
      </c>
      <c r="T182" s="421"/>
      <c r="U182" s="421"/>
      <c r="V182" s="421">
        <f>_xlfn.IFNA(VLOOKUP(A182,[3]進出口值表查詢結果!$C$11:$F$68,4,0),-[2]整車!$B$22)</f>
        <v>0</v>
      </c>
      <c r="W182" s="421">
        <f>_xlfn.IFNA(VLOOKUP(A182,[3]進出口值表查詢結果!$C$11:$F$68,3,0),-[2]整車!$B$22)</f>
        <v>0</v>
      </c>
      <c r="X182" s="421">
        <f>_xlfn.IFNA(VLOOKUP(A182,[4]進出口值表查詢結果!$C$11:$F$75,4,0),-[2]整車!$B$22)</f>
        <v>0</v>
      </c>
      <c r="Y182" s="421">
        <f>_xlfn.IFNA(VLOOKUP(A182,[4]進出口值表查詢結果!$C$11:$F$75,3,0),-[2]整車!$B$22)</f>
        <v>0</v>
      </c>
      <c r="Z182" s="415">
        <f t="shared" si="29"/>
        <v>0</v>
      </c>
      <c r="AA182" s="415">
        <f t="shared" si="30"/>
        <v>0</v>
      </c>
    </row>
    <row r="183" spans="1:27">
      <c r="A183" s="458" t="s">
        <v>368</v>
      </c>
      <c r="B183" s="421"/>
      <c r="C183" s="421"/>
      <c r="D183" s="421"/>
      <c r="E183" s="421"/>
      <c r="F183" s="421">
        <v>0</v>
      </c>
      <c r="G183" s="421"/>
      <c r="H183" s="421">
        <v>0</v>
      </c>
      <c r="I183" s="421">
        <v>0</v>
      </c>
      <c r="J183" s="422"/>
      <c r="K183" s="423">
        <v>0</v>
      </c>
      <c r="L183" s="421">
        <v>0</v>
      </c>
      <c r="M183" s="421">
        <v>0</v>
      </c>
      <c r="N183" s="421">
        <v>0</v>
      </c>
      <c r="O183" s="421">
        <v>0</v>
      </c>
      <c r="P183" s="421">
        <v>0</v>
      </c>
      <c r="Q183" s="421">
        <v>0</v>
      </c>
      <c r="R183" s="421">
        <v>0</v>
      </c>
      <c r="S183" s="421">
        <v>0</v>
      </c>
      <c r="T183" s="421"/>
      <c r="U183" s="421"/>
      <c r="V183" s="421">
        <f>_xlfn.IFNA(VLOOKUP(A183,[3]進出口值表查詢結果!$C$11:$F$68,4,0),-[2]整車!$B$22)</f>
        <v>0</v>
      </c>
      <c r="W183" s="421">
        <f>_xlfn.IFNA(VLOOKUP(A183,[3]進出口值表查詢結果!$C$11:$F$68,3,0),-[2]整車!$B$22)</f>
        <v>0</v>
      </c>
      <c r="X183" s="421">
        <f>_xlfn.IFNA(VLOOKUP(A183,[4]進出口值表查詢結果!$C$11:$F$75,4,0),-[2]整車!$B$22)</f>
        <v>0</v>
      </c>
      <c r="Y183" s="421">
        <f>_xlfn.IFNA(VLOOKUP(A183,[4]進出口值表查詢結果!$C$11:$F$75,3,0),-[2]整車!$B$22)</f>
        <v>0</v>
      </c>
      <c r="Z183" s="415">
        <f t="shared" si="29"/>
        <v>0</v>
      </c>
      <c r="AA183" s="415">
        <f t="shared" si="30"/>
        <v>0</v>
      </c>
    </row>
    <row r="184" spans="1:27">
      <c r="A184" s="458" t="s">
        <v>369</v>
      </c>
      <c r="B184" s="421"/>
      <c r="C184" s="421"/>
      <c r="D184" s="421"/>
      <c r="E184" s="421"/>
      <c r="F184" s="421">
        <v>0</v>
      </c>
      <c r="G184" s="421"/>
      <c r="H184" s="421">
        <v>0</v>
      </c>
      <c r="I184" s="421">
        <v>0</v>
      </c>
      <c r="J184" s="422"/>
      <c r="K184" s="423">
        <v>0</v>
      </c>
      <c r="L184" s="421">
        <v>0</v>
      </c>
      <c r="M184" s="421">
        <v>0</v>
      </c>
      <c r="N184" s="421">
        <v>0</v>
      </c>
      <c r="O184" s="421">
        <v>0</v>
      </c>
      <c r="P184" s="421">
        <v>0</v>
      </c>
      <c r="Q184" s="421">
        <v>0</v>
      </c>
      <c r="R184" s="421">
        <v>0</v>
      </c>
      <c r="S184" s="421">
        <v>0</v>
      </c>
      <c r="T184" s="421"/>
      <c r="U184" s="421"/>
      <c r="V184" s="421">
        <f>_xlfn.IFNA(VLOOKUP(A184,[3]進出口值表查詢結果!$C$11:$F$68,4,0),-[2]整車!$B$22)</f>
        <v>0</v>
      </c>
      <c r="W184" s="421">
        <f>_xlfn.IFNA(VLOOKUP(A184,[3]進出口值表查詢結果!$C$11:$F$68,3,0),-[2]整車!$B$22)</f>
        <v>0</v>
      </c>
      <c r="X184" s="421">
        <f>_xlfn.IFNA(VLOOKUP(A184,[4]進出口值表查詢結果!$C$11:$F$75,4,0),-[2]整車!$B$22)</f>
        <v>0</v>
      </c>
      <c r="Y184" s="421">
        <f>_xlfn.IFNA(VLOOKUP(A184,[4]進出口值表查詢結果!$C$11:$F$75,3,0),-[2]整車!$B$22)</f>
        <v>0</v>
      </c>
      <c r="Z184" s="415">
        <f t="shared" si="29"/>
        <v>0</v>
      </c>
      <c r="AA184" s="415">
        <f t="shared" si="30"/>
        <v>0</v>
      </c>
    </row>
    <row r="185" spans="1:27">
      <c r="A185" s="458" t="s">
        <v>370</v>
      </c>
      <c r="B185" s="421"/>
      <c r="C185" s="421"/>
      <c r="D185" s="421"/>
      <c r="E185" s="421"/>
      <c r="F185" s="421">
        <v>0</v>
      </c>
      <c r="G185" s="421"/>
      <c r="H185" s="421">
        <v>0</v>
      </c>
      <c r="I185" s="421">
        <v>0</v>
      </c>
      <c r="J185" s="422"/>
      <c r="K185" s="423">
        <v>0</v>
      </c>
      <c r="L185" s="421">
        <v>0</v>
      </c>
      <c r="M185" s="421">
        <v>0</v>
      </c>
      <c r="N185" s="421">
        <v>0</v>
      </c>
      <c r="O185" s="421">
        <v>0</v>
      </c>
      <c r="P185" s="421">
        <v>0</v>
      </c>
      <c r="Q185" s="421">
        <v>0</v>
      </c>
      <c r="R185" s="421">
        <v>0</v>
      </c>
      <c r="S185" s="421">
        <v>0</v>
      </c>
      <c r="T185" s="421"/>
      <c r="U185" s="421"/>
      <c r="V185" s="421">
        <f>_xlfn.IFNA(VLOOKUP(A185,[3]進出口值表查詢結果!$C$11:$F$68,4,0),-[2]整車!$B$22)</f>
        <v>0</v>
      </c>
      <c r="W185" s="421">
        <f>_xlfn.IFNA(VLOOKUP(A185,[3]進出口值表查詢結果!$C$11:$F$68,3,0),-[2]整車!$B$22)</f>
        <v>0</v>
      </c>
      <c r="X185" s="421">
        <f>_xlfn.IFNA(VLOOKUP(A185,[4]進出口值表查詢結果!$C$11:$F$75,4,0),-[2]整車!$B$22)</f>
        <v>0</v>
      </c>
      <c r="Y185" s="421">
        <f>_xlfn.IFNA(VLOOKUP(A185,[4]進出口值表查詢結果!$C$11:$F$75,3,0),-[2]整車!$B$22)</f>
        <v>0</v>
      </c>
      <c r="Z185" s="415">
        <f t="shared" si="29"/>
        <v>0</v>
      </c>
      <c r="AA185" s="415">
        <f t="shared" si="30"/>
        <v>0</v>
      </c>
    </row>
    <row r="186" spans="1:27">
      <c r="A186" s="458" t="s">
        <v>371</v>
      </c>
      <c r="B186" s="421"/>
      <c r="C186" s="421"/>
      <c r="D186" s="421"/>
      <c r="E186" s="421"/>
      <c r="F186" s="421">
        <v>0</v>
      </c>
      <c r="G186" s="421"/>
      <c r="H186" s="421">
        <v>0</v>
      </c>
      <c r="I186" s="421">
        <v>0</v>
      </c>
      <c r="J186" s="422"/>
      <c r="K186" s="423"/>
      <c r="L186" s="421">
        <v>0</v>
      </c>
      <c r="M186" s="421">
        <v>0</v>
      </c>
      <c r="N186" s="421">
        <v>0</v>
      </c>
      <c r="O186" s="421">
        <v>0</v>
      </c>
      <c r="P186" s="421">
        <v>0</v>
      </c>
      <c r="Q186" s="421">
        <v>0</v>
      </c>
      <c r="R186" s="421">
        <v>0</v>
      </c>
      <c r="S186" s="421">
        <v>0</v>
      </c>
      <c r="T186" s="421"/>
      <c r="U186" s="421"/>
      <c r="V186" s="421">
        <f>_xlfn.IFNA(VLOOKUP(A186,[3]進出口值表查詢結果!$C$11:$F$68,4,0),-[2]整車!$B$22)</f>
        <v>0</v>
      </c>
      <c r="W186" s="421">
        <f>_xlfn.IFNA(VLOOKUP(A186,[3]進出口值表查詢結果!$C$11:$F$68,3,0),-[2]整車!$B$22)</f>
        <v>0</v>
      </c>
      <c r="X186" s="421">
        <f>_xlfn.IFNA(VLOOKUP(A186,[4]進出口值表查詢結果!$C$11:$F$75,4,0),-[2]整車!$B$22)</f>
        <v>0</v>
      </c>
      <c r="Y186" s="421">
        <f>_xlfn.IFNA(VLOOKUP(A186,[4]進出口值表查詢結果!$C$11:$F$75,3,0),-[2]整車!$B$22)</f>
        <v>0</v>
      </c>
      <c r="Z186" s="415">
        <f t="shared" ref="Z186:Z200" si="31">SUM(B186,D186,F186,H186,J186,L186,N186,P186,R186,T186,V186,X186)</f>
        <v>0</v>
      </c>
      <c r="AA186" s="415"/>
    </row>
    <row r="187" spans="1:27">
      <c r="A187" s="458" t="s">
        <v>372</v>
      </c>
      <c r="B187" s="421"/>
      <c r="C187" s="421"/>
      <c r="D187" s="421"/>
      <c r="E187" s="421"/>
      <c r="F187" s="421">
        <v>0</v>
      </c>
      <c r="G187" s="421"/>
      <c r="H187" s="421">
        <v>0</v>
      </c>
      <c r="I187" s="421">
        <v>0</v>
      </c>
      <c r="J187" s="422"/>
      <c r="K187" s="423">
        <v>0</v>
      </c>
      <c r="L187" s="421">
        <v>0</v>
      </c>
      <c r="M187" s="421">
        <v>0</v>
      </c>
      <c r="N187" s="421">
        <v>0</v>
      </c>
      <c r="O187" s="421">
        <v>0</v>
      </c>
      <c r="P187" s="421">
        <v>0</v>
      </c>
      <c r="Q187" s="421">
        <v>0</v>
      </c>
      <c r="R187" s="421">
        <v>0</v>
      </c>
      <c r="S187" s="421">
        <v>0</v>
      </c>
      <c r="T187" s="421"/>
      <c r="U187" s="421"/>
      <c r="V187" s="421">
        <f>_xlfn.IFNA(VLOOKUP(A187,[3]進出口值表查詢結果!$C$11:$F$68,4,0),-[2]整車!$B$22)</f>
        <v>0</v>
      </c>
      <c r="W187" s="421">
        <f>_xlfn.IFNA(VLOOKUP(A187,[3]進出口值表查詢結果!$C$11:$F$68,3,0),-[2]整車!$B$22)</f>
        <v>0</v>
      </c>
      <c r="X187" s="421">
        <f>_xlfn.IFNA(VLOOKUP(A187,[4]進出口值表查詢結果!$C$11:$F$75,4,0),-[2]整車!$B$22)</f>
        <v>0</v>
      </c>
      <c r="Y187" s="421">
        <f>_xlfn.IFNA(VLOOKUP(A187,[4]進出口值表查詢結果!$C$11:$F$75,3,0),-[2]整車!$B$22)</f>
        <v>0</v>
      </c>
      <c r="Z187" s="415">
        <f t="shared" si="31"/>
        <v>0</v>
      </c>
      <c r="AA187" s="415">
        <f t="shared" ref="AA187:AA200" si="32">SUM(C187,E187,G187,I187,K187,M187,O187,Q187,S187,U187,W187,Y187)</f>
        <v>0</v>
      </c>
    </row>
    <row r="188" spans="1:27">
      <c r="A188" s="458" t="s">
        <v>373</v>
      </c>
      <c r="B188" s="421"/>
      <c r="C188" s="421"/>
      <c r="D188" s="421"/>
      <c r="E188" s="421"/>
      <c r="F188" s="421">
        <v>0</v>
      </c>
      <c r="G188" s="421"/>
      <c r="H188" s="421">
        <v>0</v>
      </c>
      <c r="I188" s="421">
        <v>0</v>
      </c>
      <c r="J188" s="422"/>
      <c r="K188" s="423">
        <v>0</v>
      </c>
      <c r="L188" s="421">
        <v>0</v>
      </c>
      <c r="M188" s="421">
        <v>0</v>
      </c>
      <c r="N188" s="421">
        <v>0</v>
      </c>
      <c r="O188" s="421">
        <v>0</v>
      </c>
      <c r="P188" s="421">
        <v>0</v>
      </c>
      <c r="Q188" s="421">
        <v>0</v>
      </c>
      <c r="R188" s="421">
        <v>0</v>
      </c>
      <c r="S188" s="421">
        <v>0</v>
      </c>
      <c r="T188" s="421"/>
      <c r="U188" s="421"/>
      <c r="V188" s="421">
        <f>_xlfn.IFNA(VLOOKUP(A188,[3]進出口值表查詢結果!$C$11:$F$68,4,0),-[2]整車!$B$22)</f>
        <v>0</v>
      </c>
      <c r="W188" s="421">
        <f>_xlfn.IFNA(VLOOKUP(A188,[3]進出口值表查詢結果!$C$11:$F$68,3,0),-[2]整車!$B$22)</f>
        <v>0</v>
      </c>
      <c r="X188" s="421">
        <f>_xlfn.IFNA(VLOOKUP(A188,[4]進出口值表查詢結果!$C$11:$F$75,4,0),-[2]整車!$B$22)</f>
        <v>0</v>
      </c>
      <c r="Y188" s="421">
        <f>_xlfn.IFNA(VLOOKUP(A188,[4]進出口值表查詢結果!$C$11:$F$75,3,0),-[2]整車!$B$22)</f>
        <v>0</v>
      </c>
      <c r="Z188" s="415">
        <f t="shared" si="31"/>
        <v>0</v>
      </c>
      <c r="AA188" s="415">
        <f t="shared" si="32"/>
        <v>0</v>
      </c>
    </row>
    <row r="189" spans="1:27">
      <c r="A189" s="464" t="s">
        <v>374</v>
      </c>
      <c r="B189" s="442">
        <f t="shared" ref="B189:Y189" si="33">SUM(B190:B203)</f>
        <v>0</v>
      </c>
      <c r="C189" s="442">
        <f t="shared" si="33"/>
        <v>0</v>
      </c>
      <c r="D189" s="442">
        <f t="shared" si="33"/>
        <v>0</v>
      </c>
      <c r="E189" s="442">
        <f t="shared" si="33"/>
        <v>0</v>
      </c>
      <c r="F189" s="442">
        <f t="shared" si="33"/>
        <v>0</v>
      </c>
      <c r="G189" s="442">
        <f t="shared" si="33"/>
        <v>0</v>
      </c>
      <c r="H189" s="442">
        <f t="shared" si="33"/>
        <v>10</v>
      </c>
      <c r="I189" s="442">
        <f t="shared" si="33"/>
        <v>1060</v>
      </c>
      <c r="J189" s="443">
        <f t="shared" si="33"/>
        <v>0</v>
      </c>
      <c r="K189" s="444">
        <f t="shared" si="33"/>
        <v>0</v>
      </c>
      <c r="L189" s="442">
        <f t="shared" si="33"/>
        <v>10</v>
      </c>
      <c r="M189" s="442">
        <f t="shared" si="33"/>
        <v>1039</v>
      </c>
      <c r="N189" s="442">
        <f t="shared" si="33"/>
        <v>1</v>
      </c>
      <c r="O189" s="442">
        <f t="shared" si="33"/>
        <v>2028</v>
      </c>
      <c r="P189" s="442">
        <f t="shared" si="33"/>
        <v>0</v>
      </c>
      <c r="Q189" s="442">
        <f t="shared" si="33"/>
        <v>0</v>
      </c>
      <c r="R189" s="442">
        <f t="shared" si="33"/>
        <v>5</v>
      </c>
      <c r="S189" s="442">
        <f t="shared" si="33"/>
        <v>543</v>
      </c>
      <c r="T189" s="442">
        <f t="shared" si="33"/>
        <v>19</v>
      </c>
      <c r="U189" s="442">
        <f t="shared" si="33"/>
        <v>12461</v>
      </c>
      <c r="V189" s="442">
        <f>SUM(V190:V203)</f>
        <v>7</v>
      </c>
      <c r="W189" s="442">
        <f>SUM(W190:W203)</f>
        <v>8701</v>
      </c>
      <c r="X189" s="442">
        <f t="shared" si="33"/>
        <v>0</v>
      </c>
      <c r="Y189" s="442">
        <f t="shared" si="33"/>
        <v>0</v>
      </c>
      <c r="Z189" s="428">
        <f t="shared" si="31"/>
        <v>52</v>
      </c>
      <c r="AA189" s="428">
        <f t="shared" si="32"/>
        <v>25832</v>
      </c>
    </row>
    <row r="190" spans="1:27">
      <c r="A190" s="424" t="s">
        <v>146</v>
      </c>
      <c r="B190" s="421"/>
      <c r="C190" s="421"/>
      <c r="D190" s="421">
        <v>0</v>
      </c>
      <c r="E190" s="421">
        <v>0</v>
      </c>
      <c r="F190" s="421">
        <v>0</v>
      </c>
      <c r="G190" s="421"/>
      <c r="H190" s="421">
        <v>0</v>
      </c>
      <c r="I190" s="421">
        <v>0</v>
      </c>
      <c r="J190" s="422">
        <v>0</v>
      </c>
      <c r="K190" s="423">
        <v>0</v>
      </c>
      <c r="L190" s="421">
        <v>0</v>
      </c>
      <c r="M190" s="421">
        <v>0</v>
      </c>
      <c r="N190" s="421">
        <v>0</v>
      </c>
      <c r="O190" s="421">
        <v>0</v>
      </c>
      <c r="P190" s="421">
        <v>0</v>
      </c>
      <c r="Q190" s="421">
        <v>0</v>
      </c>
      <c r="R190" s="421">
        <v>0</v>
      </c>
      <c r="S190" s="421">
        <v>0</v>
      </c>
      <c r="T190" s="421"/>
      <c r="U190" s="421"/>
      <c r="V190" s="421">
        <f>_xlfn.IFNA(VLOOKUP(A190,[3]進出口值表查詢結果!$C$11:$F$68,4,0),-[2]整車!$B$22)</f>
        <v>0</v>
      </c>
      <c r="W190" s="421">
        <f>_xlfn.IFNA(VLOOKUP(A190,[3]進出口值表查詢結果!$C$11:$F$68,3,0),-[2]整車!$B$22)</f>
        <v>0</v>
      </c>
      <c r="X190" s="421">
        <f>_xlfn.IFNA(VLOOKUP(A190,[4]進出口值表查詢結果!$C$11:$F$80,4,0),-[2]整車!$B$22)</f>
        <v>0</v>
      </c>
      <c r="Y190" s="421">
        <f>_xlfn.IFNA(VLOOKUP(A190,[4]進出口值表查詢結果!$C$11:$F$80,3,0),-[2]整車!$B$22)</f>
        <v>0</v>
      </c>
      <c r="Z190" s="415">
        <f t="shared" si="31"/>
        <v>0</v>
      </c>
      <c r="AA190" s="415">
        <f t="shared" si="32"/>
        <v>0</v>
      </c>
    </row>
    <row r="191" spans="1:27">
      <c r="A191" s="426" t="s">
        <v>375</v>
      </c>
      <c r="B191" s="421"/>
      <c r="C191" s="421"/>
      <c r="D191" s="421"/>
      <c r="E191" s="421">
        <v>0</v>
      </c>
      <c r="F191" s="421">
        <v>0</v>
      </c>
      <c r="G191" s="421"/>
      <c r="H191" s="421">
        <v>0</v>
      </c>
      <c r="I191" s="421">
        <v>0</v>
      </c>
      <c r="J191" s="422">
        <v>0</v>
      </c>
      <c r="K191" s="423">
        <v>0</v>
      </c>
      <c r="L191" s="421">
        <v>0</v>
      </c>
      <c r="M191" s="421">
        <v>0</v>
      </c>
      <c r="N191" s="421">
        <v>0</v>
      </c>
      <c r="O191" s="421">
        <v>0</v>
      </c>
      <c r="P191" s="421">
        <v>0</v>
      </c>
      <c r="Q191" s="421">
        <v>0</v>
      </c>
      <c r="R191" s="421">
        <v>0</v>
      </c>
      <c r="S191" s="421">
        <v>0</v>
      </c>
      <c r="T191" s="421"/>
      <c r="U191" s="421"/>
      <c r="V191" s="421">
        <f>_xlfn.IFNA(VLOOKUP(A191,[3]進出口值表查詢結果!$C$11:$F$68,4,0),-[2]整車!$B$22)</f>
        <v>0</v>
      </c>
      <c r="W191" s="421">
        <f>_xlfn.IFNA(VLOOKUP(A191,[3]進出口值表查詢結果!$C$11:$F$68,3,0),-[2]整車!$B$22)</f>
        <v>0</v>
      </c>
      <c r="X191" s="421">
        <f>_xlfn.IFNA(VLOOKUP(A191,[4]進出口值表查詢結果!$C$11:$F$80,4,0),-[2]整車!$B$22)</f>
        <v>0</v>
      </c>
      <c r="Y191" s="421">
        <f>_xlfn.IFNA(VLOOKUP(A191,[4]進出口值表查詢結果!$C$11:$F$80,3,0),-[2]整車!$B$22)</f>
        <v>0</v>
      </c>
      <c r="Z191" s="415">
        <f t="shared" si="31"/>
        <v>0</v>
      </c>
      <c r="AA191" s="415">
        <f t="shared" si="32"/>
        <v>0</v>
      </c>
    </row>
    <row r="192" spans="1:27">
      <c r="A192" s="424" t="s">
        <v>376</v>
      </c>
      <c r="B192" s="421"/>
      <c r="C192" s="421"/>
      <c r="D192" s="421"/>
      <c r="E192" s="421">
        <v>0</v>
      </c>
      <c r="F192" s="421">
        <v>0</v>
      </c>
      <c r="G192" s="421"/>
      <c r="H192" s="421">
        <v>0</v>
      </c>
      <c r="I192" s="421">
        <v>0</v>
      </c>
      <c r="J192" s="422">
        <v>0</v>
      </c>
      <c r="K192" s="423">
        <v>0</v>
      </c>
      <c r="L192" s="421">
        <v>0</v>
      </c>
      <c r="M192" s="421">
        <v>0</v>
      </c>
      <c r="N192" s="421">
        <v>0</v>
      </c>
      <c r="O192" s="421">
        <v>0</v>
      </c>
      <c r="P192" s="421">
        <v>0</v>
      </c>
      <c r="Q192" s="421">
        <v>0</v>
      </c>
      <c r="R192" s="421">
        <v>0</v>
      </c>
      <c r="S192" s="421">
        <v>0</v>
      </c>
      <c r="T192" s="421"/>
      <c r="U192" s="421"/>
      <c r="V192" s="421">
        <f>_xlfn.IFNA(VLOOKUP(A192,[3]進出口值表查詢結果!$C$11:$F$68,4,0),-[2]整車!$B$22)</f>
        <v>0</v>
      </c>
      <c r="W192" s="421">
        <f>_xlfn.IFNA(VLOOKUP(A192,[3]進出口值表查詢結果!$C$11:$F$68,3,0),-[2]整車!$B$22)</f>
        <v>0</v>
      </c>
      <c r="X192" s="421">
        <f>_xlfn.IFNA(VLOOKUP(A192,[4]進出口值表查詢結果!$C$11:$F$80,4,0),-[2]整車!$B$22)</f>
        <v>0</v>
      </c>
      <c r="Y192" s="421">
        <f>_xlfn.IFNA(VLOOKUP(A192,[4]進出口值表查詢結果!$C$11:$F$80,3,0),-[2]整車!$B$22)</f>
        <v>0</v>
      </c>
      <c r="Z192" s="415">
        <f t="shared" si="31"/>
        <v>0</v>
      </c>
      <c r="AA192" s="415">
        <f t="shared" si="32"/>
        <v>0</v>
      </c>
    </row>
    <row r="193" spans="1:27">
      <c r="A193" s="446" t="s">
        <v>377</v>
      </c>
      <c r="B193" s="421"/>
      <c r="C193" s="421"/>
      <c r="D193" s="421"/>
      <c r="E193" s="421">
        <v>0</v>
      </c>
      <c r="F193" s="421">
        <v>0</v>
      </c>
      <c r="G193" s="421"/>
      <c r="H193" s="421">
        <v>10</v>
      </c>
      <c r="I193" s="421">
        <v>1060</v>
      </c>
      <c r="J193" s="422">
        <v>0</v>
      </c>
      <c r="K193" s="423">
        <v>0</v>
      </c>
      <c r="L193" s="421">
        <v>0</v>
      </c>
      <c r="M193" s="421">
        <v>0</v>
      </c>
      <c r="N193" s="421">
        <v>0</v>
      </c>
      <c r="O193" s="421">
        <v>0</v>
      </c>
      <c r="P193" s="421">
        <v>0</v>
      </c>
      <c r="Q193" s="421">
        <v>0</v>
      </c>
      <c r="R193" s="421">
        <v>0</v>
      </c>
      <c r="S193" s="421">
        <v>0</v>
      </c>
      <c r="T193" s="421"/>
      <c r="U193" s="421"/>
      <c r="V193" s="421">
        <f>_xlfn.IFNA(VLOOKUP(A193,[3]進出口值表查詢結果!$C$11:$F$68,4,0),-[2]整車!$B$22)</f>
        <v>0</v>
      </c>
      <c r="W193" s="421">
        <f>_xlfn.IFNA(VLOOKUP(A193,[3]進出口值表查詢結果!$C$11:$F$68,3,0),-[2]整車!$B$22)</f>
        <v>0</v>
      </c>
      <c r="X193" s="421">
        <f>_xlfn.IFNA(VLOOKUP(A193,[4]進出口值表查詢結果!$C$11:$F$80,4,0),-[2]整車!$B$22)</f>
        <v>0</v>
      </c>
      <c r="Y193" s="421">
        <f>_xlfn.IFNA(VLOOKUP(A193,[4]進出口值表查詢結果!$C$11:$F$80,3,0),-[2]整車!$B$22)</f>
        <v>0</v>
      </c>
      <c r="Z193" s="415">
        <f t="shared" si="31"/>
        <v>10</v>
      </c>
      <c r="AA193" s="415">
        <f t="shared" si="32"/>
        <v>1060</v>
      </c>
    </row>
    <row r="194" spans="1:27">
      <c r="A194" s="458" t="s">
        <v>378</v>
      </c>
      <c r="B194" s="421"/>
      <c r="C194" s="421"/>
      <c r="D194" s="421"/>
      <c r="E194" s="421">
        <v>0</v>
      </c>
      <c r="F194" s="421">
        <v>0</v>
      </c>
      <c r="G194" s="421"/>
      <c r="H194" s="421">
        <v>0</v>
      </c>
      <c r="I194" s="421">
        <v>0</v>
      </c>
      <c r="J194" s="422">
        <v>0</v>
      </c>
      <c r="K194" s="423">
        <v>0</v>
      </c>
      <c r="L194" s="421">
        <v>0</v>
      </c>
      <c r="M194" s="421">
        <v>0</v>
      </c>
      <c r="N194" s="421">
        <v>0</v>
      </c>
      <c r="O194" s="421">
        <v>0</v>
      </c>
      <c r="P194" s="421">
        <v>0</v>
      </c>
      <c r="Q194" s="421">
        <v>0</v>
      </c>
      <c r="R194" s="421">
        <v>0</v>
      </c>
      <c r="S194" s="421">
        <v>0</v>
      </c>
      <c r="T194" s="421"/>
      <c r="U194" s="421"/>
      <c r="V194" s="421">
        <f>_xlfn.IFNA(VLOOKUP(A194,[3]進出口值表查詢結果!$C$11:$F$68,4,0),-[2]整車!$B$22)</f>
        <v>0</v>
      </c>
      <c r="W194" s="421">
        <f>_xlfn.IFNA(VLOOKUP(A194,[3]進出口值表查詢結果!$C$11:$F$68,3,0),-[2]整車!$B$22)</f>
        <v>0</v>
      </c>
      <c r="X194" s="421">
        <f>_xlfn.IFNA(VLOOKUP(A194,[4]進出口值表查詢結果!$C$11:$F$80,4,0),-[2]整車!$B$22)</f>
        <v>0</v>
      </c>
      <c r="Y194" s="421">
        <f>_xlfn.IFNA(VLOOKUP(A194,[4]進出口值表查詢結果!$C$11:$F$80,3,0),-[2]整車!$B$22)</f>
        <v>0</v>
      </c>
      <c r="Z194" s="415">
        <f t="shared" si="31"/>
        <v>0</v>
      </c>
      <c r="AA194" s="415">
        <f t="shared" si="32"/>
        <v>0</v>
      </c>
    </row>
    <row r="195" spans="1:27">
      <c r="A195" s="424" t="s">
        <v>147</v>
      </c>
      <c r="B195" s="421"/>
      <c r="C195" s="421"/>
      <c r="D195" s="421"/>
      <c r="E195" s="421">
        <v>0</v>
      </c>
      <c r="F195" s="421">
        <v>0</v>
      </c>
      <c r="G195" s="421"/>
      <c r="H195" s="421">
        <v>0</v>
      </c>
      <c r="I195" s="421">
        <v>0</v>
      </c>
      <c r="J195" s="422">
        <v>0</v>
      </c>
      <c r="K195" s="423">
        <v>0</v>
      </c>
      <c r="L195" s="421">
        <v>0</v>
      </c>
      <c r="M195" s="421">
        <v>0</v>
      </c>
      <c r="N195" s="421">
        <v>0</v>
      </c>
      <c r="O195" s="421">
        <v>0</v>
      </c>
      <c r="P195" s="421">
        <v>0</v>
      </c>
      <c r="Q195" s="421">
        <v>0</v>
      </c>
      <c r="R195" s="421">
        <v>0</v>
      </c>
      <c r="S195" s="421">
        <v>0</v>
      </c>
      <c r="T195" s="421"/>
      <c r="U195" s="421"/>
      <c r="V195" s="421">
        <f>_xlfn.IFNA(VLOOKUP(A195,[3]進出口值表查詢結果!$C$11:$F$68,4,0),-[2]整車!$B$22)</f>
        <v>0</v>
      </c>
      <c r="W195" s="421">
        <f>_xlfn.IFNA(VLOOKUP(A195,[3]進出口值表查詢結果!$C$11:$F$68,3,0),-[2]整車!$B$22)</f>
        <v>0</v>
      </c>
      <c r="X195" s="421">
        <f>_xlfn.IFNA(VLOOKUP(A195,[4]進出口值表查詢結果!$C$11:$F$80,4,0),-[2]整車!$B$22)</f>
        <v>0</v>
      </c>
      <c r="Y195" s="421">
        <f>_xlfn.IFNA(VLOOKUP(A195,[4]進出口值表查詢結果!$C$11:$F$80,3,0),-[2]整車!$B$22)</f>
        <v>0</v>
      </c>
      <c r="Z195" s="415">
        <f t="shared" si="31"/>
        <v>0</v>
      </c>
      <c r="AA195" s="415">
        <f t="shared" si="32"/>
        <v>0</v>
      </c>
    </row>
    <row r="196" spans="1:27">
      <c r="A196" s="458" t="s">
        <v>379</v>
      </c>
      <c r="B196" s="421"/>
      <c r="C196" s="421"/>
      <c r="D196" s="421"/>
      <c r="E196" s="421">
        <v>0</v>
      </c>
      <c r="F196" s="421">
        <v>0</v>
      </c>
      <c r="G196" s="421"/>
      <c r="H196" s="421">
        <v>0</v>
      </c>
      <c r="I196" s="421">
        <v>0</v>
      </c>
      <c r="J196" s="422">
        <v>0</v>
      </c>
      <c r="K196" s="423">
        <v>0</v>
      </c>
      <c r="L196" s="421">
        <v>0</v>
      </c>
      <c r="M196" s="421">
        <v>0</v>
      </c>
      <c r="N196" s="421">
        <v>0</v>
      </c>
      <c r="O196" s="421">
        <v>0</v>
      </c>
      <c r="P196" s="421">
        <v>0</v>
      </c>
      <c r="Q196" s="421">
        <v>0</v>
      </c>
      <c r="R196" s="421">
        <v>0</v>
      </c>
      <c r="S196" s="421">
        <v>0</v>
      </c>
      <c r="T196" s="421">
        <v>19</v>
      </c>
      <c r="U196" s="421">
        <v>12461</v>
      </c>
      <c r="V196" s="421">
        <f>_xlfn.IFNA(VLOOKUP(A196,[3]進出口值表查詢結果!$C$11:$F$68,4,0),-[2]整車!$B$22)</f>
        <v>0</v>
      </c>
      <c r="W196" s="421">
        <f>_xlfn.IFNA(VLOOKUP(A196,[3]進出口值表查詢結果!$C$11:$F$68,3,0),-[2]整車!$B$22)</f>
        <v>0</v>
      </c>
      <c r="X196" s="421">
        <f>_xlfn.IFNA(VLOOKUP(A196,[4]進出口值表查詢結果!$C$11:$F$80,4,0),-[2]整車!$B$22)</f>
        <v>0</v>
      </c>
      <c r="Y196" s="421">
        <f>_xlfn.IFNA(VLOOKUP(A196,[4]進出口值表查詢結果!$C$11:$F$80,3,0),-[2]整車!$B$22)</f>
        <v>0</v>
      </c>
      <c r="Z196" s="415">
        <f t="shared" si="31"/>
        <v>19</v>
      </c>
      <c r="AA196" s="415">
        <f t="shared" si="32"/>
        <v>12461</v>
      </c>
    </row>
    <row r="197" spans="1:27">
      <c r="A197" s="458" t="s">
        <v>380</v>
      </c>
      <c r="B197" s="421"/>
      <c r="C197" s="421"/>
      <c r="D197" s="421"/>
      <c r="E197" s="421">
        <v>0</v>
      </c>
      <c r="F197" s="421">
        <v>0</v>
      </c>
      <c r="G197" s="421"/>
      <c r="H197" s="421">
        <v>0</v>
      </c>
      <c r="I197" s="421">
        <v>0</v>
      </c>
      <c r="J197" s="422">
        <v>0</v>
      </c>
      <c r="K197" s="423">
        <v>0</v>
      </c>
      <c r="L197" s="421">
        <v>0</v>
      </c>
      <c r="M197" s="421">
        <v>0</v>
      </c>
      <c r="N197" s="421">
        <v>0</v>
      </c>
      <c r="O197" s="421">
        <v>0</v>
      </c>
      <c r="P197" s="421">
        <v>0</v>
      </c>
      <c r="Q197" s="421">
        <v>0</v>
      </c>
      <c r="R197" s="421">
        <v>0</v>
      </c>
      <c r="S197" s="421">
        <v>0</v>
      </c>
      <c r="T197" s="421"/>
      <c r="U197" s="421"/>
      <c r="V197" s="421">
        <f>_xlfn.IFNA(VLOOKUP(A197,[3]進出口值表查詢結果!$C$11:$F$68,4,0),-[2]整車!$B$22)</f>
        <v>0</v>
      </c>
      <c r="W197" s="421">
        <f>_xlfn.IFNA(VLOOKUP(A197,[3]進出口值表查詢結果!$C$11:$F$68,3,0),-[2]整車!$B$22)</f>
        <v>0</v>
      </c>
      <c r="X197" s="421">
        <f>_xlfn.IFNA(VLOOKUP(A197,[4]進出口值表查詢結果!$C$11:$F$80,4,0),-[2]整車!$B$22)</f>
        <v>0</v>
      </c>
      <c r="Y197" s="421">
        <f>_xlfn.IFNA(VLOOKUP(A197,[4]進出口值表查詢結果!$C$11:$F$80,3,0),-[2]整車!$B$22)</f>
        <v>0</v>
      </c>
      <c r="Z197" s="415">
        <f t="shared" si="31"/>
        <v>0</v>
      </c>
      <c r="AA197" s="415">
        <f t="shared" si="32"/>
        <v>0</v>
      </c>
    </row>
    <row r="198" spans="1:27">
      <c r="A198" s="458" t="s">
        <v>381</v>
      </c>
      <c r="B198" s="421"/>
      <c r="C198" s="421"/>
      <c r="D198" s="421"/>
      <c r="E198" s="421">
        <v>0</v>
      </c>
      <c r="F198" s="421">
        <v>0</v>
      </c>
      <c r="G198" s="421"/>
      <c r="H198" s="421">
        <v>0</v>
      </c>
      <c r="I198" s="421">
        <v>0</v>
      </c>
      <c r="J198" s="422">
        <v>0</v>
      </c>
      <c r="K198" s="423">
        <v>0</v>
      </c>
      <c r="L198" s="421">
        <v>0</v>
      </c>
      <c r="M198" s="421">
        <v>0</v>
      </c>
      <c r="N198" s="421">
        <v>0</v>
      </c>
      <c r="O198" s="421">
        <v>0</v>
      </c>
      <c r="P198" s="421">
        <v>0</v>
      </c>
      <c r="Q198" s="421">
        <v>0</v>
      </c>
      <c r="R198" s="421">
        <v>0</v>
      </c>
      <c r="S198" s="421">
        <v>0</v>
      </c>
      <c r="T198" s="421"/>
      <c r="U198" s="421"/>
      <c r="V198" s="421">
        <f>_xlfn.IFNA(VLOOKUP(A198,[3]進出口值表查詢結果!$C$11:$F$68,4,0),-[2]整車!$B$22)</f>
        <v>0</v>
      </c>
      <c r="W198" s="421">
        <f>_xlfn.IFNA(VLOOKUP(A198,[3]進出口值表查詢結果!$C$11:$F$68,3,0),-[2]整車!$B$22)</f>
        <v>0</v>
      </c>
      <c r="X198" s="421">
        <f>_xlfn.IFNA(VLOOKUP(A198,[4]進出口值表查詢結果!$C$11:$F$80,4,0),-[2]整車!$B$22)</f>
        <v>0</v>
      </c>
      <c r="Y198" s="421">
        <f>_xlfn.IFNA(VLOOKUP(A198,[4]進出口值表查詢結果!$C$11:$F$80,3,0),-[2]整車!$B$22)</f>
        <v>0</v>
      </c>
      <c r="Z198" s="415">
        <f t="shared" si="31"/>
        <v>0</v>
      </c>
      <c r="AA198" s="415">
        <f t="shared" si="32"/>
        <v>0</v>
      </c>
    </row>
    <row r="199" spans="1:27">
      <c r="A199" s="458" t="s">
        <v>400</v>
      </c>
      <c r="B199" s="421"/>
      <c r="C199" s="421"/>
      <c r="D199" s="421"/>
      <c r="E199" s="421">
        <v>0</v>
      </c>
      <c r="F199" s="421">
        <v>0</v>
      </c>
      <c r="G199" s="421"/>
      <c r="H199" s="421">
        <v>0</v>
      </c>
      <c r="I199" s="421">
        <v>0</v>
      </c>
      <c r="J199" s="422" t="s">
        <v>59</v>
      </c>
      <c r="K199" s="423">
        <v>0</v>
      </c>
      <c r="L199" s="421">
        <v>10</v>
      </c>
      <c r="M199" s="421">
        <v>1039</v>
      </c>
      <c r="N199" s="421">
        <v>0</v>
      </c>
      <c r="O199" s="421">
        <v>0</v>
      </c>
      <c r="P199" s="421">
        <v>0</v>
      </c>
      <c r="Q199" s="421">
        <v>0</v>
      </c>
      <c r="R199" s="421">
        <v>5</v>
      </c>
      <c r="S199" s="421">
        <v>543</v>
      </c>
      <c r="T199" s="421"/>
      <c r="U199" s="421"/>
      <c r="V199" s="421">
        <f>_xlfn.IFNA(VLOOKUP(A199,[3]進出口值表查詢結果!$C$11:$F$68,4,0),-[2]整車!$B$22)</f>
        <v>2</v>
      </c>
      <c r="W199" s="421">
        <f>_xlfn.IFNA(VLOOKUP(A199,[3]進出口值表查詢結果!$C$11:$F$68,3,0),-[2]整車!$B$22)</f>
        <v>763</v>
      </c>
      <c r="X199" s="421">
        <f>_xlfn.IFNA(VLOOKUP(A199,[4]進出口值表查詢結果!$C$11:$F$80,4,0),-[2]整車!$B$22)</f>
        <v>0</v>
      </c>
      <c r="Y199" s="421">
        <f>_xlfn.IFNA(VLOOKUP(A199,[4]進出口值表查詢結果!$C$11:$F$80,3,0),-[2]整車!$B$22)</f>
        <v>0</v>
      </c>
      <c r="Z199" s="415">
        <f t="shared" si="31"/>
        <v>17</v>
      </c>
      <c r="AA199" s="415">
        <f t="shared" si="32"/>
        <v>2345</v>
      </c>
    </row>
    <row r="200" spans="1:27">
      <c r="A200" s="424" t="s">
        <v>148</v>
      </c>
      <c r="B200" s="421"/>
      <c r="C200" s="421"/>
      <c r="D200" s="421"/>
      <c r="E200" s="421">
        <v>0</v>
      </c>
      <c r="F200" s="421">
        <v>0</v>
      </c>
      <c r="G200" s="421"/>
      <c r="H200" s="421">
        <v>0</v>
      </c>
      <c r="I200" s="421">
        <v>0</v>
      </c>
      <c r="J200" s="422">
        <v>0</v>
      </c>
      <c r="K200" s="423">
        <v>0</v>
      </c>
      <c r="L200" s="421">
        <v>0</v>
      </c>
      <c r="M200" s="421">
        <v>0</v>
      </c>
      <c r="N200" s="421">
        <v>1</v>
      </c>
      <c r="O200" s="421">
        <v>2028</v>
      </c>
      <c r="P200" s="421">
        <v>0</v>
      </c>
      <c r="Q200" s="421">
        <v>0</v>
      </c>
      <c r="R200" s="421">
        <v>0</v>
      </c>
      <c r="S200" s="421">
        <v>0</v>
      </c>
      <c r="T200" s="421"/>
      <c r="U200" s="421"/>
      <c r="V200" s="421">
        <f>_xlfn.IFNA(VLOOKUP(A200,[3]進出口值表查詢結果!$C$11:$F$68,4,0),-[2]整車!$B$22)</f>
        <v>0</v>
      </c>
      <c r="W200" s="421">
        <f>_xlfn.IFNA(VLOOKUP(A200,[3]進出口值表查詢結果!$C$11:$F$68,3,0),-[2]整車!$B$22)</f>
        <v>0</v>
      </c>
      <c r="X200" s="421">
        <f>_xlfn.IFNA(VLOOKUP(A200,[4]進出口值表查詢結果!$C$11:$F$80,4,0),-[2]整車!$B$22)</f>
        <v>0</v>
      </c>
      <c r="Y200" s="421">
        <f>_xlfn.IFNA(VLOOKUP(A200,[4]進出口值表查詢結果!$C$11:$F$80,3,0),-[2]整車!$B$22)</f>
        <v>0</v>
      </c>
      <c r="Z200" s="415">
        <f t="shared" si="31"/>
        <v>1</v>
      </c>
      <c r="AA200" s="415">
        <f t="shared" si="32"/>
        <v>2028</v>
      </c>
    </row>
    <row r="201" spans="1:27">
      <c r="A201" s="462" t="s">
        <v>382</v>
      </c>
      <c r="B201" s="421"/>
      <c r="C201" s="421"/>
      <c r="D201" s="421"/>
      <c r="E201" s="421"/>
      <c r="F201" s="421"/>
      <c r="G201" s="421"/>
      <c r="H201" s="421">
        <v>0</v>
      </c>
      <c r="I201" s="421">
        <v>0</v>
      </c>
      <c r="J201" s="422" t="s">
        <v>59</v>
      </c>
      <c r="K201" s="423"/>
      <c r="L201" s="421">
        <v>0</v>
      </c>
      <c r="M201" s="421">
        <v>0</v>
      </c>
      <c r="N201" s="421">
        <v>0</v>
      </c>
      <c r="O201" s="421">
        <v>0</v>
      </c>
      <c r="P201" s="421">
        <v>0</v>
      </c>
      <c r="Q201" s="421">
        <v>0</v>
      </c>
      <c r="R201" s="421">
        <v>0</v>
      </c>
      <c r="S201" s="421">
        <v>0</v>
      </c>
      <c r="T201" s="421"/>
      <c r="U201" s="421"/>
      <c r="V201" s="421">
        <f>_xlfn.IFNA(VLOOKUP(A201,[3]進出口值表查詢結果!$C$11:$F$68,4,0),-[2]整車!$B$22)</f>
        <v>0</v>
      </c>
      <c r="W201" s="421">
        <f>_xlfn.IFNA(VLOOKUP(A201,[3]進出口值表查詢結果!$C$11:$F$68,3,0),-[2]整車!$B$22)</f>
        <v>0</v>
      </c>
      <c r="X201" s="421">
        <f>_xlfn.IFNA(VLOOKUP(A201,[4]進出口值表查詢結果!$C$11:$F$80,4,0),-[2]整車!$B$22)</f>
        <v>0</v>
      </c>
      <c r="Y201" s="421">
        <f>_xlfn.IFNA(VLOOKUP(A201,[4]進出口值表查詢結果!$C$11:$F$80,3,0),-[2]整車!$B$22)</f>
        <v>0</v>
      </c>
      <c r="Z201" s="415"/>
      <c r="AA201" s="415"/>
    </row>
    <row r="202" spans="1:27">
      <c r="A202" s="458" t="s">
        <v>401</v>
      </c>
      <c r="B202" s="421"/>
      <c r="C202" s="421"/>
      <c r="D202" s="421"/>
      <c r="E202" s="421"/>
      <c r="F202" s="421"/>
      <c r="G202" s="421"/>
      <c r="H202" s="421">
        <v>0</v>
      </c>
      <c r="I202" s="421">
        <v>0</v>
      </c>
      <c r="J202" s="422" t="s">
        <v>59</v>
      </c>
      <c r="K202" s="423"/>
      <c r="L202" s="421">
        <v>0</v>
      </c>
      <c r="M202" s="421">
        <v>0</v>
      </c>
      <c r="N202" s="421">
        <v>0</v>
      </c>
      <c r="O202" s="421">
        <v>0</v>
      </c>
      <c r="P202" s="421">
        <v>0</v>
      </c>
      <c r="Q202" s="421">
        <v>0</v>
      </c>
      <c r="R202" s="421">
        <v>0</v>
      </c>
      <c r="S202" s="421">
        <v>0</v>
      </c>
      <c r="T202" s="421"/>
      <c r="U202" s="421"/>
      <c r="V202" s="421">
        <f>_xlfn.IFNA(VLOOKUP(A202,[3]進出口值表查詢結果!$C$11:$F$68,4,0),-[2]整車!$B$22)</f>
        <v>5</v>
      </c>
      <c r="W202" s="421">
        <f>_xlfn.IFNA(VLOOKUP(A202,[3]進出口值表查詢結果!$C$11:$F$68,3,0),-[2]整車!$B$22)</f>
        <v>7938</v>
      </c>
      <c r="X202" s="421">
        <f>_xlfn.IFNA(VLOOKUP(A202,[4]進出口值表查詢結果!$C$11:$F$80,4,0),-[2]整車!$B$22)</f>
        <v>0</v>
      </c>
      <c r="Y202" s="421">
        <f>_xlfn.IFNA(VLOOKUP(A202,[4]進出口值表查詢結果!$C$11:$F$80,3,0),-[2]整車!$B$22)</f>
        <v>0</v>
      </c>
      <c r="Z202" s="415"/>
      <c r="AA202" s="415"/>
    </row>
    <row r="203" spans="1:27">
      <c r="A203" s="462" t="s">
        <v>402</v>
      </c>
      <c r="B203" s="421"/>
      <c r="C203" s="421"/>
      <c r="D203" s="447">
        <v>0</v>
      </c>
      <c r="E203" s="421">
        <v>0</v>
      </c>
      <c r="F203" s="421">
        <v>0</v>
      </c>
      <c r="G203" s="448"/>
      <c r="H203" s="421">
        <v>0</v>
      </c>
      <c r="I203" s="421">
        <v>0</v>
      </c>
      <c r="J203" s="422">
        <v>0</v>
      </c>
      <c r="K203" s="423">
        <v>0</v>
      </c>
      <c r="L203" s="421">
        <v>0</v>
      </c>
      <c r="M203" s="421">
        <v>0</v>
      </c>
      <c r="N203" s="421">
        <v>0</v>
      </c>
      <c r="O203" s="421">
        <v>0</v>
      </c>
      <c r="P203" s="421">
        <v>0</v>
      </c>
      <c r="Q203" s="421">
        <v>0</v>
      </c>
      <c r="R203" s="421">
        <v>0</v>
      </c>
      <c r="S203" s="421">
        <v>0</v>
      </c>
      <c r="T203" s="421">
        <v>0</v>
      </c>
      <c r="U203" s="421">
        <v>0</v>
      </c>
      <c r="V203" s="421">
        <f>_xlfn.IFNA(VLOOKUP(A203,[3]進出口值表查詢結果!$C$11:$F$68,4,0),-[2]整車!$B$22)</f>
        <v>0</v>
      </c>
      <c r="W203" s="421">
        <f>_xlfn.IFNA(VLOOKUP(A203,[3]進出口值表查詢結果!$C$11:$F$68,3,0),-[2]整車!$B$22)</f>
        <v>0</v>
      </c>
      <c r="X203" s="421">
        <f>_xlfn.IFNA(VLOOKUP(A203,[4]進出口值表查詢結果!$C$11:$F$80,4,0),-[2]整車!$B$22)</f>
        <v>0</v>
      </c>
      <c r="Y203" s="421">
        <f>_xlfn.IFNA(VLOOKUP(A203,[4]進出口值表查詢結果!$C$11:$F$80,3,0),-[2]整車!$B$22)</f>
        <v>0</v>
      </c>
      <c r="Z203" s="421">
        <f>SUM(B203,D203,F203,H203,J203,L203,N203,P203,R203,T203,V203,X203)</f>
        <v>0</v>
      </c>
      <c r="AA203" s="421">
        <f>SUM(C203,E203,G203,I203,K203,M203,O203,Q203,S203,U203,W203,Y203)</f>
        <v>0</v>
      </c>
    </row>
    <row r="204" spans="1:27">
      <c r="A204" s="397"/>
      <c r="B204" s="560" t="s">
        <v>149</v>
      </c>
      <c r="C204" s="561"/>
      <c r="D204" s="398" t="s">
        <v>125</v>
      </c>
      <c r="E204" s="399"/>
      <c r="F204" s="398" t="s">
        <v>126</v>
      </c>
      <c r="G204" s="399"/>
      <c r="H204" s="398" t="s">
        <v>127</v>
      </c>
      <c r="I204" s="399"/>
      <c r="J204" s="400" t="s">
        <v>128</v>
      </c>
      <c r="K204" s="401"/>
      <c r="L204" s="398" t="s">
        <v>129</v>
      </c>
      <c r="M204" s="399"/>
      <c r="N204" s="398" t="s">
        <v>130</v>
      </c>
      <c r="O204" s="399"/>
      <c r="P204" s="398" t="s">
        <v>131</v>
      </c>
      <c r="Q204" s="399"/>
      <c r="R204" s="398" t="s">
        <v>132</v>
      </c>
      <c r="S204" s="399"/>
      <c r="T204" s="398" t="s">
        <v>133</v>
      </c>
      <c r="U204" s="399"/>
      <c r="V204" s="398" t="s">
        <v>134</v>
      </c>
      <c r="W204" s="399"/>
      <c r="X204" s="398" t="s">
        <v>135</v>
      </c>
      <c r="Y204" s="399"/>
      <c r="Z204" s="560" t="s">
        <v>107</v>
      </c>
      <c r="AA204" s="561"/>
    </row>
    <row r="205" spans="1:27">
      <c r="A205" s="449" t="s">
        <v>150</v>
      </c>
      <c r="B205" s="403" t="s">
        <v>137</v>
      </c>
      <c r="C205" s="403" t="s">
        <v>138</v>
      </c>
      <c r="D205" s="403" t="s">
        <v>139</v>
      </c>
      <c r="E205" s="403" t="s">
        <v>140</v>
      </c>
      <c r="F205" s="403" t="s">
        <v>139</v>
      </c>
      <c r="G205" s="403" t="s">
        <v>140</v>
      </c>
      <c r="H205" s="403" t="s">
        <v>139</v>
      </c>
      <c r="I205" s="403" t="s">
        <v>140</v>
      </c>
      <c r="J205" s="404" t="s">
        <v>139</v>
      </c>
      <c r="K205" s="405" t="s">
        <v>140</v>
      </c>
      <c r="L205" s="403" t="s">
        <v>139</v>
      </c>
      <c r="M205" s="403" t="s">
        <v>140</v>
      </c>
      <c r="N205" s="403" t="s">
        <v>139</v>
      </c>
      <c r="O205" s="403" t="s">
        <v>140</v>
      </c>
      <c r="P205" s="403" t="s">
        <v>139</v>
      </c>
      <c r="Q205" s="403" t="s">
        <v>140</v>
      </c>
      <c r="R205" s="403" t="s">
        <v>139</v>
      </c>
      <c r="S205" s="403" t="s">
        <v>140</v>
      </c>
      <c r="T205" s="403" t="s">
        <v>139</v>
      </c>
      <c r="U205" s="403" t="s">
        <v>140</v>
      </c>
      <c r="V205" s="403" t="s">
        <v>139</v>
      </c>
      <c r="W205" s="403" t="s">
        <v>140</v>
      </c>
      <c r="X205" s="403" t="s">
        <v>139</v>
      </c>
      <c r="Y205" s="403" t="s">
        <v>140</v>
      </c>
      <c r="Z205" s="403" t="s">
        <v>139</v>
      </c>
      <c r="AA205" s="403" t="s">
        <v>140</v>
      </c>
    </row>
    <row r="206" spans="1:27">
      <c r="A206" s="402" t="s">
        <v>151</v>
      </c>
      <c r="B206" s="421">
        <v>6025</v>
      </c>
      <c r="C206" s="421">
        <v>1562479</v>
      </c>
      <c r="D206" s="421">
        <v>5953</v>
      </c>
      <c r="E206" s="421">
        <v>1186109</v>
      </c>
      <c r="F206" s="421">
        <v>5066</v>
      </c>
      <c r="G206" s="421">
        <v>1570229</v>
      </c>
      <c r="H206" s="421">
        <v>7242</v>
      </c>
      <c r="I206" s="421">
        <v>1397285</v>
      </c>
      <c r="J206" s="422">
        <v>9565</v>
      </c>
      <c r="K206" s="423">
        <v>2314635</v>
      </c>
      <c r="L206" s="421">
        <v>11407</v>
      </c>
      <c r="M206" s="421">
        <v>2211195</v>
      </c>
      <c r="N206" s="421">
        <v>8718</v>
      </c>
      <c r="O206" s="421">
        <v>1911196</v>
      </c>
      <c r="P206" s="421"/>
      <c r="Q206" s="421"/>
      <c r="R206" s="421"/>
      <c r="S206" s="421"/>
      <c r="T206" s="421"/>
      <c r="U206" s="421"/>
      <c r="V206" s="421"/>
      <c r="W206" s="421"/>
      <c r="X206" s="421"/>
      <c r="Y206" s="421"/>
      <c r="Z206" s="421">
        <f>SUM(B206,D206,F206,H206,J206,L206,N206,P206,R206,T206,V206,X206)</f>
        <v>53976</v>
      </c>
      <c r="AA206" s="415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"/>
  <sheetViews>
    <sheetView workbookViewId="0">
      <selection activeCell="A2" sqref="A2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82" t="s">
        <v>474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38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39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40</v>
      </c>
      <c r="B5" s="119" t="s">
        <v>41</v>
      </c>
      <c r="C5" s="120" t="s">
        <v>42</v>
      </c>
      <c r="D5" s="119" t="s">
        <v>43</v>
      </c>
      <c r="E5" s="119" t="s">
        <v>44</v>
      </c>
      <c r="F5" s="119" t="s">
        <v>45</v>
      </c>
      <c r="G5" s="119" t="s">
        <v>46</v>
      </c>
      <c r="H5" s="119" t="s">
        <v>47</v>
      </c>
      <c r="I5" s="119" t="s">
        <v>48</v>
      </c>
      <c r="J5" s="119" t="s">
        <v>49</v>
      </c>
      <c r="K5" s="5"/>
      <c r="L5" s="5"/>
      <c r="M5" s="5"/>
      <c r="N5" s="5"/>
    </row>
    <row r="6" spans="1:14" s="121" customFormat="1">
      <c r="A6" s="122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>SUM(C7:I7)</f>
        <v>162493</v>
      </c>
      <c r="C7" s="379">
        <v>54703</v>
      </c>
      <c r="D7" s="379">
        <v>75533</v>
      </c>
      <c r="E7" s="380">
        <v>19471</v>
      </c>
      <c r="F7" s="379">
        <v>3320</v>
      </c>
      <c r="G7" s="379">
        <v>705</v>
      </c>
      <c r="H7" s="379">
        <v>8248</v>
      </c>
      <c r="I7" s="380">
        <v>513</v>
      </c>
      <c r="J7" s="380"/>
    </row>
    <row r="8" spans="1:14">
      <c r="A8" s="126"/>
      <c r="B8" s="27">
        <f>SUM(C8:I8)</f>
        <v>151997099</v>
      </c>
      <c r="C8" s="379">
        <v>56124187</v>
      </c>
      <c r="D8" s="381">
        <v>57956348</v>
      </c>
      <c r="E8" s="379">
        <v>18004543</v>
      </c>
      <c r="F8" s="381">
        <v>5802647</v>
      </c>
      <c r="G8" s="381">
        <v>909998</v>
      </c>
      <c r="H8" s="381">
        <v>11974996</v>
      </c>
      <c r="I8" s="379">
        <v>1224380</v>
      </c>
      <c r="J8" s="379"/>
    </row>
    <row r="9" spans="1:14">
      <c r="A9" s="125">
        <v>2</v>
      </c>
      <c r="B9" s="27">
        <f>SUM(C9:J9)</f>
        <v>115013</v>
      </c>
      <c r="C9" s="379">
        <v>38869</v>
      </c>
      <c r="D9" s="379">
        <v>44134</v>
      </c>
      <c r="E9" s="379">
        <v>23805</v>
      </c>
      <c r="F9" s="379">
        <v>2717</v>
      </c>
      <c r="G9" s="379">
        <v>514</v>
      </c>
      <c r="H9" s="379">
        <v>4534</v>
      </c>
      <c r="I9" s="379">
        <v>440</v>
      </c>
      <c r="J9" s="379"/>
    </row>
    <row r="10" spans="1:14">
      <c r="A10" s="126"/>
      <c r="B10" s="27">
        <f t="shared" ref="B10:B16" si="0">SUM(C10:I10)</f>
        <v>109496132</v>
      </c>
      <c r="C10" s="381">
        <v>39857934</v>
      </c>
      <c r="D10" s="490">
        <v>40045090</v>
      </c>
      <c r="E10" s="381">
        <v>17929546</v>
      </c>
      <c r="F10" s="381">
        <v>3876252</v>
      </c>
      <c r="G10" s="381">
        <v>414507</v>
      </c>
      <c r="H10" s="381">
        <v>6621595</v>
      </c>
      <c r="I10" s="381">
        <v>751208</v>
      </c>
      <c r="J10" s="381"/>
    </row>
    <row r="11" spans="1:14">
      <c r="A11" s="125">
        <v>3</v>
      </c>
      <c r="B11" s="27">
        <f t="shared" si="0"/>
        <v>134607</v>
      </c>
      <c r="C11" s="379">
        <v>52446</v>
      </c>
      <c r="D11" s="379">
        <v>48089</v>
      </c>
      <c r="E11" s="379">
        <v>24299</v>
      </c>
      <c r="F11" s="379">
        <v>2178</v>
      </c>
      <c r="G11" s="379">
        <v>1114</v>
      </c>
      <c r="H11" s="379">
        <v>6176</v>
      </c>
      <c r="I11" s="379">
        <v>305</v>
      </c>
      <c r="J11" s="379"/>
    </row>
    <row r="12" spans="1:14">
      <c r="A12" s="126"/>
      <c r="B12" s="27">
        <f t="shared" si="0"/>
        <v>122131450</v>
      </c>
      <c r="C12" s="381">
        <v>53609233</v>
      </c>
      <c r="D12" s="381">
        <v>34813313</v>
      </c>
      <c r="E12" s="381">
        <v>20000952</v>
      </c>
      <c r="F12" s="381">
        <v>3320479</v>
      </c>
      <c r="G12" s="381">
        <v>1237260</v>
      </c>
      <c r="H12" s="381">
        <v>8716292</v>
      </c>
      <c r="I12" s="381">
        <v>433921</v>
      </c>
      <c r="J12" s="381"/>
      <c r="L12" s="489"/>
    </row>
    <row r="13" spans="1:14">
      <c r="A13" s="125">
        <v>4</v>
      </c>
      <c r="B13" s="27">
        <f t="shared" si="0"/>
        <v>133349</v>
      </c>
      <c r="C13" s="380">
        <v>52312</v>
      </c>
      <c r="D13" s="380">
        <v>53119</v>
      </c>
      <c r="E13" s="380">
        <v>21561</v>
      </c>
      <c r="F13" s="380">
        <v>2379</v>
      </c>
      <c r="G13" s="380">
        <v>478</v>
      </c>
      <c r="H13" s="380">
        <v>3103</v>
      </c>
      <c r="I13" s="380">
        <v>397</v>
      </c>
      <c r="J13" s="381"/>
    </row>
    <row r="14" spans="1:14">
      <c r="A14" s="126"/>
      <c r="B14" s="27">
        <f t="shared" si="0"/>
        <v>126190344</v>
      </c>
      <c r="C14" s="379">
        <v>54180448</v>
      </c>
      <c r="D14" s="379">
        <v>43860514</v>
      </c>
      <c r="E14" s="379">
        <v>18514393</v>
      </c>
      <c r="F14" s="379">
        <v>3504834</v>
      </c>
      <c r="G14" s="379">
        <v>499801</v>
      </c>
      <c r="H14" s="379">
        <v>4716228</v>
      </c>
      <c r="I14" s="379">
        <v>914126</v>
      </c>
      <c r="J14" s="381"/>
    </row>
    <row r="15" spans="1:14">
      <c r="A15" s="127">
        <v>5</v>
      </c>
      <c r="B15" s="27">
        <f t="shared" si="0"/>
        <v>130700</v>
      </c>
      <c r="C15" s="379">
        <v>55331</v>
      </c>
      <c r="D15" s="379">
        <v>50458</v>
      </c>
      <c r="E15" s="379">
        <v>18326</v>
      </c>
      <c r="F15" s="379">
        <v>2465</v>
      </c>
      <c r="G15" s="379">
        <v>696</v>
      </c>
      <c r="H15" s="379">
        <v>2863</v>
      </c>
      <c r="I15" s="379">
        <v>561</v>
      </c>
      <c r="J15" s="379"/>
    </row>
    <row r="16" spans="1:14">
      <c r="A16" s="127"/>
      <c r="B16" s="27">
        <f t="shared" si="0"/>
        <v>124913855</v>
      </c>
      <c r="C16" s="379">
        <v>48648942</v>
      </c>
      <c r="D16" s="379">
        <v>43908704</v>
      </c>
      <c r="E16" s="379">
        <v>21393330</v>
      </c>
      <c r="F16" s="379">
        <v>4598569</v>
      </c>
      <c r="G16" s="379">
        <v>989028</v>
      </c>
      <c r="H16" s="379">
        <v>4465937</v>
      </c>
      <c r="I16" s="379">
        <v>909345</v>
      </c>
      <c r="J16" s="379"/>
    </row>
    <row r="17" spans="1:10">
      <c r="A17" s="125">
        <v>6</v>
      </c>
      <c r="B17" s="27">
        <f t="shared" ref="B17:B19" si="1">SUM(C17:J17)</f>
        <v>105847</v>
      </c>
      <c r="C17" s="379">
        <v>46071</v>
      </c>
      <c r="D17" s="379">
        <v>37241</v>
      </c>
      <c r="E17" s="379">
        <v>16344</v>
      </c>
      <c r="F17" s="379">
        <v>862</v>
      </c>
      <c r="G17" s="379">
        <v>149</v>
      </c>
      <c r="H17" s="379">
        <v>4462</v>
      </c>
      <c r="I17" s="379">
        <v>674</v>
      </c>
      <c r="J17" s="381">
        <v>44</v>
      </c>
    </row>
    <row r="18" spans="1:10">
      <c r="A18" s="126"/>
      <c r="B18" s="27">
        <f>SUM(C18:J18)</f>
        <v>117464564</v>
      </c>
      <c r="C18" s="379">
        <v>48748874</v>
      </c>
      <c r="D18" s="379">
        <v>39062607</v>
      </c>
      <c r="E18" s="379">
        <v>19430298</v>
      </c>
      <c r="F18" s="379">
        <v>1703615</v>
      </c>
      <c r="G18" s="379">
        <v>305336</v>
      </c>
      <c r="H18" s="379">
        <v>6757666</v>
      </c>
      <c r="I18" s="379">
        <v>1431338</v>
      </c>
      <c r="J18" s="381">
        <v>24830</v>
      </c>
    </row>
    <row r="19" spans="1:10">
      <c r="A19" s="125">
        <v>7</v>
      </c>
      <c r="B19" s="27">
        <f t="shared" si="1"/>
        <v>104885</v>
      </c>
      <c r="C19" s="379">
        <v>40991</v>
      </c>
      <c r="D19" s="379">
        <v>37758</v>
      </c>
      <c r="E19" s="379">
        <v>20200</v>
      </c>
      <c r="F19" s="379">
        <v>883</v>
      </c>
      <c r="G19" s="379">
        <v>472</v>
      </c>
      <c r="H19" s="379">
        <v>4155</v>
      </c>
      <c r="I19" s="379">
        <v>426</v>
      </c>
      <c r="J19" s="381">
        <v>0</v>
      </c>
    </row>
    <row r="20" spans="1:10">
      <c r="A20" s="126"/>
      <c r="B20" s="27">
        <f>SUM(C20:J20)</f>
        <v>119683695</v>
      </c>
      <c r="C20" s="379">
        <v>44847291</v>
      </c>
      <c r="D20" s="379">
        <v>39093833</v>
      </c>
      <c r="E20" s="379">
        <v>25504322</v>
      </c>
      <c r="F20" s="379">
        <v>1764461</v>
      </c>
      <c r="G20" s="379">
        <v>564750</v>
      </c>
      <c r="H20" s="379">
        <v>7032602</v>
      </c>
      <c r="I20" s="379">
        <v>876436</v>
      </c>
      <c r="J20" s="381">
        <v>0</v>
      </c>
    </row>
    <row r="21" spans="1:10">
      <c r="A21" s="125">
        <v>8</v>
      </c>
      <c r="B21" s="27">
        <f>SUM(C21:I21)</f>
        <v>110278</v>
      </c>
      <c r="C21" s="379">
        <v>37503</v>
      </c>
      <c r="D21" s="379">
        <v>44234</v>
      </c>
      <c r="E21" s="379">
        <v>21080</v>
      </c>
      <c r="F21" s="379">
        <v>2388</v>
      </c>
      <c r="G21" s="379">
        <v>948</v>
      </c>
      <c r="H21" s="379">
        <v>3848</v>
      </c>
      <c r="I21" s="379">
        <v>277</v>
      </c>
      <c r="J21" s="379"/>
    </row>
    <row r="22" spans="1:10">
      <c r="A22" s="126"/>
      <c r="B22" s="27">
        <f>SUM(C22:I22)</f>
        <v>131898144</v>
      </c>
      <c r="C22" s="379">
        <v>47293836</v>
      </c>
      <c r="D22" s="379">
        <v>50539476</v>
      </c>
      <c r="E22" s="379">
        <v>23186846</v>
      </c>
      <c r="F22" s="379">
        <v>3758629</v>
      </c>
      <c r="G22" s="379">
        <v>1196093</v>
      </c>
      <c r="H22" s="379">
        <v>5583219</v>
      </c>
      <c r="I22" s="379">
        <v>340045</v>
      </c>
      <c r="J22" s="379"/>
    </row>
    <row r="23" spans="1:10">
      <c r="A23" s="125">
        <v>9</v>
      </c>
      <c r="B23" s="27">
        <f>SUM(C23:J23)</f>
        <v>92961</v>
      </c>
      <c r="C23" s="27">
        <v>35665</v>
      </c>
      <c r="D23" s="27">
        <v>33568</v>
      </c>
      <c r="E23" s="27">
        <v>16535</v>
      </c>
      <c r="F23" s="27">
        <v>1392</v>
      </c>
      <c r="G23" s="27">
        <v>720</v>
      </c>
      <c r="H23" s="27">
        <v>4700</v>
      </c>
      <c r="I23" s="27">
        <v>381</v>
      </c>
      <c r="J23" s="27"/>
    </row>
    <row r="24" spans="1:10">
      <c r="A24" s="126"/>
      <c r="B24" s="27">
        <f>SUM(C24:J24)</f>
        <v>107794928</v>
      </c>
      <c r="C24" s="27">
        <v>37501438</v>
      </c>
      <c r="D24" s="27">
        <v>38620355</v>
      </c>
      <c r="E24" s="27">
        <v>21772820</v>
      </c>
      <c r="F24" s="27">
        <v>2573158</v>
      </c>
      <c r="G24" s="27">
        <v>984728</v>
      </c>
      <c r="H24" s="27">
        <v>5649138</v>
      </c>
      <c r="I24" s="27">
        <v>693291</v>
      </c>
      <c r="J24" s="27"/>
    </row>
    <row r="25" spans="1:10">
      <c r="A25" s="125">
        <v>10</v>
      </c>
      <c r="B25" s="27">
        <f>SUM(C25:I25)</f>
        <v>82311</v>
      </c>
      <c r="C25" s="27">
        <v>30467</v>
      </c>
      <c r="D25" s="27">
        <v>25074</v>
      </c>
      <c r="E25" s="27">
        <v>16877</v>
      </c>
      <c r="F25" s="27">
        <v>823</v>
      </c>
      <c r="G25" s="27">
        <v>347</v>
      </c>
      <c r="H25" s="27">
        <v>8519</v>
      </c>
      <c r="I25" s="27">
        <v>204</v>
      </c>
      <c r="J25" s="27"/>
    </row>
    <row r="26" spans="1:10">
      <c r="A26" s="126"/>
      <c r="B26" s="27">
        <f>SUM(C26:J26)</f>
        <v>89508196</v>
      </c>
      <c r="C26" s="27">
        <v>34558347</v>
      </c>
      <c r="D26" s="27">
        <v>27199539</v>
      </c>
      <c r="E26" s="27">
        <v>19506300</v>
      </c>
      <c r="F26" s="27">
        <v>1199814</v>
      </c>
      <c r="G26" s="27">
        <v>62042</v>
      </c>
      <c r="H26" s="27">
        <v>6662787</v>
      </c>
      <c r="I26" s="27">
        <v>319367</v>
      </c>
      <c r="J26" s="27"/>
    </row>
    <row r="27" spans="1:10">
      <c r="A27" s="125">
        <v>11</v>
      </c>
      <c r="B27" s="27">
        <f>SUM(C27:I27)</f>
        <v>77309</v>
      </c>
      <c r="C27" s="27">
        <v>25037</v>
      </c>
      <c r="D27" s="27">
        <v>27368</v>
      </c>
      <c r="E27" s="27">
        <v>18167</v>
      </c>
      <c r="F27" s="27">
        <v>1197</v>
      </c>
      <c r="G27" s="27">
        <v>466</v>
      </c>
      <c r="H27" s="27">
        <v>4528</v>
      </c>
      <c r="I27" s="27">
        <v>546</v>
      </c>
      <c r="J27" s="27"/>
    </row>
    <row r="28" spans="1:10">
      <c r="A28" s="126"/>
      <c r="B28" s="27">
        <f>SUM(C28:I28)</f>
        <v>91145450</v>
      </c>
      <c r="C28" s="27">
        <v>29127003</v>
      </c>
      <c r="D28" s="27">
        <v>30242536</v>
      </c>
      <c r="E28" s="27">
        <v>20766883</v>
      </c>
      <c r="F28" s="27">
        <v>2279566</v>
      </c>
      <c r="G28" s="27">
        <v>458450</v>
      </c>
      <c r="H28" s="27">
        <v>6808903</v>
      </c>
      <c r="I28" s="517">
        <v>1462109</v>
      </c>
      <c r="J28" s="27"/>
    </row>
    <row r="29" spans="1:10">
      <c r="A29" s="125">
        <v>12</v>
      </c>
      <c r="B29" s="27">
        <f>SUM(C29:J29)</f>
        <v>74129</v>
      </c>
      <c r="C29" s="27">
        <v>18308</v>
      </c>
      <c r="D29" s="27">
        <v>29128</v>
      </c>
      <c r="E29" s="27">
        <v>16528</v>
      </c>
      <c r="F29" s="27">
        <v>1662</v>
      </c>
      <c r="G29" s="27">
        <v>789</v>
      </c>
      <c r="H29" s="27">
        <v>7214</v>
      </c>
      <c r="I29" s="518">
        <v>500</v>
      </c>
      <c r="J29" s="27"/>
    </row>
    <row r="30" spans="1:10">
      <c r="A30" s="126"/>
      <c r="B30" s="27">
        <f>SUM(C30:J30)</f>
        <v>91492950</v>
      </c>
      <c r="C30" s="27">
        <v>24350494</v>
      </c>
      <c r="D30" s="27">
        <v>33459560</v>
      </c>
      <c r="E30" s="27">
        <v>21329061</v>
      </c>
      <c r="F30" s="27">
        <v>2795168</v>
      </c>
      <c r="G30" s="27">
        <v>1222766</v>
      </c>
      <c r="H30" s="27">
        <v>7292085</v>
      </c>
      <c r="I30" s="213">
        <v>1043816</v>
      </c>
      <c r="J30" s="27">
        <v>0</v>
      </c>
    </row>
    <row r="31" spans="1:10" s="114" customFormat="1">
      <c r="A31" s="562" t="s">
        <v>51</v>
      </c>
      <c r="B31" s="33">
        <f>SUM(B7,B9,B11,B13,B15,B17,B19,B21,B23,B25,B27,B29)</f>
        <v>1323882</v>
      </c>
      <c r="C31" s="33">
        <f>SUM(C7+C9+C11+C13+C15+C17+C19+C21+C23+C25+C27+C29)</f>
        <v>487703</v>
      </c>
      <c r="D31" s="33">
        <f t="shared" ref="D31:J31" si="2">SUM(D7+D9+D11+D13+D15+D17+D19+D21+D23+D25+D27+D29)</f>
        <v>505704</v>
      </c>
      <c r="E31" s="33">
        <f t="shared" si="2"/>
        <v>233193</v>
      </c>
      <c r="F31" s="33">
        <f t="shared" si="2"/>
        <v>22266</v>
      </c>
      <c r="G31" s="33">
        <f t="shared" si="2"/>
        <v>7398</v>
      </c>
      <c r="H31" s="33">
        <f t="shared" si="2"/>
        <v>62350</v>
      </c>
      <c r="I31" s="33">
        <f t="shared" si="2"/>
        <v>5224</v>
      </c>
      <c r="J31" s="33">
        <f t="shared" si="2"/>
        <v>44</v>
      </c>
    </row>
    <row r="32" spans="1:10" s="114" customFormat="1">
      <c r="A32" s="559"/>
      <c r="B32" s="33">
        <f>SUM(B8,B10,B12,B14,B16,B18,B20,B22,B24,B26,B28,B30)</f>
        <v>1383716807</v>
      </c>
      <c r="C32" s="33">
        <f t="shared" ref="C32:J32" si="3">SUM(C8,C10,C12,C14,C16,C18,C20,C22,C24,C26,C28,C30)</f>
        <v>518848027</v>
      </c>
      <c r="D32" s="33">
        <f t="shared" si="3"/>
        <v>478801875</v>
      </c>
      <c r="E32" s="33">
        <f t="shared" si="3"/>
        <v>247339294</v>
      </c>
      <c r="F32" s="33">
        <f t="shared" si="3"/>
        <v>37177192</v>
      </c>
      <c r="G32" s="33">
        <f t="shared" si="3"/>
        <v>8844759</v>
      </c>
      <c r="H32" s="33">
        <f t="shared" si="3"/>
        <v>82281448</v>
      </c>
      <c r="I32" s="33">
        <f t="shared" si="3"/>
        <v>10399382</v>
      </c>
      <c r="J32" s="33">
        <f t="shared" si="3"/>
        <v>24830</v>
      </c>
    </row>
    <row r="33" spans="1:10" s="114" customFormat="1">
      <c r="A33" s="498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3" t="s">
        <v>418</v>
      </c>
    </row>
    <row r="35" spans="1:10">
      <c r="D35" s="489"/>
      <c r="E35" s="489"/>
      <c r="F35" s="489"/>
      <c r="G35" s="489"/>
      <c r="H35" s="489"/>
    </row>
    <row r="36" spans="1:10">
      <c r="D36" s="489"/>
      <c r="E36" s="489"/>
      <c r="F36" s="489"/>
      <c r="G36" s="489"/>
      <c r="H36" s="489"/>
    </row>
    <row r="37" spans="1:10">
      <c r="D37" s="489"/>
      <c r="F37" s="489"/>
      <c r="G37" s="489"/>
    </row>
    <row r="38" spans="1:10">
      <c r="D38" s="489"/>
      <c r="E38" s="489"/>
      <c r="G38" s="489"/>
      <c r="H38" s="489"/>
    </row>
    <row r="39" spans="1:10">
      <c r="F39" s="489"/>
      <c r="G39" s="489"/>
      <c r="H39" s="489"/>
    </row>
    <row r="40" spans="1:10">
      <c r="F40" s="489"/>
      <c r="G40" s="489"/>
      <c r="H40" s="489"/>
    </row>
    <row r="41" spans="1:10">
      <c r="G41" s="489"/>
      <c r="H41" s="489"/>
    </row>
    <row r="42" spans="1:10">
      <c r="G42" s="489"/>
      <c r="H42" s="489"/>
    </row>
    <row r="43" spans="1:10">
      <c r="G43" s="489"/>
      <c r="H43" s="489"/>
    </row>
    <row r="44" spans="1:10">
      <c r="G44" s="489"/>
      <c r="H44" s="489"/>
    </row>
    <row r="45" spans="1:10">
      <c r="G45" s="489"/>
      <c r="H45" s="489"/>
    </row>
    <row r="46" spans="1:10">
      <c r="G46" s="489"/>
      <c r="H46" s="489"/>
    </row>
    <row r="47" spans="1:10">
      <c r="G47" s="489"/>
    </row>
    <row r="48" spans="1:10">
      <c r="G48" s="489"/>
      <c r="H48" s="489"/>
    </row>
    <row r="49" spans="7:8">
      <c r="G49" s="489"/>
    </row>
    <row r="50" spans="7:8">
      <c r="G50" s="489"/>
    </row>
    <row r="51" spans="7:8">
      <c r="G51" s="489"/>
    </row>
    <row r="52" spans="7:8">
      <c r="G52" s="489"/>
    </row>
    <row r="53" spans="7:8">
      <c r="G53" s="489"/>
    </row>
    <row r="54" spans="7:8">
      <c r="G54" s="489"/>
    </row>
    <row r="55" spans="7:8">
      <c r="G55" s="489"/>
    </row>
    <row r="56" spans="7:8">
      <c r="G56" s="489"/>
    </row>
    <row r="57" spans="7:8">
      <c r="G57" s="489"/>
    </row>
    <row r="58" spans="7:8">
      <c r="G58" s="489"/>
    </row>
    <row r="59" spans="7:8">
      <c r="G59" s="489"/>
    </row>
    <row r="60" spans="7:8">
      <c r="G60" s="489"/>
    </row>
    <row r="62" spans="7:8">
      <c r="G62" s="489"/>
      <c r="H62" s="489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topLeftCell="A58" workbookViewId="0">
      <selection activeCell="A3" sqref="A3"/>
    </sheetView>
  </sheetViews>
  <sheetFormatPr defaultRowHeight="16.5"/>
  <cols>
    <col min="1" max="1" width="16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3" customFormat="1" ht="19.5">
      <c r="A1" s="182"/>
      <c r="C1" s="184" t="s">
        <v>475</v>
      </c>
    </row>
    <row r="3" spans="1:9" s="7" customFormat="1" ht="15.75">
      <c r="A3" s="111" t="s">
        <v>156</v>
      </c>
      <c r="B3" s="185"/>
      <c r="C3" s="62"/>
      <c r="D3" s="186"/>
      <c r="E3" s="62"/>
      <c r="F3" s="185"/>
      <c r="G3" s="185"/>
      <c r="H3" s="62"/>
      <c r="I3" s="186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7" t="s">
        <v>4</v>
      </c>
    </row>
    <row r="6" spans="1:9" ht="18.600000000000001" customHeight="1">
      <c r="A6" s="170" t="s">
        <v>5</v>
      </c>
      <c r="B6" s="188"/>
      <c r="C6" s="17"/>
      <c r="D6" s="189"/>
      <c r="E6" s="17"/>
      <c r="F6" s="189"/>
      <c r="G6" s="189"/>
      <c r="H6" s="17"/>
      <c r="I6" s="190"/>
    </row>
    <row r="7" spans="1:9">
      <c r="A7" s="20" t="s">
        <v>6</v>
      </c>
      <c r="B7" s="191">
        <f>SUM(B8:B10)</f>
        <v>1</v>
      </c>
      <c r="C7" s="22">
        <f>SUM(C8:C10)</f>
        <v>2162</v>
      </c>
      <c r="D7" s="192">
        <f>IF(B7,C7/B7,0)</f>
        <v>2162</v>
      </c>
      <c r="E7" s="22">
        <f>SUM(E8:E10)</f>
        <v>16</v>
      </c>
      <c r="F7" s="193">
        <f>E7/$E$68</f>
        <v>1.5134317063942491E-3</v>
      </c>
      <c r="G7" s="194">
        <f>SUM(G8:G10)</f>
        <v>15510</v>
      </c>
      <c r="H7" s="24">
        <f>G7/$G$68</f>
        <v>2.25043953216975E-3</v>
      </c>
      <c r="I7" s="195">
        <f>IF(E7,G7/E7,0)</f>
        <v>969.375</v>
      </c>
    </row>
    <row r="8" spans="1:9">
      <c r="A8" s="26" t="s">
        <v>383</v>
      </c>
      <c r="B8" s="196">
        <f>_xlfn.IFNA(VLOOKUP(A8,[1]折!$C$3:$F$95,4,0),-[2]整車!$B$22)</f>
        <v>1</v>
      </c>
      <c r="C8" s="28">
        <f>_xlfn.IFNA(VLOOKUP(A8,[1]折!$C$3:$F$99,3,0),-[2]整車!$B$22)</f>
        <v>2162</v>
      </c>
      <c r="D8" s="192">
        <f t="shared" ref="D8:D67" si="0">IF(B8,C8/B8,0)</f>
        <v>2162</v>
      </c>
      <c r="E8" s="28">
        <f>_xlfn.IFNA(VLOOKUP(A8,[1]折同!$C$3:$H$352,6,0),-[2]整車!$B$22)</f>
        <v>15</v>
      </c>
      <c r="F8" s="193">
        <f>E8/$E$68</f>
        <v>1.4188422247446084E-3</v>
      </c>
      <c r="G8" s="196">
        <f>_xlfn.IFNA(VLOOKUP(A8,[1]折同!$C$3:$H$532,4,0),-[2]整車!$B$22)</f>
        <v>14919</v>
      </c>
      <c r="H8" s="24">
        <f>G8/$G$68</f>
        <v>2.1646877743675373E-3</v>
      </c>
      <c r="I8" s="195">
        <f t="shared" ref="I8:I67" si="1">IF(E8,G8/E8,0)</f>
        <v>994.6</v>
      </c>
    </row>
    <row r="9" spans="1:9">
      <c r="A9" s="30" t="s">
        <v>7</v>
      </c>
      <c r="B9" s="196">
        <f>_xlfn.IFNA(VLOOKUP(A9,[1]折!$C$3:$F$95,4,0),-[2]整車!$B$22)</f>
        <v>0</v>
      </c>
      <c r="C9" s="28">
        <f>_xlfn.IFNA(VLOOKUP(A9,[1]折!$C$3:$F$99,3,0),-[2]整車!$B$22)</f>
        <v>0</v>
      </c>
      <c r="D9" s="192">
        <f t="shared" si="0"/>
        <v>0</v>
      </c>
      <c r="E9" s="28">
        <f>_xlfn.IFNA(VLOOKUP(A9,[1]折同!$C$3:$H$352,6,0),-[2]整車!$B$22)</f>
        <v>1</v>
      </c>
      <c r="F9" s="193">
        <f>E9/$E$68</f>
        <v>9.4589481649640566E-5</v>
      </c>
      <c r="G9" s="196">
        <f>_xlfn.IFNA(VLOOKUP(A9,[1]折同!$C$3:$H$532,4,0),-[2]整車!$B$22)</f>
        <v>591</v>
      </c>
      <c r="H9" s="24">
        <f>G9/$G$68</f>
        <v>8.5751757802212921E-5</v>
      </c>
      <c r="I9" s="195">
        <f t="shared" si="1"/>
        <v>591</v>
      </c>
    </row>
    <row r="10" spans="1:9">
      <c r="A10" s="30" t="s">
        <v>8</v>
      </c>
      <c r="B10" s="196">
        <f>_xlfn.IFNA(VLOOKUP(A10,[1]折!$C$3:$F$95,4,0),-[2]整車!$B$22)</f>
        <v>0</v>
      </c>
      <c r="C10" s="28">
        <f>_xlfn.IFNA(VLOOKUP(A10,[1]折!$C$3:$F$99,3,0),-[2]整車!$B$22)</f>
        <v>0</v>
      </c>
      <c r="D10" s="192">
        <f t="shared" si="0"/>
        <v>0</v>
      </c>
      <c r="E10" s="28">
        <f>_xlfn.IFNA(VLOOKUP(A10,[1]折同!$C$3:$H$352,6,0),-[2]整車!$B$22)</f>
        <v>0</v>
      </c>
      <c r="F10" s="193">
        <f>E10/$E$68</f>
        <v>0</v>
      </c>
      <c r="G10" s="196">
        <f>_xlfn.IFNA(VLOOKUP(A10,[1]折同!$C$3:$H$532,4,0),-[2]整車!$B$22)</f>
        <v>0</v>
      </c>
      <c r="H10" s="24">
        <f>G10/$G$68</f>
        <v>0</v>
      </c>
      <c r="I10" s="195">
        <f t="shared" si="1"/>
        <v>0</v>
      </c>
    </row>
    <row r="11" spans="1:9">
      <c r="A11" s="31"/>
      <c r="B11" s="196"/>
      <c r="C11" s="28"/>
      <c r="D11" s="192"/>
      <c r="E11" s="27"/>
      <c r="F11" s="197"/>
      <c r="G11" s="196"/>
      <c r="H11" s="29"/>
      <c r="I11" s="195"/>
    </row>
    <row r="12" spans="1:9">
      <c r="A12" s="32" t="s">
        <v>9</v>
      </c>
      <c r="B12" s="198">
        <f>SUM(B13:B39)</f>
        <v>1043</v>
      </c>
      <c r="C12" s="33">
        <f>SUM(C13:C39)</f>
        <v>242671</v>
      </c>
      <c r="D12" s="192">
        <f t="shared" si="0"/>
        <v>232.66634707574306</v>
      </c>
      <c r="E12" s="33">
        <f>SUM(E13:E39)</f>
        <v>2737</v>
      </c>
      <c r="F12" s="193">
        <f t="shared" ref="F12:F13" si="2">E12/$E$68</f>
        <v>0.25889141127506621</v>
      </c>
      <c r="G12" s="198">
        <f>SUM(G13:G39)</f>
        <v>1296517</v>
      </c>
      <c r="H12" s="24">
        <f>G12/$G$68</f>
        <v>0.18811947846100116</v>
      </c>
      <c r="I12" s="195">
        <f t="shared" si="1"/>
        <v>473.70003653635365</v>
      </c>
    </row>
    <row r="13" spans="1:9">
      <c r="A13" s="454" t="s">
        <v>202</v>
      </c>
      <c r="B13" s="196">
        <f>_xlfn.IFNA(VLOOKUP(A13,[1]折!$C$3:$F$99,4,0),-[2]整車!$B$22)</f>
        <v>1043</v>
      </c>
      <c r="C13" s="27">
        <f>_xlfn.IFNA(VLOOKUP(A13,[1]折!$C$3:$F$99,3,0),-[2]整車!$B$22)</f>
        <v>242671</v>
      </c>
      <c r="D13" s="192">
        <f t="shared" si="0"/>
        <v>232.66634707574306</v>
      </c>
      <c r="E13" s="27">
        <f>_xlfn.IFNA(VLOOKUP(A13,[1]折同!$C$3:$H$362,6,0),-[2]整車!$B$22)</f>
        <v>1076</v>
      </c>
      <c r="F13" s="193">
        <f t="shared" si="2"/>
        <v>0.10177828225501324</v>
      </c>
      <c r="G13" s="196">
        <f>_xlfn.IFNA(VLOOKUP(A13,[1]折同!$C$3:$H$312,4,0),-[2]整車!$B$22)</f>
        <v>257050</v>
      </c>
      <c r="H13" s="24">
        <f>G13/$G$68</f>
        <v>3.7296936282671458E-2</v>
      </c>
      <c r="I13" s="195">
        <f t="shared" si="1"/>
        <v>238.89405204460965</v>
      </c>
    </row>
    <row r="14" spans="1:9">
      <c r="A14" s="454" t="s">
        <v>203</v>
      </c>
      <c r="B14" s="196">
        <f>_xlfn.IFNA(VLOOKUP(A14,[1]折!$C$3:$F$99,4,0),-[2]整車!$B$22)</f>
        <v>0</v>
      </c>
      <c r="C14" s="27">
        <f>_xlfn.IFNA(VLOOKUP(A14,[1]折!$C$3:$F$99,3,0),-[2]整車!$B$22)</f>
        <v>0</v>
      </c>
      <c r="D14" s="192">
        <f t="shared" ref="D14:D39" si="3">IF(B14,C14/B14,0)</f>
        <v>0</v>
      </c>
      <c r="E14" s="27">
        <f>_xlfn.IFNA(VLOOKUP(A14,[1]折同!$C$3:$H$362,6,0),-[2]整車!$B$22)</f>
        <v>0</v>
      </c>
      <c r="F14" s="193">
        <f t="shared" ref="F14:F39" si="4">E14/$E$68</f>
        <v>0</v>
      </c>
      <c r="G14" s="196">
        <f>_xlfn.IFNA(VLOOKUP(A14,[1]折同!$C$3:$H$312,4,0),-[2]整車!$B$22)</f>
        <v>0</v>
      </c>
      <c r="H14" s="24">
        <f t="shared" ref="H14:H39" si="5">G14/$G$68</f>
        <v>0</v>
      </c>
      <c r="I14" s="195">
        <f t="shared" ref="I14:I39" si="6">IF(E14,G14/E14,0)</f>
        <v>0</v>
      </c>
    </row>
    <row r="15" spans="1:9">
      <c r="A15" s="455" t="s">
        <v>10</v>
      </c>
      <c r="B15" s="196">
        <f>_xlfn.IFNA(VLOOKUP(A15,[1]折!$C$3:$F$99,4,0),-[2]整車!$B$22)</f>
        <v>0</v>
      </c>
      <c r="C15" s="27">
        <f>_xlfn.IFNA(VLOOKUP(A15,[1]折!$C$3:$F$99,3,0),-[2]整車!$B$22)</f>
        <v>0</v>
      </c>
      <c r="D15" s="192">
        <f t="shared" si="3"/>
        <v>0</v>
      </c>
      <c r="E15" s="27">
        <f>_xlfn.IFNA(VLOOKUP(A15,[1]折同!$C$3:$H$362,6,0),-[2]整車!$B$22)</f>
        <v>48</v>
      </c>
      <c r="F15" s="193">
        <f t="shared" si="4"/>
        <v>4.5402951191827468E-3</v>
      </c>
      <c r="G15" s="196">
        <f>_xlfn.IFNA(VLOOKUP(A15,[1]折同!$C$3:$H$312,4,0),-[2]整車!$B$22)</f>
        <v>40131</v>
      </c>
      <c r="H15" s="24">
        <f t="shared" si="5"/>
        <v>5.8228490564477273E-3</v>
      </c>
      <c r="I15" s="195">
        <f t="shared" si="6"/>
        <v>836.0625</v>
      </c>
    </row>
    <row r="16" spans="1:9">
      <c r="A16" s="454" t="s">
        <v>204</v>
      </c>
      <c r="B16" s="196">
        <f>_xlfn.IFNA(VLOOKUP(A16,[1]折!$C$3:$F$99,4,0),-[2]整車!$B$22)</f>
        <v>0</v>
      </c>
      <c r="C16" s="27">
        <f>_xlfn.IFNA(VLOOKUP(A16,[1]折!$C$3:$F$99,3,0),-[2]整車!$B$22)</f>
        <v>0</v>
      </c>
      <c r="D16" s="192">
        <f t="shared" si="3"/>
        <v>0</v>
      </c>
      <c r="E16" s="27">
        <f>_xlfn.IFNA(VLOOKUP(A16,[1]折同!$C$3:$H$362,6,0),-[2]整車!$B$22)</f>
        <v>0</v>
      </c>
      <c r="F16" s="193">
        <f t="shared" si="4"/>
        <v>0</v>
      </c>
      <c r="G16" s="196">
        <f>_xlfn.IFNA(VLOOKUP(A16,[1]折同!$C$3:$H$312,4,0),-[2]整車!$B$22)</f>
        <v>0</v>
      </c>
      <c r="H16" s="24">
        <f t="shared" si="5"/>
        <v>0</v>
      </c>
      <c r="I16" s="195">
        <f t="shared" si="6"/>
        <v>0</v>
      </c>
    </row>
    <row r="17" spans="1:9">
      <c r="A17" s="455" t="s">
        <v>11</v>
      </c>
      <c r="B17" s="196">
        <f>_xlfn.IFNA(VLOOKUP(A17,[1]折!$C$3:$F$99,4,0),-[2]整車!$B$22)</f>
        <v>0</v>
      </c>
      <c r="C17" s="27">
        <f>_xlfn.IFNA(VLOOKUP(A17,[1]折!$C$3:$F$99,3,0),-[2]整車!$B$22)</f>
        <v>0</v>
      </c>
      <c r="D17" s="192">
        <f t="shared" si="3"/>
        <v>0</v>
      </c>
      <c r="E17" s="27">
        <f>_xlfn.IFNA(VLOOKUP(A17,[1]折同!$C$3:$H$362,6,0),-[2]整車!$B$22)</f>
        <v>113</v>
      </c>
      <c r="F17" s="193">
        <f t="shared" si="4"/>
        <v>1.0688611426409384E-2</v>
      </c>
      <c r="G17" s="196">
        <f>_xlfn.IFNA(VLOOKUP(A17,[1]折同!$C$3:$H$312,4,0),-[2]整車!$B$22)</f>
        <v>115083</v>
      </c>
      <c r="H17" s="24">
        <f t="shared" si="5"/>
        <v>1.6698087213455278E-2</v>
      </c>
      <c r="I17" s="195">
        <f t="shared" si="6"/>
        <v>1018.4336283185841</v>
      </c>
    </row>
    <row r="18" spans="1:9">
      <c r="A18" s="455" t="s">
        <v>12</v>
      </c>
      <c r="B18" s="196">
        <f>_xlfn.IFNA(VLOOKUP(A18,[1]折!$C$3:$F$99,4,0),-[2]整車!$B$22)</f>
        <v>0</v>
      </c>
      <c r="C18" s="27">
        <f>_xlfn.IFNA(VLOOKUP(A18,[1]折!$C$3:$F$99,3,0),-[2]整車!$B$22)</f>
        <v>0</v>
      </c>
      <c r="D18" s="192">
        <f t="shared" si="3"/>
        <v>0</v>
      </c>
      <c r="E18" s="27">
        <f>_xlfn.IFNA(VLOOKUP(A18,[1]折同!$C$3:$H$362,6,0),-[2]整車!$B$22)</f>
        <v>0</v>
      </c>
      <c r="F18" s="193">
        <f t="shared" si="4"/>
        <v>0</v>
      </c>
      <c r="G18" s="196">
        <f>_xlfn.IFNA(VLOOKUP(A18,[1]折同!$C$3:$H$312,4,0),-[2]整車!$B$22)</f>
        <v>0</v>
      </c>
      <c r="H18" s="24">
        <f t="shared" si="5"/>
        <v>0</v>
      </c>
      <c r="I18" s="195">
        <f t="shared" si="6"/>
        <v>0</v>
      </c>
    </row>
    <row r="19" spans="1:9">
      <c r="A19" s="454" t="s">
        <v>205</v>
      </c>
      <c r="B19" s="196">
        <f>_xlfn.IFNA(VLOOKUP(A19,[1]折!$C$3:$F$99,4,0),-[2]整車!$B$22)</f>
        <v>0</v>
      </c>
      <c r="C19" s="27">
        <f>_xlfn.IFNA(VLOOKUP(A19,[1]折!$C$3:$F$99,3,0),-[2]整車!$B$22)</f>
        <v>0</v>
      </c>
      <c r="D19" s="192">
        <f t="shared" si="3"/>
        <v>0</v>
      </c>
      <c r="E19" s="27">
        <f>_xlfn.IFNA(VLOOKUP(A19,[1]折同!$C$3:$H$362,6,0),-[2]整車!$B$22)</f>
        <v>0</v>
      </c>
      <c r="F19" s="193">
        <f t="shared" si="4"/>
        <v>0</v>
      </c>
      <c r="G19" s="196">
        <f>_xlfn.IFNA(VLOOKUP(A19,[1]折同!$C$3:$H$312,4,0),-[2]整車!$B$22)</f>
        <v>0</v>
      </c>
      <c r="H19" s="24">
        <f t="shared" si="5"/>
        <v>0</v>
      </c>
      <c r="I19" s="195">
        <f t="shared" si="6"/>
        <v>0</v>
      </c>
    </row>
    <row r="20" spans="1:9">
      <c r="A20" s="455" t="s">
        <v>13</v>
      </c>
      <c r="B20" s="196">
        <f>_xlfn.IFNA(VLOOKUP(A20,[1]折!$C$3:$F$99,4,0),-[2]整車!$B$22)</f>
        <v>0</v>
      </c>
      <c r="C20" s="27">
        <f>_xlfn.IFNA(VLOOKUP(A20,[1]折!$C$3:$F$99,3,0),-[2]整車!$B$22)</f>
        <v>0</v>
      </c>
      <c r="D20" s="192">
        <f t="shared" si="3"/>
        <v>0</v>
      </c>
      <c r="E20" s="27">
        <f>_xlfn.IFNA(VLOOKUP(A20,[1]折同!$C$3:$H$362,6,0),-[2]整車!$B$22)</f>
        <v>0</v>
      </c>
      <c r="F20" s="193">
        <f t="shared" si="4"/>
        <v>0</v>
      </c>
      <c r="G20" s="196">
        <f>_xlfn.IFNA(VLOOKUP(A20,[1]折同!$C$3:$H$312,4,0),-[2]整車!$B$22)</f>
        <v>0</v>
      </c>
      <c r="H20" s="24">
        <f t="shared" si="5"/>
        <v>0</v>
      </c>
      <c r="I20" s="195">
        <f t="shared" si="6"/>
        <v>0</v>
      </c>
    </row>
    <row r="21" spans="1:9">
      <c r="A21" s="454" t="s">
        <v>207</v>
      </c>
      <c r="B21" s="196">
        <f>_xlfn.IFNA(VLOOKUP(A21,[1]折!$C$3:$F$99,4,0),-[2]整車!$B$22)</f>
        <v>0</v>
      </c>
      <c r="C21" s="27">
        <f>_xlfn.IFNA(VLOOKUP(A21,[1]折!$C$3:$F$99,3,0),-[2]整車!$B$22)</f>
        <v>0</v>
      </c>
      <c r="D21" s="192">
        <f t="shared" si="3"/>
        <v>0</v>
      </c>
      <c r="E21" s="27">
        <f>_xlfn.IFNA(VLOOKUP(A21,[1]折同!$C$3:$H$362,6,0),-[2]整車!$B$22)</f>
        <v>0</v>
      </c>
      <c r="F21" s="193">
        <f t="shared" si="4"/>
        <v>0</v>
      </c>
      <c r="G21" s="196">
        <f>_xlfn.IFNA(VLOOKUP(A21,[1]折同!$C$3:$H$312,4,0),-[2]整車!$B$22)</f>
        <v>0</v>
      </c>
      <c r="H21" s="24">
        <f t="shared" si="5"/>
        <v>0</v>
      </c>
      <c r="I21" s="195">
        <f t="shared" si="6"/>
        <v>0</v>
      </c>
    </row>
    <row r="22" spans="1:9">
      <c r="A22" s="455" t="s">
        <v>14</v>
      </c>
      <c r="B22" s="196">
        <f>_xlfn.IFNA(VLOOKUP(A22,[1]折!$C$3:$F$99,4,0),-[2]整車!$B$22)</f>
        <v>0</v>
      </c>
      <c r="C22" s="27">
        <f>_xlfn.IFNA(VLOOKUP(A22,[1]折!$C$3:$F$99,3,0),-[2]整車!$B$22)</f>
        <v>0</v>
      </c>
      <c r="D22" s="192">
        <f t="shared" si="3"/>
        <v>0</v>
      </c>
      <c r="E22" s="27">
        <f>_xlfn.IFNA(VLOOKUP(A22,[1]折同!$C$3:$H$362,6,0),-[2]整車!$B$22)</f>
        <v>0</v>
      </c>
      <c r="F22" s="193">
        <f t="shared" si="4"/>
        <v>0</v>
      </c>
      <c r="G22" s="196">
        <f>_xlfn.IFNA(VLOOKUP(A22,[1]折同!$C$3:$H$312,4,0),-[2]整車!$B$22)</f>
        <v>0</v>
      </c>
      <c r="H22" s="24">
        <f t="shared" si="5"/>
        <v>0</v>
      </c>
      <c r="I22" s="195">
        <f t="shared" si="6"/>
        <v>0</v>
      </c>
    </row>
    <row r="23" spans="1:9">
      <c r="A23" s="455" t="s">
        <v>15</v>
      </c>
      <c r="B23" s="196">
        <f>_xlfn.IFNA(VLOOKUP(A23,[1]折!$C$3:$F$99,4,0),-[2]整車!$B$22)</f>
        <v>0</v>
      </c>
      <c r="C23" s="27">
        <f>_xlfn.IFNA(VLOOKUP(A23,[1]折!$C$3:$F$99,3,0),-[2]整車!$B$22)</f>
        <v>0</v>
      </c>
      <c r="D23" s="192">
        <f t="shared" si="3"/>
        <v>0</v>
      </c>
      <c r="E23" s="27">
        <f>_xlfn.IFNA(VLOOKUP(A23,[1]折同!$C$3:$H$362,6,0),-[2]整車!$B$22)</f>
        <v>0</v>
      </c>
      <c r="F23" s="193">
        <f t="shared" si="4"/>
        <v>0</v>
      </c>
      <c r="G23" s="196">
        <f>_xlfn.IFNA(VLOOKUP(A23,[1]折同!$C$3:$H$312,4,0),-[2]整車!$B$22)</f>
        <v>0</v>
      </c>
      <c r="H23" s="24">
        <f t="shared" si="5"/>
        <v>0</v>
      </c>
      <c r="I23" s="195">
        <f t="shared" si="6"/>
        <v>0</v>
      </c>
    </row>
    <row r="24" spans="1:9">
      <c r="A24" s="455" t="s">
        <v>16</v>
      </c>
      <c r="B24" s="196">
        <f>_xlfn.IFNA(VLOOKUP(A24,[1]折!$C$3:$F$99,4,0),-[2]整車!$B$22)</f>
        <v>0</v>
      </c>
      <c r="C24" s="27">
        <f>_xlfn.IFNA(VLOOKUP(A24,[1]折!$C$3:$F$99,3,0),-[2]整車!$B$22)</f>
        <v>0</v>
      </c>
      <c r="D24" s="192">
        <f t="shared" si="3"/>
        <v>0</v>
      </c>
      <c r="E24" s="27">
        <f>_xlfn.IFNA(VLOOKUP(A24,[1]折同!$C$3:$H$362,6,0),-[2]整車!$B$22)</f>
        <v>1500</v>
      </c>
      <c r="F24" s="193">
        <f t="shared" si="4"/>
        <v>0.14188422247446084</v>
      </c>
      <c r="G24" s="196">
        <f>_xlfn.IFNA(VLOOKUP(A24,[1]折同!$C$3:$H$312,4,0),-[2]整車!$B$22)</f>
        <v>884253</v>
      </c>
      <c r="H24" s="24">
        <f t="shared" si="5"/>
        <v>0.12830160590842671</v>
      </c>
      <c r="I24" s="195">
        <f t="shared" si="6"/>
        <v>589.50199999999995</v>
      </c>
    </row>
    <row r="25" spans="1:9">
      <c r="A25" s="454" t="s">
        <v>208</v>
      </c>
      <c r="B25" s="196">
        <f>_xlfn.IFNA(VLOOKUP(A25,[1]折!$C$3:$F$99,4,0),-[2]整車!$B$22)</f>
        <v>0</v>
      </c>
      <c r="C25" s="27">
        <f>_xlfn.IFNA(VLOOKUP(A25,[1]折!$C$3:$F$99,3,0),-[2]整車!$B$22)</f>
        <v>0</v>
      </c>
      <c r="D25" s="192">
        <f t="shared" si="3"/>
        <v>0</v>
      </c>
      <c r="E25" s="27">
        <f>_xlfn.IFNA(VLOOKUP(A25,[1]折同!$C$3:$H$362,6,0),-[2]整車!$B$22)</f>
        <v>0</v>
      </c>
      <c r="F25" s="193">
        <f t="shared" si="4"/>
        <v>0</v>
      </c>
      <c r="G25" s="196">
        <f>_xlfn.IFNA(VLOOKUP(A25,[1]折同!$C$3:$H$312,4,0),-[2]整車!$B$22)</f>
        <v>0</v>
      </c>
      <c r="H25" s="24">
        <f t="shared" si="5"/>
        <v>0</v>
      </c>
      <c r="I25" s="195">
        <f t="shared" si="6"/>
        <v>0</v>
      </c>
    </row>
    <row r="26" spans="1:9">
      <c r="A26" s="454" t="s">
        <v>209</v>
      </c>
      <c r="B26" s="196">
        <f>_xlfn.IFNA(VLOOKUP(A26,[1]折!$C$3:$F$99,4,0),-[2]整車!$B$22)</f>
        <v>0</v>
      </c>
      <c r="C26" s="27">
        <f>_xlfn.IFNA(VLOOKUP(A26,[1]折!$C$3:$F$99,3,0),-[2]整車!$B$22)</f>
        <v>0</v>
      </c>
      <c r="D26" s="192">
        <f t="shared" si="3"/>
        <v>0</v>
      </c>
      <c r="E26" s="27">
        <f>_xlfn.IFNA(VLOOKUP(A26,[1]折同!$C$3:$H$362,6,0),-[2]整車!$B$22)</f>
        <v>0</v>
      </c>
      <c r="F26" s="193">
        <f t="shared" si="4"/>
        <v>0</v>
      </c>
      <c r="G26" s="196">
        <f>_xlfn.IFNA(VLOOKUP(A26,[1]折同!$C$3:$H$312,4,0),-[2]整車!$B$22)</f>
        <v>0</v>
      </c>
      <c r="H26" s="24">
        <f t="shared" si="5"/>
        <v>0</v>
      </c>
      <c r="I26" s="195">
        <f t="shared" si="6"/>
        <v>0</v>
      </c>
    </row>
    <row r="27" spans="1:9">
      <c r="A27" s="296" t="s">
        <v>210</v>
      </c>
      <c r="B27" s="196">
        <f>_xlfn.IFNA(VLOOKUP(A27,[1]折!$C$3:$F$99,4,0),-[2]整車!$B$22)</f>
        <v>0</v>
      </c>
      <c r="C27" s="27">
        <f>_xlfn.IFNA(VLOOKUP(A27,[1]折!$C$3:$F$99,3,0),-[2]整車!$B$22)</f>
        <v>0</v>
      </c>
      <c r="D27" s="192">
        <f t="shared" si="3"/>
        <v>0</v>
      </c>
      <c r="E27" s="27">
        <f>_xlfn.IFNA(VLOOKUP(A27,[1]折同!$C$3:$H$362,6,0),-[2]整車!$B$22)</f>
        <v>0</v>
      </c>
      <c r="F27" s="193">
        <f t="shared" si="4"/>
        <v>0</v>
      </c>
      <c r="G27" s="196">
        <f>_xlfn.IFNA(VLOOKUP(A27,[1]折同!$C$3:$H$312,4,0),-[2]整車!$B$22)</f>
        <v>0</v>
      </c>
      <c r="H27" s="24">
        <f t="shared" si="5"/>
        <v>0</v>
      </c>
      <c r="I27" s="195">
        <f t="shared" si="6"/>
        <v>0</v>
      </c>
    </row>
    <row r="28" spans="1:9">
      <c r="A28" s="296" t="s">
        <v>211</v>
      </c>
      <c r="B28" s="196">
        <f>_xlfn.IFNA(VLOOKUP(A28,[1]折!$C$3:$F$99,4,0),-[2]整車!$B$22)</f>
        <v>0</v>
      </c>
      <c r="C28" s="27">
        <f>_xlfn.IFNA(VLOOKUP(A28,[1]折!$C$3:$F$99,3,0),-[2]整車!$B$22)</f>
        <v>0</v>
      </c>
      <c r="D28" s="192">
        <f t="shared" si="3"/>
        <v>0</v>
      </c>
      <c r="E28" s="27">
        <f>_xlfn.IFNA(VLOOKUP(A28,[1]折同!$C$3:$H$362,6,0),-[2]整車!$B$22)</f>
        <v>0</v>
      </c>
      <c r="F28" s="193">
        <f t="shared" si="4"/>
        <v>0</v>
      </c>
      <c r="G28" s="196">
        <f>_xlfn.IFNA(VLOOKUP(A28,[1]折同!$C$3:$H$312,4,0),-[2]整車!$B$22)</f>
        <v>0</v>
      </c>
      <c r="H28" s="24">
        <f t="shared" si="5"/>
        <v>0</v>
      </c>
      <c r="I28" s="195">
        <f t="shared" si="6"/>
        <v>0</v>
      </c>
    </row>
    <row r="29" spans="1:9">
      <c r="A29" s="455" t="s">
        <v>212</v>
      </c>
      <c r="B29" s="196">
        <f>_xlfn.IFNA(VLOOKUP(A29,[1]折!$C$3:$F$99,4,0),-[2]整車!$B$22)</f>
        <v>0</v>
      </c>
      <c r="C29" s="27">
        <f>_xlfn.IFNA(VLOOKUP(A29,[1]折!$C$3:$F$99,3,0),-[2]整車!$B$22)</f>
        <v>0</v>
      </c>
      <c r="D29" s="192">
        <f t="shared" si="3"/>
        <v>0</v>
      </c>
      <c r="E29" s="27">
        <f>_xlfn.IFNA(VLOOKUP(A29,[1]折同!$C$3:$H$362,6,0),-[2]整車!$B$22)</f>
        <v>0</v>
      </c>
      <c r="F29" s="193">
        <f t="shared" si="4"/>
        <v>0</v>
      </c>
      <c r="G29" s="196">
        <f>_xlfn.IFNA(VLOOKUP(A29,[1]折同!$C$3:$H$312,4,0),-[2]整車!$B$22)</f>
        <v>0</v>
      </c>
      <c r="H29" s="24">
        <f t="shared" si="5"/>
        <v>0</v>
      </c>
      <c r="I29" s="195">
        <f t="shared" si="6"/>
        <v>0</v>
      </c>
    </row>
    <row r="30" spans="1:9">
      <c r="A30" s="455" t="s">
        <v>213</v>
      </c>
      <c r="B30" s="196">
        <f>_xlfn.IFNA(VLOOKUP(A30,[1]折!$C$3:$F$99,4,0),-[2]整車!$B$22)</f>
        <v>0</v>
      </c>
      <c r="C30" s="27">
        <f>_xlfn.IFNA(VLOOKUP(A30,[1]折!$C$3:$F$99,3,0),-[2]整車!$B$22)</f>
        <v>0</v>
      </c>
      <c r="D30" s="192">
        <f t="shared" si="3"/>
        <v>0</v>
      </c>
      <c r="E30" s="27">
        <f>_xlfn.IFNA(VLOOKUP(A30,[1]折同!$C$3:$H$362,6,0),-[2]整車!$B$22)</f>
        <v>0</v>
      </c>
      <c r="F30" s="193">
        <f t="shared" si="4"/>
        <v>0</v>
      </c>
      <c r="G30" s="196">
        <f>_xlfn.IFNA(VLOOKUP(A30,[1]折同!$C$3:$H$312,4,0),-[2]整車!$B$22)</f>
        <v>0</v>
      </c>
      <c r="H30" s="24">
        <f t="shared" si="5"/>
        <v>0</v>
      </c>
      <c r="I30" s="195">
        <f t="shared" si="6"/>
        <v>0</v>
      </c>
    </row>
    <row r="31" spans="1:9">
      <c r="A31" s="455" t="s">
        <v>17</v>
      </c>
      <c r="B31" s="196">
        <f>_xlfn.IFNA(VLOOKUP(A31,[1]折!$C$3:$F$99,4,0),-[2]整車!$B$22)</f>
        <v>0</v>
      </c>
      <c r="C31" s="27">
        <f>_xlfn.IFNA(VLOOKUP(A31,[1]折!$C$3:$F$99,3,0),-[2]整車!$B$22)</f>
        <v>0</v>
      </c>
      <c r="D31" s="192">
        <f t="shared" si="3"/>
        <v>0</v>
      </c>
      <c r="E31" s="27">
        <f>_xlfn.IFNA(VLOOKUP(A31,[1]折同!$C$3:$H$362,6,0),-[2]整車!$B$22)</f>
        <v>0</v>
      </c>
      <c r="F31" s="193">
        <f t="shared" si="4"/>
        <v>0</v>
      </c>
      <c r="G31" s="196">
        <f>_xlfn.IFNA(VLOOKUP(A31,[1]折同!$C$3:$H$312,4,0),-[2]整車!$B$22)</f>
        <v>0</v>
      </c>
      <c r="H31" s="24">
        <f t="shared" si="5"/>
        <v>0</v>
      </c>
      <c r="I31" s="195">
        <f t="shared" si="6"/>
        <v>0</v>
      </c>
    </row>
    <row r="32" spans="1:9">
      <c r="A32" s="455" t="s">
        <v>18</v>
      </c>
      <c r="B32" s="196">
        <f>_xlfn.IFNA(VLOOKUP(A32,[1]折!$C$3:$F$99,4,0),-[2]整車!$B$22)</f>
        <v>0</v>
      </c>
      <c r="C32" s="27">
        <f>_xlfn.IFNA(VLOOKUP(A32,[1]折!$C$3:$F$99,3,0),-[2]整車!$B$22)</f>
        <v>0</v>
      </c>
      <c r="D32" s="192">
        <f t="shared" si="3"/>
        <v>0</v>
      </c>
      <c r="E32" s="27">
        <f>_xlfn.IFNA(VLOOKUP(A32,[1]折同!$C$3:$H$362,6,0),-[2]整車!$B$22)</f>
        <v>0</v>
      </c>
      <c r="F32" s="193">
        <f t="shared" si="4"/>
        <v>0</v>
      </c>
      <c r="G32" s="196">
        <f>_xlfn.IFNA(VLOOKUP(A32,[1]折同!$C$3:$H$312,4,0),-[2]整車!$B$22)</f>
        <v>0</v>
      </c>
      <c r="H32" s="24">
        <f t="shared" si="5"/>
        <v>0</v>
      </c>
      <c r="I32" s="195">
        <f t="shared" si="6"/>
        <v>0</v>
      </c>
    </row>
    <row r="33" spans="1:9">
      <c r="A33" s="455" t="s">
        <v>214</v>
      </c>
      <c r="B33" s="196">
        <f>_xlfn.IFNA(VLOOKUP(A33,[1]折!$C$3:$F$99,4,0),-[2]整車!$B$22)</f>
        <v>0</v>
      </c>
      <c r="C33" s="27">
        <f>_xlfn.IFNA(VLOOKUP(A33,[1]折!$C$3:$F$99,3,0),-[2]整車!$B$22)</f>
        <v>0</v>
      </c>
      <c r="D33" s="192">
        <f t="shared" si="3"/>
        <v>0</v>
      </c>
      <c r="E33" s="27">
        <f>_xlfn.IFNA(VLOOKUP(A33,[1]折同!$C$3:$H$362,6,0),-[2]整車!$B$22)</f>
        <v>0</v>
      </c>
      <c r="F33" s="193">
        <f t="shared" si="4"/>
        <v>0</v>
      </c>
      <c r="G33" s="196">
        <f>_xlfn.IFNA(VLOOKUP(A33,[1]折同!$C$3:$H$312,4,0),-[2]整車!$B$22)</f>
        <v>0</v>
      </c>
      <c r="H33" s="24">
        <f t="shared" si="5"/>
        <v>0</v>
      </c>
      <c r="I33" s="195">
        <f t="shared" si="6"/>
        <v>0</v>
      </c>
    </row>
    <row r="34" spans="1:9">
      <c r="A34" s="455" t="s">
        <v>215</v>
      </c>
      <c r="B34" s="196">
        <f>_xlfn.IFNA(VLOOKUP(A34,[1]折!$C$3:$F$99,4,0),-[2]整車!$B$22)</f>
        <v>0</v>
      </c>
      <c r="C34" s="27">
        <f>_xlfn.IFNA(VLOOKUP(A34,[1]折!$C$3:$F$99,3,0),-[2]整車!$B$22)</f>
        <v>0</v>
      </c>
      <c r="D34" s="192">
        <f t="shared" si="3"/>
        <v>0</v>
      </c>
      <c r="E34" s="27">
        <f>_xlfn.IFNA(VLOOKUP(A34,[1]折同!$C$3:$H$362,6,0),-[2]整車!$B$22)</f>
        <v>0</v>
      </c>
      <c r="F34" s="193">
        <f t="shared" si="4"/>
        <v>0</v>
      </c>
      <c r="G34" s="196">
        <f>_xlfn.IFNA(VLOOKUP(A34,[1]折同!$C$3:$H$312,4,0),-[2]整車!$B$22)</f>
        <v>0</v>
      </c>
      <c r="H34" s="24">
        <f t="shared" si="5"/>
        <v>0</v>
      </c>
      <c r="I34" s="195">
        <f t="shared" si="6"/>
        <v>0</v>
      </c>
    </row>
    <row r="35" spans="1:9">
      <c r="A35" s="455" t="s">
        <v>216</v>
      </c>
      <c r="B35" s="196">
        <f>_xlfn.IFNA(VLOOKUP(A35,[1]折!$C$3:$F$99,4,0),-[2]整車!$B$22)</f>
        <v>0</v>
      </c>
      <c r="C35" s="27">
        <f>_xlfn.IFNA(VLOOKUP(A35,[1]折!$C$3:$F$99,3,0),-[2]整車!$B$22)</f>
        <v>0</v>
      </c>
      <c r="D35" s="192">
        <f t="shared" si="3"/>
        <v>0</v>
      </c>
      <c r="E35" s="27">
        <f>_xlfn.IFNA(VLOOKUP(A35,[1]折同!$C$3:$H$362,6,0),-[2]整車!$B$22)</f>
        <v>0</v>
      </c>
      <c r="F35" s="193">
        <f t="shared" si="4"/>
        <v>0</v>
      </c>
      <c r="G35" s="196">
        <f>_xlfn.IFNA(VLOOKUP(A35,[1]折同!$C$3:$H$312,4,0),-[2]整車!$B$22)</f>
        <v>0</v>
      </c>
      <c r="H35" s="24">
        <f t="shared" si="5"/>
        <v>0</v>
      </c>
      <c r="I35" s="195">
        <f t="shared" si="6"/>
        <v>0</v>
      </c>
    </row>
    <row r="36" spans="1:9">
      <c r="A36" s="455" t="s">
        <v>384</v>
      </c>
      <c r="B36" s="196">
        <f>_xlfn.IFNA(VLOOKUP(A36,[1]折!$C$3:$F$99,4,0),-[2]整車!$B$22)</f>
        <v>0</v>
      </c>
      <c r="C36" s="27">
        <f>_xlfn.IFNA(VLOOKUP(A36,[1]折!$C$3:$F$99,3,0),-[2]整車!$B$22)</f>
        <v>0</v>
      </c>
      <c r="D36" s="192">
        <f t="shared" si="3"/>
        <v>0</v>
      </c>
      <c r="E36" s="27">
        <f>_xlfn.IFNA(VLOOKUP(A36,[1]折同!$C$3:$H$362,6,0),-[2]整車!$B$22)</f>
        <v>0</v>
      </c>
      <c r="F36" s="193">
        <f t="shared" si="4"/>
        <v>0</v>
      </c>
      <c r="G36" s="196">
        <f>_xlfn.IFNA(VLOOKUP(A36,[1]折同!$C$3:$H$312,4,0),-[2]整車!$B$22)</f>
        <v>0</v>
      </c>
      <c r="H36" s="24">
        <f t="shared" si="5"/>
        <v>0</v>
      </c>
      <c r="I36" s="195">
        <f t="shared" si="6"/>
        <v>0</v>
      </c>
    </row>
    <row r="37" spans="1:9">
      <c r="A37" s="455" t="s">
        <v>218</v>
      </c>
      <c r="B37" s="196">
        <f>_xlfn.IFNA(VLOOKUP(A37,[1]折!$C$3:$F$99,4,0),-[2]整車!$B$22)</f>
        <v>0</v>
      </c>
      <c r="C37" s="27">
        <f>_xlfn.IFNA(VLOOKUP(A37,[1]折!$C$3:$F$99,3,0),-[2]整車!$B$22)</f>
        <v>0</v>
      </c>
      <c r="D37" s="192">
        <f t="shared" si="3"/>
        <v>0</v>
      </c>
      <c r="E37" s="27">
        <f>_xlfn.IFNA(VLOOKUP(A37,[1]折同!$C$3:$H$362,6,0),-[2]整車!$B$22)</f>
        <v>0</v>
      </c>
      <c r="F37" s="193">
        <f t="shared" si="4"/>
        <v>0</v>
      </c>
      <c r="G37" s="196">
        <f>_xlfn.IFNA(VLOOKUP(A37,[1]折同!$C$3:$H$312,4,0),-[2]整車!$B$22)</f>
        <v>0</v>
      </c>
      <c r="H37" s="24">
        <f t="shared" si="5"/>
        <v>0</v>
      </c>
      <c r="I37" s="195">
        <f t="shared" si="6"/>
        <v>0</v>
      </c>
    </row>
    <row r="38" spans="1:9">
      <c r="A38" s="455" t="s">
        <v>219</v>
      </c>
      <c r="B38" s="196">
        <f>_xlfn.IFNA(VLOOKUP(A38,[1]折!$C$3:$F$99,4,0),-[2]整車!$B$22)</f>
        <v>0</v>
      </c>
      <c r="C38" s="27">
        <f>_xlfn.IFNA(VLOOKUP(A38,[1]折!$C$3:$F$99,3,0),-[2]整車!$B$22)</f>
        <v>0</v>
      </c>
      <c r="D38" s="192">
        <f t="shared" si="3"/>
        <v>0</v>
      </c>
      <c r="E38" s="27">
        <f>_xlfn.IFNA(VLOOKUP(A38,[1]折同!$C$3:$H$362,6,0),-[2]整車!$B$22)</f>
        <v>0</v>
      </c>
      <c r="F38" s="193">
        <f t="shared" si="4"/>
        <v>0</v>
      </c>
      <c r="G38" s="196">
        <f>_xlfn.IFNA(VLOOKUP(A38,[1]折同!$C$3:$H$312,4,0),-[2]整車!$B$22)</f>
        <v>0</v>
      </c>
      <c r="H38" s="24">
        <f t="shared" si="5"/>
        <v>0</v>
      </c>
      <c r="I38" s="195">
        <f t="shared" si="6"/>
        <v>0</v>
      </c>
    </row>
    <row r="39" spans="1:9">
      <c r="A39" s="455" t="s">
        <v>19</v>
      </c>
      <c r="B39" s="196">
        <f>_xlfn.IFNA(VLOOKUP(A39,[1]折!$C$3:$F$99,4,0),-[2]整車!$B$22)</f>
        <v>0</v>
      </c>
      <c r="C39" s="27">
        <f>_xlfn.IFNA(VLOOKUP(A39,[1]折!$C$3:$F$99,3,0),-[2]整車!$B$22)</f>
        <v>0</v>
      </c>
      <c r="D39" s="192">
        <f t="shared" si="3"/>
        <v>0</v>
      </c>
      <c r="E39" s="27">
        <f>_xlfn.IFNA(VLOOKUP(A39,[1]折同!$C$3:$H$362,6,0),-[2]整車!$B$22)</f>
        <v>0</v>
      </c>
      <c r="F39" s="193">
        <f t="shared" si="4"/>
        <v>0</v>
      </c>
      <c r="G39" s="196">
        <f>_xlfn.IFNA(VLOOKUP(A39,[1]折同!$C$3:$H$312,4,0),-[2]整車!$B$22)</f>
        <v>0</v>
      </c>
      <c r="H39" s="24">
        <f t="shared" si="5"/>
        <v>0</v>
      </c>
      <c r="I39" s="195">
        <f t="shared" si="6"/>
        <v>0</v>
      </c>
    </row>
    <row r="40" spans="1:9">
      <c r="A40" s="30"/>
      <c r="B40" s="196"/>
      <c r="C40" s="27"/>
      <c r="D40" s="192"/>
      <c r="E40" s="27"/>
      <c r="F40" s="197"/>
      <c r="G40" s="196"/>
      <c r="H40" s="24"/>
      <c r="I40" s="195"/>
    </row>
    <row r="41" spans="1:9" ht="15.6" customHeight="1">
      <c r="A41" s="36" t="s">
        <v>20</v>
      </c>
      <c r="B41" s="198">
        <f>SUM(B42:B45)</f>
        <v>0</v>
      </c>
      <c r="C41" s="33">
        <f>SUM(C42:C45)</f>
        <v>0</v>
      </c>
      <c r="D41" s="192">
        <f t="shared" si="0"/>
        <v>0</v>
      </c>
      <c r="E41" s="33">
        <f>SUM(E42:E45)</f>
        <v>0</v>
      </c>
      <c r="F41" s="193">
        <f>E41/$E$68</f>
        <v>0</v>
      </c>
      <c r="G41" s="198">
        <f>SUM(G42:G45)</f>
        <v>0</v>
      </c>
      <c r="H41" s="24">
        <f t="shared" ref="H41:H42" si="7">G41/$G$68</f>
        <v>0</v>
      </c>
      <c r="I41" s="195">
        <f t="shared" si="1"/>
        <v>0</v>
      </c>
    </row>
    <row r="42" spans="1:9">
      <c r="A42" s="454" t="s">
        <v>220</v>
      </c>
      <c r="B42" s="196">
        <f>_xlfn.IFNA(VLOOKUP(A42,[1]折!$C$3:$F$99,4,0),-[2]整車!$B$22)</f>
        <v>0</v>
      </c>
      <c r="C42" s="27">
        <f>_xlfn.IFNA(VLOOKUP(A42,[1]折!$C$3:$F$99,3,0),-[2]整車!$B$22)</f>
        <v>0</v>
      </c>
      <c r="D42" s="192">
        <f t="shared" si="0"/>
        <v>0</v>
      </c>
      <c r="E42" s="27">
        <f>_xlfn.IFNA(VLOOKUP(A42,[1]折同!$C$3:$H$362,6,0),-[2]整車!$B$22)</f>
        <v>0</v>
      </c>
      <c r="F42" s="193">
        <f>E42/$E$68</f>
        <v>0</v>
      </c>
      <c r="G42" s="196">
        <f>_xlfn.IFNA(VLOOKUP(A42,[1]折同!$C$3:$H$32,4,0),-[2]整車!$B$22)</f>
        <v>0</v>
      </c>
      <c r="H42" s="24">
        <f t="shared" si="7"/>
        <v>0</v>
      </c>
      <c r="I42" s="195">
        <f t="shared" si="1"/>
        <v>0</v>
      </c>
    </row>
    <row r="43" spans="1:9">
      <c r="A43" s="454" t="s">
        <v>221</v>
      </c>
      <c r="B43" s="196">
        <f>_xlfn.IFNA(VLOOKUP(A43,[1]折!$C$3:$F$99,4,0),-[2]整車!$B$22)</f>
        <v>0</v>
      </c>
      <c r="C43" s="27">
        <f>_xlfn.IFNA(VLOOKUP(A43,[1]折!$C$3:$F$99,3,0),-[2]整車!$B$22)</f>
        <v>0</v>
      </c>
      <c r="D43" s="192">
        <f t="shared" ref="D43:D45" si="8">IF(B43,C43/B43,0)</f>
        <v>0</v>
      </c>
      <c r="E43" s="27">
        <f>_xlfn.IFNA(VLOOKUP(A43,[1]折同!$C$3:$H$362,6,0),-[2]整車!$B$22)</f>
        <v>0</v>
      </c>
      <c r="F43" s="193">
        <f t="shared" ref="F43:F45" si="9">E43/$E$68</f>
        <v>0</v>
      </c>
      <c r="G43" s="196">
        <f>_xlfn.IFNA(VLOOKUP(A43,[1]折同!$C$3:$H$32,4,0),-[2]整車!$B$22)</f>
        <v>0</v>
      </c>
      <c r="H43" s="24">
        <f t="shared" ref="H43:H45" si="10">G43/$G$68</f>
        <v>0</v>
      </c>
      <c r="I43" s="195">
        <f t="shared" ref="I43:I45" si="11">IF(E43,G43/E43,0)</f>
        <v>0</v>
      </c>
    </row>
    <row r="44" spans="1:9">
      <c r="A44" s="454" t="s">
        <v>222</v>
      </c>
      <c r="B44" s="196">
        <f>_xlfn.IFNA(VLOOKUP(A44,[1]折!$C$3:$F$99,4,0),-[2]整車!$B$22)</f>
        <v>0</v>
      </c>
      <c r="C44" s="27">
        <f>_xlfn.IFNA(VLOOKUP(A44,[1]折!$C$3:$F$99,3,0),-[2]整車!$B$22)</f>
        <v>0</v>
      </c>
      <c r="D44" s="192">
        <f t="shared" si="8"/>
        <v>0</v>
      </c>
      <c r="E44" s="27">
        <f>_xlfn.IFNA(VLOOKUP(A44,[1]折同!$C$3:$H$362,6,0),-[2]整車!$B$22)</f>
        <v>0</v>
      </c>
      <c r="F44" s="193">
        <f t="shared" si="9"/>
        <v>0</v>
      </c>
      <c r="G44" s="196">
        <f>_xlfn.IFNA(VLOOKUP(A44,[1]折同!$C$3:$H$32,4,0),-[2]整車!$B$22)</f>
        <v>0</v>
      </c>
      <c r="H44" s="24">
        <f t="shared" si="10"/>
        <v>0</v>
      </c>
      <c r="I44" s="195">
        <f t="shared" si="11"/>
        <v>0</v>
      </c>
    </row>
    <row r="45" spans="1:9">
      <c r="A45" s="30" t="s">
        <v>21</v>
      </c>
      <c r="B45" s="196">
        <f>_xlfn.IFNA(VLOOKUP(A45,[1]折!$C$3:$F$99,4,0),-[2]整車!$B$22)</f>
        <v>0</v>
      </c>
      <c r="C45" s="27">
        <f>_xlfn.IFNA(VLOOKUP(A45,[1]折!$C$3:$F$99,3,0),-[2]整車!$B$22)</f>
        <v>0</v>
      </c>
      <c r="D45" s="192">
        <f t="shared" si="8"/>
        <v>0</v>
      </c>
      <c r="E45" s="27">
        <f>_xlfn.IFNA(VLOOKUP(A45,[1]折同!$C$3:$H$362,6,0),-[2]整車!$B$22)</f>
        <v>0</v>
      </c>
      <c r="F45" s="193">
        <f t="shared" si="9"/>
        <v>0</v>
      </c>
      <c r="G45" s="196">
        <f>_xlfn.IFNA(VLOOKUP(A45,[1]折同!$C$3:$H$32,4,0),-[2]整車!$B$22)</f>
        <v>0</v>
      </c>
      <c r="H45" s="24">
        <f t="shared" si="10"/>
        <v>0</v>
      </c>
      <c r="I45" s="195">
        <f t="shared" si="11"/>
        <v>0</v>
      </c>
    </row>
    <row r="46" spans="1:9" ht="16.899999999999999" customHeight="1">
      <c r="A46" s="30"/>
      <c r="B46" s="196"/>
      <c r="C46" s="27"/>
      <c r="D46" s="192"/>
      <c r="E46" s="27"/>
      <c r="F46" s="197"/>
      <c r="G46" s="196"/>
      <c r="H46" s="24"/>
      <c r="I46" s="195"/>
    </row>
    <row r="47" spans="1:9">
      <c r="A47" s="36" t="s">
        <v>22</v>
      </c>
      <c r="B47" s="198">
        <f>SUM(B48:B66)</f>
        <v>79</v>
      </c>
      <c r="C47" s="33">
        <f>SUM(C48:C66)</f>
        <v>38378</v>
      </c>
      <c r="D47" s="192">
        <f t="shared" si="0"/>
        <v>485.79746835443041</v>
      </c>
      <c r="E47" s="33">
        <f>SUM(E48:E66)</f>
        <v>7810</v>
      </c>
      <c r="F47" s="193">
        <f>E47/$E$68</f>
        <v>0.73874385168369272</v>
      </c>
      <c r="G47" s="198">
        <f>SUM(G48:G66)</f>
        <v>5576174</v>
      </c>
      <c r="H47" s="24">
        <f>G47/$G$68</f>
        <v>0.80908074841116218</v>
      </c>
      <c r="I47" s="195">
        <f t="shared" si="1"/>
        <v>713.97874519846346</v>
      </c>
    </row>
    <row r="48" spans="1:9">
      <c r="A48" s="487" t="s">
        <v>163</v>
      </c>
      <c r="B48" s="196">
        <f>_xlfn.IFNA(VLOOKUP(A48,[1]折!$C$3:$F$99,4,0),-[2]整車!$B$22)</f>
        <v>0</v>
      </c>
      <c r="C48" s="27">
        <f>_xlfn.IFNA(VLOOKUP(A48,[1]折!$C$3:$F$99,3,0),-[2]整車!$B$22)</f>
        <v>0</v>
      </c>
      <c r="D48" s="192">
        <f t="shared" si="0"/>
        <v>0</v>
      </c>
      <c r="E48" s="27">
        <f>_xlfn.IFNA(VLOOKUP(A48,[1]折同!$C$3:$H$362,6,0),-[2]整車!$B$22)</f>
        <v>0</v>
      </c>
      <c r="F48" s="193">
        <f t="shared" ref="F48" si="12">E48/$E$68</f>
        <v>0</v>
      </c>
      <c r="G48" s="196">
        <f>_xlfn.IFNA(VLOOKUP(A48,[1]折同!$C$3:$H$362,4,0),-[2]整車!$B$22)</f>
        <v>0</v>
      </c>
      <c r="H48" s="24">
        <f>G48/$G$68</f>
        <v>0</v>
      </c>
      <c r="I48" s="195">
        <f t="shared" si="1"/>
        <v>0</v>
      </c>
    </row>
    <row r="49" spans="1:10">
      <c r="A49" s="454" t="s">
        <v>223</v>
      </c>
      <c r="B49" s="196">
        <f>_xlfn.IFNA(VLOOKUP(A49,[1]折!$C$3:$F$99,4,0),-[2]整車!$B$22)</f>
        <v>76</v>
      </c>
      <c r="C49" s="27">
        <f>_xlfn.IFNA(VLOOKUP(A49,[1]折!$C$3:$F$99,3,0),-[2]整車!$B$22)</f>
        <v>33863</v>
      </c>
      <c r="D49" s="192">
        <f t="shared" ref="D49:D66" si="13">IF(B49,C49/B49,0)</f>
        <v>445.56578947368422</v>
      </c>
      <c r="E49" s="27">
        <f>_xlfn.IFNA(VLOOKUP(A49,[1]折同!$C$3:$H$362,6,0),-[2]整車!$B$22)</f>
        <v>1308</v>
      </c>
      <c r="F49" s="193">
        <f t="shared" ref="F49:F66" si="14">E49/$E$68</f>
        <v>0.12372304199772985</v>
      </c>
      <c r="G49" s="196">
        <f>_xlfn.IFNA(VLOOKUP(A49,[1]折同!$C$3:$H$362,4,0),-[2]整車!$B$22)</f>
        <v>1007760</v>
      </c>
      <c r="H49" s="24">
        <f t="shared" ref="H49:H66" si="15">G49/$G$68</f>
        <v>0.14622198213664653</v>
      </c>
      <c r="I49" s="195">
        <f t="shared" ref="I49:I66" si="16">IF(E49,G49/E49,0)</f>
        <v>770.45871559633031</v>
      </c>
    </row>
    <row r="50" spans="1:10">
      <c r="A50" s="293" t="s">
        <v>224</v>
      </c>
      <c r="B50" s="196">
        <f>_xlfn.IFNA(VLOOKUP(A50,[1]折!$C$3:$F$99,4,0),-[2]整車!$B$22)</f>
        <v>0</v>
      </c>
      <c r="C50" s="27">
        <f>_xlfn.IFNA(VLOOKUP(A50,[1]折!$C$3:$F$99,3,0),-[2]整車!$B$22)</f>
        <v>0</v>
      </c>
      <c r="D50" s="192">
        <f t="shared" si="13"/>
        <v>0</v>
      </c>
      <c r="E50" s="27">
        <f>_xlfn.IFNA(VLOOKUP(A50,[1]折同!$C$3:$H$362,6,0),-[2]整車!$B$22)</f>
        <v>0</v>
      </c>
      <c r="F50" s="193">
        <f t="shared" si="14"/>
        <v>0</v>
      </c>
      <c r="G50" s="196">
        <f>_xlfn.IFNA(VLOOKUP(A50,[1]折同!$C$3:$H$362,4,0),-[2]整車!$B$22)</f>
        <v>0</v>
      </c>
      <c r="H50" s="24">
        <f t="shared" si="15"/>
        <v>0</v>
      </c>
      <c r="I50" s="195">
        <f t="shared" si="16"/>
        <v>0</v>
      </c>
      <c r="J50" s="488"/>
    </row>
    <row r="51" spans="1:10">
      <c r="A51" s="454" t="s">
        <v>225</v>
      </c>
      <c r="B51" s="196">
        <f>_xlfn.IFNA(VLOOKUP(A51,[1]折!$C$3:$F$99,4,0),-[2]整車!$B$22)</f>
        <v>0</v>
      </c>
      <c r="C51" s="27">
        <f>_xlfn.IFNA(VLOOKUP(A51,[1]折!$C$3:$F$99,3,0),-[2]整車!$B$22)</f>
        <v>0</v>
      </c>
      <c r="D51" s="192">
        <f t="shared" si="13"/>
        <v>0</v>
      </c>
      <c r="E51" s="27">
        <f>_xlfn.IFNA(VLOOKUP(A51,[1]折同!$C$3:$H$362,6,0),-[2]整車!$B$22)</f>
        <v>0</v>
      </c>
      <c r="F51" s="193">
        <f t="shared" si="14"/>
        <v>0</v>
      </c>
      <c r="G51" s="196">
        <f>_xlfn.IFNA(VLOOKUP(A51,[1]折同!$C$3:$H$362,4,0),-[2]整車!$B$22)</f>
        <v>0</v>
      </c>
      <c r="H51" s="24">
        <f t="shared" si="15"/>
        <v>0</v>
      </c>
      <c r="I51" s="195">
        <f t="shared" si="16"/>
        <v>0</v>
      </c>
    </row>
    <row r="52" spans="1:10">
      <c r="A52" s="455" t="s">
        <v>23</v>
      </c>
      <c r="B52" s="196">
        <f>_xlfn.IFNA(VLOOKUP(A52,[1]折!$C$3:$F$99,4,0),-[2]整車!$B$22)</f>
        <v>0</v>
      </c>
      <c r="C52" s="27">
        <f>_xlfn.IFNA(VLOOKUP(A52,[1]折!$C$3:$F$99,3,0),-[2]整車!$B$22)</f>
        <v>0</v>
      </c>
      <c r="D52" s="192">
        <f t="shared" si="13"/>
        <v>0</v>
      </c>
      <c r="E52" s="27">
        <f>_xlfn.IFNA(VLOOKUP(A52,[1]折同!$C$3:$H$362,6,0),-[2]整車!$B$22)</f>
        <v>0</v>
      </c>
      <c r="F52" s="193">
        <f t="shared" si="14"/>
        <v>0</v>
      </c>
      <c r="G52" s="196">
        <f>_xlfn.IFNA(VLOOKUP(A52,[1]折同!$C$3:$H$362,4,0),-[2]整車!$B$22)</f>
        <v>0</v>
      </c>
      <c r="H52" s="24">
        <f t="shared" si="15"/>
        <v>0</v>
      </c>
      <c r="I52" s="195">
        <f t="shared" si="16"/>
        <v>0</v>
      </c>
    </row>
    <row r="53" spans="1:10">
      <c r="A53" s="454" t="s">
        <v>226</v>
      </c>
      <c r="B53" s="196">
        <f>_xlfn.IFNA(VLOOKUP(A53,[1]折!$C$3:$F$99,4,0),-[2]整車!$B$22)</f>
        <v>0</v>
      </c>
      <c r="C53" s="27">
        <f>_xlfn.IFNA(VLOOKUP(A53,[1]折!$C$3:$F$99,3,0),-[2]整車!$B$22)</f>
        <v>0</v>
      </c>
      <c r="D53" s="192">
        <f t="shared" si="13"/>
        <v>0</v>
      </c>
      <c r="E53" s="27">
        <f>_xlfn.IFNA(VLOOKUP(A53,[1]折同!$C$3:$H$362,6,0),-[2]整車!$B$22)</f>
        <v>0</v>
      </c>
      <c r="F53" s="193">
        <f t="shared" si="14"/>
        <v>0</v>
      </c>
      <c r="G53" s="196">
        <f>_xlfn.IFNA(VLOOKUP(A53,[1]折同!$C$3:$H$362,4,0),-[2]整車!$B$22)</f>
        <v>0</v>
      </c>
      <c r="H53" s="24">
        <f t="shared" si="15"/>
        <v>0</v>
      </c>
      <c r="I53" s="195">
        <f t="shared" si="16"/>
        <v>0</v>
      </c>
    </row>
    <row r="54" spans="1:10">
      <c r="A54" s="455" t="s">
        <v>227</v>
      </c>
      <c r="B54" s="196">
        <f>_xlfn.IFNA(VLOOKUP(A54,[1]折!$C$3:$F$99,4,0),-[2]整車!$B$22)</f>
        <v>0</v>
      </c>
      <c r="C54" s="27">
        <f>_xlfn.IFNA(VLOOKUP(A54,[1]折!$C$3:$F$99,3,0),-[2]整車!$B$22)</f>
        <v>0</v>
      </c>
      <c r="D54" s="192">
        <f t="shared" si="13"/>
        <v>0</v>
      </c>
      <c r="E54" s="27">
        <f>_xlfn.IFNA(VLOOKUP(A54,[1]折同!$C$3:$H$362,6,0),-[2]整車!$B$22)</f>
        <v>43</v>
      </c>
      <c r="F54" s="193">
        <f t="shared" si="14"/>
        <v>4.0673477109345437E-3</v>
      </c>
      <c r="G54" s="196">
        <f>_xlfn.IFNA(VLOOKUP(A54,[1]折同!$C$3:$H$362,4,0),-[2]整車!$B$22)</f>
        <v>29985</v>
      </c>
      <c r="H54" s="24">
        <f t="shared" si="15"/>
        <v>4.3507046661579599E-3</v>
      </c>
      <c r="I54" s="195">
        <f t="shared" si="16"/>
        <v>697.32558139534888</v>
      </c>
    </row>
    <row r="55" spans="1:10">
      <c r="A55" s="455" t="s">
        <v>24</v>
      </c>
      <c r="B55" s="196">
        <f>_xlfn.IFNA(VLOOKUP(A55,[1]折!$C$3:$F$99,4,0),-[2]整車!$B$22)</f>
        <v>0</v>
      </c>
      <c r="C55" s="27">
        <f>_xlfn.IFNA(VLOOKUP(A55,[1]折!$C$3:$F$99,3,0),-[2]整車!$B$22)</f>
        <v>0</v>
      </c>
      <c r="D55" s="192">
        <f t="shared" si="13"/>
        <v>0</v>
      </c>
      <c r="E55" s="27">
        <f>_xlfn.IFNA(VLOOKUP(A55,[1]折同!$C$3:$H$362,6,0),-[2]整車!$B$22)</f>
        <v>0</v>
      </c>
      <c r="F55" s="193">
        <f t="shared" si="14"/>
        <v>0</v>
      </c>
      <c r="G55" s="196">
        <f>_xlfn.IFNA(VLOOKUP(A55,[1]折同!$C$3:$H$362,4,0),-[2]整車!$B$22)</f>
        <v>0</v>
      </c>
      <c r="H55" s="24">
        <f t="shared" si="15"/>
        <v>0</v>
      </c>
      <c r="I55" s="195">
        <f t="shared" si="16"/>
        <v>0</v>
      </c>
    </row>
    <row r="56" spans="1:10">
      <c r="A56" s="455" t="s">
        <v>228</v>
      </c>
      <c r="B56" s="196">
        <f>_xlfn.IFNA(VLOOKUP(A56,[1]折!$C$3:$F$99,4,0),-[2]整車!$B$22)</f>
        <v>0</v>
      </c>
      <c r="C56" s="27">
        <f>_xlfn.IFNA(VLOOKUP(A56,[1]折!$C$3:$F$99,3,0),-[2]整車!$B$22)</f>
        <v>0</v>
      </c>
      <c r="D56" s="192">
        <f t="shared" si="13"/>
        <v>0</v>
      </c>
      <c r="E56" s="27">
        <f>_xlfn.IFNA(VLOOKUP(A56,[1]折同!$C$3:$H$362,6,0),-[2]整車!$B$22)</f>
        <v>3196</v>
      </c>
      <c r="F56" s="193">
        <f t="shared" si="14"/>
        <v>0.30230798335225123</v>
      </c>
      <c r="G56" s="196">
        <f>_xlfn.IFNA(VLOOKUP(A56,[1]折同!$C$3:$H$362,4,0),-[2]整車!$B$22)</f>
        <v>2056250</v>
      </c>
      <c r="H56" s="24">
        <f t="shared" si="15"/>
        <v>0.29835372585583808</v>
      </c>
      <c r="I56" s="195">
        <f t="shared" si="16"/>
        <v>643.38235294117646</v>
      </c>
    </row>
    <row r="57" spans="1:10">
      <c r="A57" s="457" t="s">
        <v>229</v>
      </c>
      <c r="B57" s="196">
        <f>_xlfn.IFNA(VLOOKUP(A57,[1]折!$C$3:$F$99,4,0),-[2]整車!$B$22)</f>
        <v>0</v>
      </c>
      <c r="C57" s="27">
        <f>_xlfn.IFNA(VLOOKUP(A57,[1]折!$C$3:$F$99,3,0),-[2]整車!$B$22)</f>
        <v>0</v>
      </c>
      <c r="D57" s="192">
        <f t="shared" si="13"/>
        <v>0</v>
      </c>
      <c r="E57" s="27">
        <f>_xlfn.IFNA(VLOOKUP(A57,[1]折同!$C$3:$H$362,6,0),-[2]整車!$B$22)</f>
        <v>2095</v>
      </c>
      <c r="F57" s="193">
        <f t="shared" si="14"/>
        <v>0.19816496405599698</v>
      </c>
      <c r="G57" s="196">
        <f>_xlfn.IFNA(VLOOKUP(A57,[1]折同!$C$3:$H$362,4,0),-[2]整車!$B$22)</f>
        <v>1773882</v>
      </c>
      <c r="H57" s="24">
        <f t="shared" si="15"/>
        <v>0.25738324811117608</v>
      </c>
      <c r="I57" s="195">
        <f t="shared" si="16"/>
        <v>846.72171837708834</v>
      </c>
    </row>
    <row r="58" spans="1:10">
      <c r="A58" s="296" t="s">
        <v>385</v>
      </c>
      <c r="B58" s="196">
        <f>_xlfn.IFNA(VLOOKUP(A58,[1]折!$C$3:$F$99,4,0),-[2]整車!$B$22)</f>
        <v>3</v>
      </c>
      <c r="C58" s="27">
        <f>_xlfn.IFNA(VLOOKUP(A58,[1]折!$C$3:$F$99,3,0),-[2]整車!$B$22)</f>
        <v>4515</v>
      </c>
      <c r="D58" s="192">
        <f t="shared" si="13"/>
        <v>1505</v>
      </c>
      <c r="E58" s="27">
        <f>_xlfn.IFNA(VLOOKUP(A58,[1]折同!$C$3:$H$362,6,0),-[2]整車!$B$22)</f>
        <v>343</v>
      </c>
      <c r="F58" s="193">
        <f t="shared" si="14"/>
        <v>3.2444192205826713E-2</v>
      </c>
      <c r="G58" s="196">
        <f>_xlfn.IFNA(VLOOKUP(A58,[1]折同!$C$3:$H$362,4,0),-[2]整車!$B$22)</f>
        <v>341709</v>
      </c>
      <c r="H58" s="24">
        <f t="shared" si="15"/>
        <v>4.9580621669773901E-2</v>
      </c>
      <c r="I58" s="195">
        <f t="shared" si="16"/>
        <v>996.23615160349857</v>
      </c>
    </row>
    <row r="59" spans="1:10">
      <c r="A59" s="455" t="s">
        <v>25</v>
      </c>
      <c r="B59" s="196">
        <f>_xlfn.IFNA(VLOOKUP(A59,[1]折!$C$3:$F$99,4,0),-[2]整車!$B$22)</f>
        <v>0</v>
      </c>
      <c r="C59" s="27">
        <f>_xlfn.IFNA(VLOOKUP(A59,[1]折!$C$3:$F$99,3,0),-[2]整車!$B$22)</f>
        <v>0</v>
      </c>
      <c r="D59" s="192">
        <f t="shared" si="13"/>
        <v>0</v>
      </c>
      <c r="E59" s="27">
        <f>_xlfn.IFNA(VLOOKUP(A59,[1]折同!$C$3:$H$362,6,0),-[2]整車!$B$22)</f>
        <v>820</v>
      </c>
      <c r="F59" s="193">
        <f t="shared" si="14"/>
        <v>7.7563374952705252E-2</v>
      </c>
      <c r="G59" s="196">
        <f>_xlfn.IFNA(VLOOKUP(A59,[1]折同!$C$3:$H$362,4,0),-[2]整車!$B$22)</f>
        <v>366327</v>
      </c>
      <c r="H59" s="24">
        <f t="shared" si="15"/>
        <v>5.3152595905941201E-2</v>
      </c>
      <c r="I59" s="195">
        <f t="shared" si="16"/>
        <v>446.74024390243903</v>
      </c>
    </row>
    <row r="60" spans="1:10">
      <c r="A60" s="455" t="s">
        <v>26</v>
      </c>
      <c r="B60" s="196">
        <f>_xlfn.IFNA(VLOOKUP(A60,[1]折!$C$3:$F$99,4,0),-[2]整車!$B$22)</f>
        <v>0</v>
      </c>
      <c r="C60" s="27">
        <f>_xlfn.IFNA(VLOOKUP(A60,[1]折!$C$3:$F$99,3,0),-[2]整車!$B$22)</f>
        <v>0</v>
      </c>
      <c r="D60" s="192">
        <f t="shared" si="13"/>
        <v>0</v>
      </c>
      <c r="E60" s="27">
        <f>_xlfn.IFNA(VLOOKUP(A60,[1]折同!$C$3:$H$362,6,0),-[2]整車!$B$22)</f>
        <v>0</v>
      </c>
      <c r="F60" s="193">
        <f t="shared" si="14"/>
        <v>0</v>
      </c>
      <c r="G60" s="196">
        <f>_xlfn.IFNA(VLOOKUP(A60,[1]折同!$C$3:$H$362,4,0),-[2]整車!$B$22)</f>
        <v>0</v>
      </c>
      <c r="H60" s="24">
        <f t="shared" si="15"/>
        <v>0</v>
      </c>
      <c r="I60" s="195">
        <f t="shared" si="16"/>
        <v>0</v>
      </c>
    </row>
    <row r="61" spans="1:10">
      <c r="A61" s="455" t="s">
        <v>27</v>
      </c>
      <c r="B61" s="196">
        <f>_xlfn.IFNA(VLOOKUP(A61,[1]折!$C$3:$F$99,4,0),-[2]整車!$B$22)</f>
        <v>0</v>
      </c>
      <c r="C61" s="27">
        <f>_xlfn.IFNA(VLOOKUP(A61,[1]折!$C$3:$F$99,3,0),-[2]整車!$B$22)</f>
        <v>0</v>
      </c>
      <c r="D61" s="192">
        <f t="shared" si="13"/>
        <v>0</v>
      </c>
      <c r="E61" s="27">
        <f>_xlfn.IFNA(VLOOKUP(A61,[1]折同!$C$3:$H$362,6,0),-[2]整車!$B$22)</f>
        <v>0</v>
      </c>
      <c r="F61" s="193">
        <f t="shared" si="14"/>
        <v>0</v>
      </c>
      <c r="G61" s="196">
        <f>_xlfn.IFNA(VLOOKUP(A61,[1]折同!$C$3:$H$362,4,0),-[2]整車!$B$22)</f>
        <v>0</v>
      </c>
      <c r="H61" s="24">
        <f t="shared" si="15"/>
        <v>0</v>
      </c>
      <c r="I61" s="195">
        <f t="shared" si="16"/>
        <v>0</v>
      </c>
    </row>
    <row r="62" spans="1:10">
      <c r="A62" s="296" t="s">
        <v>230</v>
      </c>
      <c r="B62" s="196">
        <f>_xlfn.IFNA(VLOOKUP(A62,[1]折!$C$3:$F$99,4,0),-[2]整車!$B$22)</f>
        <v>0</v>
      </c>
      <c r="C62" s="27">
        <f>_xlfn.IFNA(VLOOKUP(A62,[1]折!$C$3:$F$99,3,0),-[2]整車!$B$22)</f>
        <v>0</v>
      </c>
      <c r="D62" s="192">
        <f t="shared" si="13"/>
        <v>0</v>
      </c>
      <c r="E62" s="27">
        <f>_xlfn.IFNA(VLOOKUP(A62,[1]折同!$C$3:$H$362,6,0),-[2]整車!$B$22)</f>
        <v>0</v>
      </c>
      <c r="F62" s="193">
        <f t="shared" si="14"/>
        <v>0</v>
      </c>
      <c r="G62" s="196">
        <f>_xlfn.IFNA(VLOOKUP(A62,[1]折同!$C$3:$H$362,4,0),-[2]整車!$B$22)</f>
        <v>0</v>
      </c>
      <c r="H62" s="24">
        <f t="shared" si="15"/>
        <v>0</v>
      </c>
      <c r="I62" s="195">
        <f t="shared" si="16"/>
        <v>0</v>
      </c>
    </row>
    <row r="63" spans="1:10">
      <c r="A63" s="455" t="s">
        <v>28</v>
      </c>
      <c r="B63" s="196">
        <f>_xlfn.IFNA(VLOOKUP(A63,[1]折!$C$3:$F$99,4,0),-[2]整車!$B$22)</f>
        <v>0</v>
      </c>
      <c r="C63" s="27">
        <f>_xlfn.IFNA(VLOOKUP(A63,[1]折!$C$3:$F$99,3,0),-[2]整車!$B$22)</f>
        <v>0</v>
      </c>
      <c r="D63" s="192">
        <f t="shared" si="13"/>
        <v>0</v>
      </c>
      <c r="E63" s="27">
        <f>_xlfn.IFNA(VLOOKUP(A63,[1]折同!$C$3:$H$362,6,0),-[2]整車!$B$22)</f>
        <v>0</v>
      </c>
      <c r="F63" s="193">
        <f t="shared" si="14"/>
        <v>0</v>
      </c>
      <c r="G63" s="196">
        <f>_xlfn.IFNA(VLOOKUP(A63,[1]折同!$C$3:$H$362,4,0),-[2]整車!$B$22)</f>
        <v>0</v>
      </c>
      <c r="H63" s="24">
        <f t="shared" si="15"/>
        <v>0</v>
      </c>
      <c r="I63" s="195">
        <f t="shared" si="16"/>
        <v>0</v>
      </c>
    </row>
    <row r="64" spans="1:10" ht="15.75" customHeight="1">
      <c r="A64" s="296" t="s">
        <v>231</v>
      </c>
      <c r="B64" s="196">
        <f>_xlfn.IFNA(VLOOKUP(A64,[1]折!$C$3:$F$99,4,0),-[2]整車!$B$22)</f>
        <v>0</v>
      </c>
      <c r="C64" s="27">
        <f>_xlfn.IFNA(VLOOKUP(A64,[1]折!$C$3:$F$99,3,0),-[2]整車!$B$22)</f>
        <v>0</v>
      </c>
      <c r="D64" s="192">
        <f t="shared" si="13"/>
        <v>0</v>
      </c>
      <c r="E64" s="27">
        <f>_xlfn.IFNA(VLOOKUP(A64,[1]折同!$C$3:$H$362,6,0),-[2]整車!$B$22)</f>
        <v>0</v>
      </c>
      <c r="F64" s="193">
        <f t="shared" si="14"/>
        <v>0</v>
      </c>
      <c r="G64" s="196">
        <f>_xlfn.IFNA(VLOOKUP(A64,[1]折同!$C$3:$H$362,4,0),-[2]整車!$B$22)</f>
        <v>0</v>
      </c>
      <c r="H64" s="24">
        <f t="shared" si="15"/>
        <v>0</v>
      </c>
      <c r="I64" s="195">
        <f t="shared" si="16"/>
        <v>0</v>
      </c>
    </row>
    <row r="65" spans="1:9">
      <c r="A65" s="455" t="s">
        <v>29</v>
      </c>
      <c r="B65" s="196">
        <f>_xlfn.IFNA(VLOOKUP(A65,[1]折!$C$3:$F$99,4,0),-[2]整車!$B$22)</f>
        <v>0</v>
      </c>
      <c r="C65" s="27">
        <f>_xlfn.IFNA(VLOOKUP(A65,[1]折!$C$3:$F$99,3,0),-[2]整車!$B$22)</f>
        <v>0</v>
      </c>
      <c r="D65" s="192">
        <f t="shared" si="13"/>
        <v>0</v>
      </c>
      <c r="E65" s="27">
        <f>_xlfn.IFNA(VLOOKUP(A65,[1]折同!$C$3:$H$362,6,0),-[2]整車!$B$22)</f>
        <v>0</v>
      </c>
      <c r="F65" s="193">
        <f t="shared" si="14"/>
        <v>0</v>
      </c>
      <c r="G65" s="196">
        <f>_xlfn.IFNA(VLOOKUP(A65,[1]折同!$C$3:$H$362,4,0),-[2]整車!$B$22)</f>
        <v>0</v>
      </c>
      <c r="H65" s="24">
        <f t="shared" si="15"/>
        <v>0</v>
      </c>
      <c r="I65" s="195">
        <f t="shared" si="16"/>
        <v>0</v>
      </c>
    </row>
    <row r="66" spans="1:9">
      <c r="A66" s="296" t="s">
        <v>232</v>
      </c>
      <c r="B66" s="196">
        <f>_xlfn.IFNA(VLOOKUP(A66,[1]折!$C$3:$F$99,4,0),-[2]整車!$B$22)</f>
        <v>0</v>
      </c>
      <c r="C66" s="27">
        <f>_xlfn.IFNA(VLOOKUP(A66,[1]折!$C$3:$F$99,3,0),-[2]整車!$B$22)</f>
        <v>0</v>
      </c>
      <c r="D66" s="192">
        <f t="shared" si="13"/>
        <v>0</v>
      </c>
      <c r="E66" s="27">
        <f>_xlfn.IFNA(VLOOKUP(A66,[1]折同!$C$3:$H$362,6,0),-[2]整車!$B$22)</f>
        <v>5</v>
      </c>
      <c r="F66" s="193">
        <f t="shared" si="14"/>
        <v>4.729474082482028E-4</v>
      </c>
      <c r="G66" s="196">
        <f>_xlfn.IFNA(VLOOKUP(A66,[1]折同!$C$3:$H$362,4,0),-[2]整車!$B$22)</f>
        <v>261</v>
      </c>
      <c r="H66" s="24">
        <f t="shared" si="15"/>
        <v>3.7870065628388447E-5</v>
      </c>
      <c r="I66" s="195">
        <f t="shared" si="16"/>
        <v>52.2</v>
      </c>
    </row>
    <row r="67" spans="1:9">
      <c r="A67" s="30" t="s">
        <v>30</v>
      </c>
      <c r="B67" s="196">
        <f>B68-B7-B12-B41-B47</f>
        <v>0</v>
      </c>
      <c r="C67" s="27">
        <f>C68-C47-C41-C12-C7</f>
        <v>0</v>
      </c>
      <c r="D67" s="192">
        <f t="shared" si="0"/>
        <v>0</v>
      </c>
      <c r="E67" s="27">
        <f>E68-E47-E41-E12-E7</f>
        <v>9</v>
      </c>
      <c r="F67" s="193">
        <f t="shared" ref="F67:F68" si="17">E67/$E$68</f>
        <v>8.5130533484676502E-4</v>
      </c>
      <c r="G67" s="196">
        <f>G68-G47-G41-G12-G7</f>
        <v>3786</v>
      </c>
      <c r="H67" s="24">
        <f t="shared" ref="H67:H68" si="18">G67/$G$68</f>
        <v>5.4933359566696806E-4</v>
      </c>
      <c r="I67" s="195">
        <f t="shared" si="1"/>
        <v>420.66666666666669</v>
      </c>
    </row>
    <row r="68" spans="1:9">
      <c r="A68" s="32" t="s">
        <v>403</v>
      </c>
      <c r="B68" s="198">
        <f>VLOOKUP(A68,[1]折!$B$2:$F$22,5,0)</f>
        <v>1123</v>
      </c>
      <c r="C68" s="33">
        <f>VLOOKUP(A68,[1]折!$B$2:$F$92,4,0)</f>
        <v>283211</v>
      </c>
      <c r="D68" s="192">
        <f t="shared" ref="D68" si="19">C68/B68</f>
        <v>252.19145146927872</v>
      </c>
      <c r="E68" s="33">
        <f>VLOOKUP(A68,[1]折同!$B$2:$H$2,7,0)</f>
        <v>10572</v>
      </c>
      <c r="F68" s="193">
        <f t="shared" si="17"/>
        <v>1</v>
      </c>
      <c r="G68" s="198">
        <f>VLOOKUP(A68,[1]折同!$B$2:$H$2,5,0)</f>
        <v>6891987</v>
      </c>
      <c r="H68" s="24">
        <f t="shared" si="18"/>
        <v>1</v>
      </c>
      <c r="I68" s="195">
        <f t="shared" ref="I68" si="20">G68/E68</f>
        <v>651.90947786606125</v>
      </c>
    </row>
    <row r="69" spans="1:9">
      <c r="A69" s="38"/>
      <c r="B69" s="199"/>
      <c r="C69" s="39"/>
      <c r="D69" s="200"/>
      <c r="E69" s="39"/>
      <c r="F69" s="201"/>
      <c r="G69" s="199"/>
      <c r="H69" s="41"/>
      <c r="I69" s="200"/>
    </row>
    <row r="70" spans="1:9">
      <c r="A70" s="54" t="s">
        <v>56</v>
      </c>
      <c r="B70" s="202"/>
      <c r="C70" s="39"/>
      <c r="D70" s="202"/>
      <c r="E70" s="13"/>
      <c r="F70" s="202"/>
      <c r="G70" s="202"/>
      <c r="H70" s="13"/>
      <c r="I70" s="202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topLeftCell="A55" workbookViewId="0">
      <selection activeCell="A5" sqref="A5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530" customWidth="1"/>
    <col min="6" max="6" width="15.125" style="58" customWidth="1"/>
    <col min="7" max="7" width="12.25" style="59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476</v>
      </c>
      <c r="B1" s="1"/>
      <c r="C1" s="56"/>
      <c r="D1" s="57"/>
      <c r="E1" s="541"/>
      <c r="F1" s="56"/>
      <c r="G1" s="57"/>
    </row>
    <row r="3" spans="1:10">
      <c r="A3" s="111" t="s">
        <v>154</v>
      </c>
      <c r="B3" s="62"/>
      <c r="C3" s="65"/>
      <c r="D3" s="64"/>
      <c r="E3" s="531"/>
      <c r="F3" s="65"/>
      <c r="G3" s="203"/>
      <c r="H3" s="204"/>
      <c r="I3" s="67"/>
      <c r="J3" s="68"/>
    </row>
    <row r="4" spans="1:10">
      <c r="A4" s="69" t="s">
        <v>471</v>
      </c>
      <c r="B4" s="8" t="s">
        <v>424</v>
      </c>
      <c r="C4" s="70" t="s">
        <v>425</v>
      </c>
      <c r="D4" s="71" t="s">
        <v>159</v>
      </c>
      <c r="E4" s="532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205" t="s">
        <v>117</v>
      </c>
    </row>
    <row r="5" spans="1:10">
      <c r="A5" s="45"/>
      <c r="B5" s="76" t="s">
        <v>33</v>
      </c>
      <c r="C5" s="75" t="s">
        <v>33</v>
      </c>
      <c r="D5" s="206" t="s">
        <v>2</v>
      </c>
      <c r="E5" s="533" t="s">
        <v>34</v>
      </c>
      <c r="F5" s="75" t="s">
        <v>34</v>
      </c>
      <c r="G5" s="206" t="s">
        <v>2</v>
      </c>
      <c r="H5" s="77" t="s">
        <v>35</v>
      </c>
      <c r="I5" s="78" t="s">
        <v>118</v>
      </c>
      <c r="J5" s="206" t="s">
        <v>2</v>
      </c>
    </row>
    <row r="6" spans="1:10">
      <c r="A6" s="20" t="s">
        <v>5</v>
      </c>
      <c r="B6" s="207"/>
      <c r="C6" s="80"/>
      <c r="D6" s="208"/>
      <c r="E6" s="534"/>
      <c r="F6" s="80"/>
      <c r="G6" s="209"/>
      <c r="H6" s="210"/>
      <c r="I6" s="83"/>
      <c r="J6" s="209"/>
    </row>
    <row r="7" spans="1:10">
      <c r="A7" s="122" t="s">
        <v>6</v>
      </c>
      <c r="B7" s="211">
        <f>SUM(B8:B10)</f>
        <v>16</v>
      </c>
      <c r="C7" s="212">
        <f>SUM(C8:C10)</f>
        <v>425</v>
      </c>
      <c r="D7" s="515">
        <f>IF(C7,(B7-C7)/C7,0)</f>
        <v>-0.96235294117647063</v>
      </c>
      <c r="E7" s="535">
        <f>SUM(E8:E10)</f>
        <v>15510</v>
      </c>
      <c r="F7" s="212">
        <f>SUM(F8:F10)</f>
        <v>465588</v>
      </c>
      <c r="G7" s="515">
        <f>IF(F7,(E7-F7)/F7,0)</f>
        <v>-0.96668728575478746</v>
      </c>
      <c r="H7" s="86">
        <f>IF(B7,E7/B7,0)</f>
        <v>969.375</v>
      </c>
      <c r="I7" s="87">
        <f>IF(C7,F7/C7,0)</f>
        <v>1095.5011764705882</v>
      </c>
      <c r="J7" s="512">
        <f>IF(I7,(H7-I7)/I7,0)</f>
        <v>-0.11513102786154282</v>
      </c>
    </row>
    <row r="8" spans="1:10">
      <c r="A8" s="76" t="s">
        <v>383</v>
      </c>
      <c r="B8" s="213">
        <f>折疊車!E8</f>
        <v>15</v>
      </c>
      <c r="C8" s="214">
        <f>_xlfn.IFNA(VLOOKUP(A8,[1]折同!$C$3:$H$632,5,0),-[2]整車!$B$22)</f>
        <v>403</v>
      </c>
      <c r="D8" s="515">
        <f t="shared" ref="D8:D68" si="0">IF(C8,(B8-C8)/C8,0)</f>
        <v>-0.96277915632754341</v>
      </c>
      <c r="E8" s="536">
        <f>折疊車!G8</f>
        <v>14919</v>
      </c>
      <c r="F8" s="214">
        <f>_xlfn.IFNA(VLOOKUP(A8,[1]折同!$C$3:$H$352,3,0),-[2]整車!$B$22)</f>
        <v>455424</v>
      </c>
      <c r="G8" s="515">
        <f t="shared" ref="G8:G68" si="1">IF(F8,(E8-F8)/F8,0)</f>
        <v>-0.9672415155986509</v>
      </c>
      <c r="H8" s="86">
        <f t="shared" ref="H8:H10" si="2">IF(B8,E8/B8,0)</f>
        <v>994.6</v>
      </c>
      <c r="I8" s="87">
        <f t="shared" ref="I8:I10" si="3">IF(C8,F8/C8,0)</f>
        <v>1130.0843672456576</v>
      </c>
      <c r="J8" s="512">
        <f t="shared" ref="J8:J68" si="4">IF(I8,(H8-I8)/I8,0)</f>
        <v>-0.11988871908375495</v>
      </c>
    </row>
    <row r="9" spans="1:10">
      <c r="A9" s="30" t="s">
        <v>7</v>
      </c>
      <c r="B9" s="213">
        <f>折疊車!E9</f>
        <v>1</v>
      </c>
      <c r="C9" s="214">
        <f>_xlfn.IFNA(VLOOKUP(A9,[1]折同!$C$3:$H$632,5,0),-[2]整車!$B$22)</f>
        <v>22</v>
      </c>
      <c r="D9" s="515">
        <f t="shared" si="0"/>
        <v>-0.95454545454545459</v>
      </c>
      <c r="E9" s="536">
        <f>折疊車!G9</f>
        <v>591</v>
      </c>
      <c r="F9" s="214">
        <f>_xlfn.IFNA(VLOOKUP(A9,[1]折同!$C$3:$H$352,3,0),-[2]整車!$B$22)</f>
        <v>10164</v>
      </c>
      <c r="G9" s="515">
        <f t="shared" si="1"/>
        <v>-0.94185360094450998</v>
      </c>
      <c r="H9" s="86">
        <f t="shared" si="2"/>
        <v>591</v>
      </c>
      <c r="I9" s="87">
        <f t="shared" si="3"/>
        <v>462</v>
      </c>
      <c r="J9" s="512">
        <f t="shared" si="4"/>
        <v>0.2792207792207792</v>
      </c>
    </row>
    <row r="10" spans="1:10">
      <c r="A10" s="30" t="s">
        <v>8</v>
      </c>
      <c r="B10" s="213">
        <f>折疊車!E10</f>
        <v>0</v>
      </c>
      <c r="C10" s="214">
        <f>_xlfn.IFNA(VLOOKUP(A10,[1]折同!$C$3:$H$632,5,0),-[2]整車!$B$22)</f>
        <v>0</v>
      </c>
      <c r="D10" s="515">
        <f t="shared" si="0"/>
        <v>0</v>
      </c>
      <c r="E10" s="536">
        <f>折疊車!G10</f>
        <v>0</v>
      </c>
      <c r="F10" s="214">
        <f>_xlfn.IFNA(VLOOKUP(A10,[1]折同!$C$3:$H$352,3,0),-[2]整車!$B$22)</f>
        <v>0</v>
      </c>
      <c r="G10" s="515">
        <f t="shared" si="1"/>
        <v>0</v>
      </c>
      <c r="H10" s="86">
        <f t="shared" si="2"/>
        <v>0</v>
      </c>
      <c r="I10" s="87">
        <f t="shared" si="3"/>
        <v>0</v>
      </c>
      <c r="J10" s="512">
        <f t="shared" si="4"/>
        <v>0</v>
      </c>
    </row>
    <row r="11" spans="1:10">
      <c r="A11" s="30"/>
      <c r="B11" s="27"/>
      <c r="C11" s="89"/>
      <c r="D11" s="515"/>
      <c r="E11" s="537"/>
      <c r="F11" s="89"/>
      <c r="G11" s="515"/>
      <c r="H11" s="86"/>
      <c r="I11" s="87"/>
      <c r="J11" s="512"/>
    </row>
    <row r="12" spans="1:10">
      <c r="A12" s="32" t="s">
        <v>9</v>
      </c>
      <c r="B12" s="33">
        <f>SUM(B13:B39)</f>
        <v>2737</v>
      </c>
      <c r="C12" s="90">
        <f>SUM(C13:C39)</f>
        <v>3668</v>
      </c>
      <c r="D12" s="515">
        <f t="shared" si="0"/>
        <v>-0.25381679389312978</v>
      </c>
      <c r="E12" s="538">
        <f>SUM(E13:E39)</f>
        <v>1296517</v>
      </c>
      <c r="F12" s="90">
        <f>SUM(F13:F39)</f>
        <v>1458132</v>
      </c>
      <c r="G12" s="515">
        <f t="shared" si="1"/>
        <v>-0.11083701612748366</v>
      </c>
      <c r="H12" s="86">
        <f t="shared" ref="H12:H67" si="5">IF(B12,E12/B12,0)</f>
        <v>473.70003653635365</v>
      </c>
      <c r="I12" s="87">
        <f t="shared" ref="I12:I67" si="6">IF(C12,F12/C12,0)</f>
        <v>397.5278080697928</v>
      </c>
      <c r="J12" s="512">
        <f t="shared" si="4"/>
        <v>0.19161484283682492</v>
      </c>
    </row>
    <row r="13" spans="1:10">
      <c r="A13" s="454" t="s">
        <v>202</v>
      </c>
      <c r="B13" s="213">
        <f>折疊車!E13</f>
        <v>1076</v>
      </c>
      <c r="C13" s="89">
        <f>_xlfn.IFNA(VLOOKUP(A13,[1]折同!$C$3:$H$326,5,0),-[2]整車!$B$22)</f>
        <v>435</v>
      </c>
      <c r="D13" s="515">
        <f t="shared" si="0"/>
        <v>1.4735632183908045</v>
      </c>
      <c r="E13" s="537">
        <f>折疊車!G13</f>
        <v>257050</v>
      </c>
      <c r="F13" s="214">
        <f>_xlfn.IFNA(VLOOKUP(A13,[1]折同!$C$3:$H$355,3,0),-[2]整車!$B$22)</f>
        <v>157685</v>
      </c>
      <c r="G13" s="515">
        <f t="shared" si="1"/>
        <v>0.63014871420870722</v>
      </c>
      <c r="H13" s="86">
        <f t="shared" si="5"/>
        <v>238.89405204460965</v>
      </c>
      <c r="I13" s="87">
        <f t="shared" si="6"/>
        <v>362.4942528735632</v>
      </c>
      <c r="J13" s="512">
        <f t="shared" si="4"/>
        <v>-0.340971477062465</v>
      </c>
    </row>
    <row r="14" spans="1:10">
      <c r="A14" s="454" t="s">
        <v>203</v>
      </c>
      <c r="B14" s="213">
        <f>折疊車!E14</f>
        <v>0</v>
      </c>
      <c r="C14" s="89">
        <f>_xlfn.IFNA(VLOOKUP(A14,[1]折同!$C$3:$H$326,5,0),-[2]整車!$B$22)</f>
        <v>703</v>
      </c>
      <c r="D14" s="515">
        <f t="shared" si="0"/>
        <v>-1</v>
      </c>
      <c r="E14" s="537">
        <f>折疊車!G14</f>
        <v>0</v>
      </c>
      <c r="F14" s="214">
        <f>_xlfn.IFNA(VLOOKUP(A14,[1]折同!$C$3:$H$355,3,0),-[2]整車!$B$22)</f>
        <v>180089</v>
      </c>
      <c r="G14" s="515">
        <f t="shared" si="1"/>
        <v>-1</v>
      </c>
      <c r="H14" s="86">
        <f t="shared" si="5"/>
        <v>0</v>
      </c>
      <c r="I14" s="87">
        <f t="shared" si="6"/>
        <v>256.17211948790896</v>
      </c>
      <c r="J14" s="512">
        <f t="shared" si="4"/>
        <v>-1</v>
      </c>
    </row>
    <row r="15" spans="1:10">
      <c r="A15" s="455" t="s">
        <v>10</v>
      </c>
      <c r="B15" s="213">
        <f>折疊車!E15</f>
        <v>48</v>
      </c>
      <c r="C15" s="89">
        <f>_xlfn.IFNA(VLOOKUP(A15,[1]折同!$C$3:$H$326,5,0),-[2]整車!$B$22)</f>
        <v>0</v>
      </c>
      <c r="D15" s="515">
        <f t="shared" si="0"/>
        <v>0</v>
      </c>
      <c r="E15" s="537">
        <f>折疊車!G15</f>
        <v>40131</v>
      </c>
      <c r="F15" s="214">
        <f>_xlfn.IFNA(VLOOKUP(A15,[1]折同!$C$3:$H$355,3,0),-[2]整車!$B$22)</f>
        <v>0</v>
      </c>
      <c r="G15" s="515">
        <f t="shared" si="1"/>
        <v>0</v>
      </c>
      <c r="H15" s="86">
        <f t="shared" si="5"/>
        <v>836.0625</v>
      </c>
      <c r="I15" s="87">
        <f t="shared" si="6"/>
        <v>0</v>
      </c>
      <c r="J15" s="512">
        <f t="shared" si="4"/>
        <v>0</v>
      </c>
    </row>
    <row r="16" spans="1:10">
      <c r="A16" s="454" t="s">
        <v>204</v>
      </c>
      <c r="B16" s="213">
        <f>折疊車!E16</f>
        <v>0</v>
      </c>
      <c r="C16" s="89">
        <f>_xlfn.IFNA(VLOOKUP(A16,[1]折同!$C$3:$H$326,5,0),-[2]整車!$B$22)</f>
        <v>0</v>
      </c>
      <c r="D16" s="515">
        <f t="shared" si="0"/>
        <v>0</v>
      </c>
      <c r="E16" s="537">
        <f>折疊車!G16</f>
        <v>0</v>
      </c>
      <c r="F16" s="214">
        <f>_xlfn.IFNA(VLOOKUP(A16,[1]折同!$C$3:$H$355,3,0),-[2]整車!$B$22)</f>
        <v>0</v>
      </c>
      <c r="G16" s="515">
        <f t="shared" si="1"/>
        <v>0</v>
      </c>
      <c r="H16" s="86">
        <f t="shared" si="5"/>
        <v>0</v>
      </c>
      <c r="I16" s="87">
        <f t="shared" si="6"/>
        <v>0</v>
      </c>
      <c r="J16" s="512">
        <f t="shared" si="4"/>
        <v>0</v>
      </c>
    </row>
    <row r="17" spans="1:10">
      <c r="A17" s="455" t="s">
        <v>11</v>
      </c>
      <c r="B17" s="213">
        <f>折疊車!E17</f>
        <v>113</v>
      </c>
      <c r="C17" s="89">
        <f>_xlfn.IFNA(VLOOKUP(A17,[1]折同!$C$3:$H$326,5,0),-[2]整車!$B$22)</f>
        <v>0</v>
      </c>
      <c r="D17" s="515">
        <f t="shared" si="0"/>
        <v>0</v>
      </c>
      <c r="E17" s="537">
        <f>折疊車!G17</f>
        <v>115083</v>
      </c>
      <c r="F17" s="214">
        <f>_xlfn.IFNA(VLOOKUP(A17,[1]折同!$C$3:$H$355,3,0),-[2]整車!$B$22)</f>
        <v>0</v>
      </c>
      <c r="G17" s="515">
        <f t="shared" si="1"/>
        <v>0</v>
      </c>
      <c r="H17" s="86">
        <f t="shared" si="5"/>
        <v>1018.4336283185841</v>
      </c>
      <c r="I17" s="87">
        <f t="shared" si="6"/>
        <v>0</v>
      </c>
      <c r="J17" s="512">
        <f t="shared" si="4"/>
        <v>0</v>
      </c>
    </row>
    <row r="18" spans="1:10">
      <c r="A18" s="455" t="s">
        <v>12</v>
      </c>
      <c r="B18" s="213">
        <f>折疊車!E18</f>
        <v>0</v>
      </c>
      <c r="C18" s="89">
        <f>_xlfn.IFNA(VLOOKUP(A18,[1]折同!$C$3:$H$326,5,0),-[2]整車!$B$22)</f>
        <v>0</v>
      </c>
      <c r="D18" s="515">
        <f t="shared" si="0"/>
        <v>0</v>
      </c>
      <c r="E18" s="537">
        <f>折疊車!G18</f>
        <v>0</v>
      </c>
      <c r="F18" s="214">
        <f>_xlfn.IFNA(VLOOKUP(A18,[1]折同!$C$3:$H$355,3,0),-[2]整車!$B$22)</f>
        <v>0</v>
      </c>
      <c r="G18" s="515">
        <f t="shared" si="1"/>
        <v>0</v>
      </c>
      <c r="H18" s="86">
        <f t="shared" si="5"/>
        <v>0</v>
      </c>
      <c r="I18" s="87">
        <f t="shared" si="6"/>
        <v>0</v>
      </c>
      <c r="J18" s="512">
        <f t="shared" si="4"/>
        <v>0</v>
      </c>
    </row>
    <row r="19" spans="1:10">
      <c r="A19" s="454" t="s">
        <v>205</v>
      </c>
      <c r="B19" s="213">
        <f>折疊車!E19</f>
        <v>0</v>
      </c>
      <c r="C19" s="89">
        <f>_xlfn.IFNA(VLOOKUP(A19,[1]折同!$C$3:$H$326,5,0),-[2]整車!$B$22)</f>
        <v>0</v>
      </c>
      <c r="D19" s="515">
        <f t="shared" si="0"/>
        <v>0</v>
      </c>
      <c r="E19" s="537">
        <f>折疊車!G19</f>
        <v>0</v>
      </c>
      <c r="F19" s="214">
        <f>_xlfn.IFNA(VLOOKUP(A19,[1]折同!$C$3:$H$355,3,0),-[2]整車!$B$22)</f>
        <v>0</v>
      </c>
      <c r="G19" s="515">
        <f t="shared" si="1"/>
        <v>0</v>
      </c>
      <c r="H19" s="86">
        <f t="shared" si="5"/>
        <v>0</v>
      </c>
      <c r="I19" s="87">
        <f t="shared" si="6"/>
        <v>0</v>
      </c>
      <c r="J19" s="512">
        <f t="shared" si="4"/>
        <v>0</v>
      </c>
    </row>
    <row r="20" spans="1:10">
      <c r="A20" s="455" t="s">
        <v>13</v>
      </c>
      <c r="B20" s="213">
        <f>折疊車!E20</f>
        <v>0</v>
      </c>
      <c r="C20" s="89">
        <f>_xlfn.IFNA(VLOOKUP(A20,[1]折同!$C$3:$H$326,5,0),-[2]整車!$B$22)</f>
        <v>0</v>
      </c>
      <c r="D20" s="515">
        <f t="shared" si="0"/>
        <v>0</v>
      </c>
      <c r="E20" s="537">
        <f>折疊車!G20</f>
        <v>0</v>
      </c>
      <c r="F20" s="214">
        <f>_xlfn.IFNA(VLOOKUP(A20,[1]折同!$C$3:$H$355,3,0),-[2]整車!$B$22)</f>
        <v>0</v>
      </c>
      <c r="G20" s="515">
        <f t="shared" si="1"/>
        <v>0</v>
      </c>
      <c r="H20" s="86">
        <f t="shared" si="5"/>
        <v>0</v>
      </c>
      <c r="I20" s="87">
        <f t="shared" si="6"/>
        <v>0</v>
      </c>
      <c r="J20" s="512">
        <f t="shared" si="4"/>
        <v>0</v>
      </c>
    </row>
    <row r="21" spans="1:10">
      <c r="A21" s="454" t="s">
        <v>207</v>
      </c>
      <c r="B21" s="213">
        <f>折疊車!E21</f>
        <v>0</v>
      </c>
      <c r="C21" s="89">
        <f>_xlfn.IFNA(VLOOKUP(A21,[1]折同!$C$3:$H$326,5,0),-[2]整車!$B$22)</f>
        <v>0</v>
      </c>
      <c r="D21" s="515">
        <f t="shared" si="0"/>
        <v>0</v>
      </c>
      <c r="E21" s="537">
        <f>折疊車!G21</f>
        <v>0</v>
      </c>
      <c r="F21" s="214">
        <f>_xlfn.IFNA(VLOOKUP(A21,[1]折同!$C$3:$H$355,3,0),-[2]整車!$B$22)</f>
        <v>0</v>
      </c>
      <c r="G21" s="515">
        <f t="shared" si="1"/>
        <v>0</v>
      </c>
      <c r="H21" s="86">
        <f t="shared" si="5"/>
        <v>0</v>
      </c>
      <c r="I21" s="87">
        <f t="shared" si="6"/>
        <v>0</v>
      </c>
      <c r="J21" s="512">
        <f t="shared" si="4"/>
        <v>0</v>
      </c>
    </row>
    <row r="22" spans="1:10">
      <c r="A22" s="455" t="s">
        <v>14</v>
      </c>
      <c r="B22" s="213">
        <f>折疊車!E22</f>
        <v>0</v>
      </c>
      <c r="C22" s="89">
        <f>_xlfn.IFNA(VLOOKUP(A22,[1]折同!$C$3:$H$326,5,0),-[2]整車!$B$22)</f>
        <v>0</v>
      </c>
      <c r="D22" s="515">
        <f t="shared" si="0"/>
        <v>0</v>
      </c>
      <c r="E22" s="537">
        <f>折疊車!G22</f>
        <v>0</v>
      </c>
      <c r="F22" s="214">
        <f>_xlfn.IFNA(VLOOKUP(A22,[1]折同!$C$3:$H$355,3,0),-[2]整車!$B$22)</f>
        <v>0</v>
      </c>
      <c r="G22" s="515">
        <f t="shared" si="1"/>
        <v>0</v>
      </c>
      <c r="H22" s="86">
        <f t="shared" si="5"/>
        <v>0</v>
      </c>
      <c r="I22" s="87">
        <f t="shared" si="6"/>
        <v>0</v>
      </c>
      <c r="J22" s="512">
        <f t="shared" si="4"/>
        <v>0</v>
      </c>
    </row>
    <row r="23" spans="1:10">
      <c r="A23" s="455" t="s">
        <v>15</v>
      </c>
      <c r="B23" s="213">
        <f>折疊車!E23</f>
        <v>0</v>
      </c>
      <c r="C23" s="89">
        <f>_xlfn.IFNA(VLOOKUP(A23,[1]折同!$C$3:$H$326,5,0),-[2]整車!$B$22)</f>
        <v>0</v>
      </c>
      <c r="D23" s="515">
        <f t="shared" si="0"/>
        <v>0</v>
      </c>
      <c r="E23" s="537">
        <f>折疊車!G23</f>
        <v>0</v>
      </c>
      <c r="F23" s="214">
        <f>_xlfn.IFNA(VLOOKUP(A23,[1]折同!$C$3:$H$355,3,0),-[2]整車!$B$22)</f>
        <v>0</v>
      </c>
      <c r="G23" s="515">
        <f t="shared" si="1"/>
        <v>0</v>
      </c>
      <c r="H23" s="86">
        <f t="shared" si="5"/>
        <v>0</v>
      </c>
      <c r="I23" s="87">
        <f t="shared" si="6"/>
        <v>0</v>
      </c>
      <c r="J23" s="512">
        <f t="shared" si="4"/>
        <v>0</v>
      </c>
    </row>
    <row r="24" spans="1:10">
      <c r="A24" s="455" t="s">
        <v>16</v>
      </c>
      <c r="B24" s="213">
        <f>折疊車!E24</f>
        <v>1500</v>
      </c>
      <c r="C24" s="89">
        <f>_xlfn.IFNA(VLOOKUP(A24,[1]折同!$C$3:$H$326,5,0),-[2]整車!$B$22)</f>
        <v>1380</v>
      </c>
      <c r="D24" s="515">
        <f t="shared" si="0"/>
        <v>8.6956521739130432E-2</v>
      </c>
      <c r="E24" s="537">
        <f>折疊車!G24</f>
        <v>884253</v>
      </c>
      <c r="F24" s="214">
        <f>_xlfn.IFNA(VLOOKUP(A24,[1]折同!$C$3:$H$355,3,0),-[2]整車!$B$22)</f>
        <v>892558</v>
      </c>
      <c r="G24" s="515">
        <f t="shared" si="1"/>
        <v>-9.304717452535298E-3</v>
      </c>
      <c r="H24" s="86">
        <f t="shared" si="5"/>
        <v>589.50199999999995</v>
      </c>
      <c r="I24" s="87">
        <f t="shared" si="6"/>
        <v>646.7811594202899</v>
      </c>
      <c r="J24" s="512">
        <f t="shared" si="4"/>
        <v>-8.8560340056332607E-2</v>
      </c>
    </row>
    <row r="25" spans="1:10">
      <c r="A25" s="454" t="s">
        <v>208</v>
      </c>
      <c r="B25" s="213">
        <f>折疊車!E25</f>
        <v>0</v>
      </c>
      <c r="C25" s="89">
        <f>_xlfn.IFNA(VLOOKUP(A25,[1]折同!$C$3:$H$326,5,0),-[2]整車!$B$22)</f>
        <v>0</v>
      </c>
      <c r="D25" s="515">
        <f t="shared" si="0"/>
        <v>0</v>
      </c>
      <c r="E25" s="537">
        <f>折疊車!G25</f>
        <v>0</v>
      </c>
      <c r="F25" s="214">
        <f>_xlfn.IFNA(VLOOKUP(A25,[1]折同!$C$3:$H$355,3,0),-[2]整車!$B$22)</f>
        <v>0</v>
      </c>
      <c r="G25" s="515">
        <f t="shared" si="1"/>
        <v>0</v>
      </c>
      <c r="H25" s="86">
        <f t="shared" si="5"/>
        <v>0</v>
      </c>
      <c r="I25" s="87">
        <f t="shared" si="6"/>
        <v>0</v>
      </c>
      <c r="J25" s="512">
        <f t="shared" si="4"/>
        <v>0</v>
      </c>
    </row>
    <row r="26" spans="1:10">
      <c r="A26" s="454" t="s">
        <v>209</v>
      </c>
      <c r="B26" s="213">
        <f>折疊車!E26</f>
        <v>0</v>
      </c>
      <c r="C26" s="89">
        <f>_xlfn.IFNA(VLOOKUP(A26,[1]折同!$C$3:$H$326,5,0),-[2]整車!$B$22)</f>
        <v>0</v>
      </c>
      <c r="D26" s="515">
        <f t="shared" si="0"/>
        <v>0</v>
      </c>
      <c r="E26" s="537">
        <f>折疊車!G26</f>
        <v>0</v>
      </c>
      <c r="F26" s="214">
        <f>_xlfn.IFNA(VLOOKUP(A26,[1]折同!$C$3:$H$355,3,0),-[2]整車!$B$22)</f>
        <v>0</v>
      </c>
      <c r="G26" s="515">
        <f t="shared" si="1"/>
        <v>0</v>
      </c>
      <c r="H26" s="86">
        <f t="shared" si="5"/>
        <v>0</v>
      </c>
      <c r="I26" s="87">
        <f t="shared" si="6"/>
        <v>0</v>
      </c>
      <c r="J26" s="512">
        <f t="shared" si="4"/>
        <v>0</v>
      </c>
    </row>
    <row r="27" spans="1:10">
      <c r="A27" s="296" t="s">
        <v>210</v>
      </c>
      <c r="B27" s="213">
        <f>折疊車!E27</f>
        <v>0</v>
      </c>
      <c r="C27" s="89">
        <f>_xlfn.IFNA(VLOOKUP(A27,[1]折同!$C$3:$H$326,5,0),-[2]整車!$B$22)</f>
        <v>0</v>
      </c>
      <c r="D27" s="515">
        <f t="shared" si="0"/>
        <v>0</v>
      </c>
      <c r="E27" s="537">
        <f>折疊車!G27</f>
        <v>0</v>
      </c>
      <c r="F27" s="214">
        <f>_xlfn.IFNA(VLOOKUP(A27,[1]折同!$C$3:$H$355,3,0),-[2]整車!$B$22)</f>
        <v>0</v>
      </c>
      <c r="G27" s="515">
        <f t="shared" si="1"/>
        <v>0</v>
      </c>
      <c r="H27" s="86">
        <f t="shared" si="5"/>
        <v>0</v>
      </c>
      <c r="I27" s="87">
        <f t="shared" si="6"/>
        <v>0</v>
      </c>
      <c r="J27" s="512">
        <f t="shared" si="4"/>
        <v>0</v>
      </c>
    </row>
    <row r="28" spans="1:10">
      <c r="A28" s="296" t="s">
        <v>211</v>
      </c>
      <c r="B28" s="213">
        <f>折疊車!E28</f>
        <v>0</v>
      </c>
      <c r="C28" s="89">
        <f>_xlfn.IFNA(VLOOKUP(A28,[1]折同!$C$3:$H$326,5,0),-[2]整車!$B$22)</f>
        <v>1150</v>
      </c>
      <c r="D28" s="515">
        <f t="shared" si="0"/>
        <v>-1</v>
      </c>
      <c r="E28" s="537">
        <f>折疊車!G28</f>
        <v>0</v>
      </c>
      <c r="F28" s="214">
        <f>_xlfn.IFNA(VLOOKUP(A28,[1]折同!$C$3:$H$355,3,0),-[2]整車!$B$22)</f>
        <v>227800</v>
      </c>
      <c r="G28" s="515">
        <f t="shared" si="1"/>
        <v>-1</v>
      </c>
      <c r="H28" s="86">
        <f t="shared" si="5"/>
        <v>0</v>
      </c>
      <c r="I28" s="87">
        <f t="shared" si="6"/>
        <v>198.08695652173913</v>
      </c>
      <c r="J28" s="512">
        <f t="shared" si="4"/>
        <v>-1</v>
      </c>
    </row>
    <row r="29" spans="1:10">
      <c r="A29" s="455" t="s">
        <v>212</v>
      </c>
      <c r="B29" s="213">
        <f>折疊車!E29</f>
        <v>0</v>
      </c>
      <c r="C29" s="89">
        <f>_xlfn.IFNA(VLOOKUP(A29,[1]折同!$C$3:$H$326,5,0),-[2]整車!$B$22)</f>
        <v>0</v>
      </c>
      <c r="D29" s="515">
        <f t="shared" si="0"/>
        <v>0</v>
      </c>
      <c r="E29" s="537">
        <f>折疊車!G29</f>
        <v>0</v>
      </c>
      <c r="F29" s="214">
        <f>_xlfn.IFNA(VLOOKUP(A29,[1]折同!$C$3:$H$355,3,0),-[2]整車!$B$22)</f>
        <v>0</v>
      </c>
      <c r="G29" s="515">
        <f t="shared" si="1"/>
        <v>0</v>
      </c>
      <c r="H29" s="86">
        <f t="shared" si="5"/>
        <v>0</v>
      </c>
      <c r="I29" s="87">
        <f t="shared" si="6"/>
        <v>0</v>
      </c>
      <c r="J29" s="512">
        <f t="shared" si="4"/>
        <v>0</v>
      </c>
    </row>
    <row r="30" spans="1:10">
      <c r="A30" s="455" t="s">
        <v>213</v>
      </c>
      <c r="B30" s="213">
        <f>折疊車!E30</f>
        <v>0</v>
      </c>
      <c r="C30" s="89">
        <f>_xlfn.IFNA(VLOOKUP(A30,[1]折同!$C$3:$H$326,5,0),-[2]整車!$B$22)</f>
        <v>0</v>
      </c>
      <c r="D30" s="515">
        <f t="shared" si="0"/>
        <v>0</v>
      </c>
      <c r="E30" s="537">
        <f>折疊車!G30</f>
        <v>0</v>
      </c>
      <c r="F30" s="214">
        <f>_xlfn.IFNA(VLOOKUP(A30,[1]折同!$C$3:$H$355,3,0),-[2]整車!$B$22)</f>
        <v>0</v>
      </c>
      <c r="G30" s="515">
        <f t="shared" si="1"/>
        <v>0</v>
      </c>
      <c r="H30" s="86">
        <f t="shared" si="5"/>
        <v>0</v>
      </c>
      <c r="I30" s="87">
        <f t="shared" si="6"/>
        <v>0</v>
      </c>
      <c r="J30" s="512">
        <f t="shared" si="4"/>
        <v>0</v>
      </c>
    </row>
    <row r="31" spans="1:10">
      <c r="A31" s="455" t="s">
        <v>17</v>
      </c>
      <c r="B31" s="213">
        <f>折疊車!E31</f>
        <v>0</v>
      </c>
      <c r="C31" s="89">
        <f>_xlfn.IFNA(VLOOKUP(A31,[1]折同!$C$3:$H$326,5,0),-[2]整車!$B$22)</f>
        <v>0</v>
      </c>
      <c r="D31" s="515">
        <f t="shared" si="0"/>
        <v>0</v>
      </c>
      <c r="E31" s="537">
        <f>折疊車!G31</f>
        <v>0</v>
      </c>
      <c r="F31" s="214">
        <f>_xlfn.IFNA(VLOOKUP(A31,[1]折同!$C$3:$H$355,3,0),-[2]整車!$B$22)</f>
        <v>0</v>
      </c>
      <c r="G31" s="515">
        <f t="shared" si="1"/>
        <v>0</v>
      </c>
      <c r="H31" s="86">
        <f t="shared" si="5"/>
        <v>0</v>
      </c>
      <c r="I31" s="87">
        <f t="shared" si="6"/>
        <v>0</v>
      </c>
      <c r="J31" s="512">
        <f t="shared" si="4"/>
        <v>0</v>
      </c>
    </row>
    <row r="32" spans="1:10">
      <c r="A32" s="455" t="s">
        <v>18</v>
      </c>
      <c r="B32" s="213">
        <f>折疊車!E32</f>
        <v>0</v>
      </c>
      <c r="C32" s="89">
        <f>_xlfn.IFNA(VLOOKUP(A32,[1]折同!$C$3:$H$326,5,0),-[2]整車!$B$22)</f>
        <v>0</v>
      </c>
      <c r="D32" s="515">
        <f t="shared" si="0"/>
        <v>0</v>
      </c>
      <c r="E32" s="537">
        <f>折疊車!G32</f>
        <v>0</v>
      </c>
      <c r="F32" s="214">
        <f>_xlfn.IFNA(VLOOKUP(A32,[1]折同!$C$3:$H$355,3,0),-[2]整車!$B$22)</f>
        <v>0</v>
      </c>
      <c r="G32" s="515">
        <f t="shared" si="1"/>
        <v>0</v>
      </c>
      <c r="H32" s="86">
        <f t="shared" si="5"/>
        <v>0</v>
      </c>
      <c r="I32" s="87">
        <f t="shared" si="6"/>
        <v>0</v>
      </c>
      <c r="J32" s="512">
        <f t="shared" si="4"/>
        <v>0</v>
      </c>
    </row>
    <row r="33" spans="1:10">
      <c r="A33" s="455" t="s">
        <v>214</v>
      </c>
      <c r="B33" s="213">
        <f>折疊車!E33</f>
        <v>0</v>
      </c>
      <c r="C33" s="89">
        <f>_xlfn.IFNA(VLOOKUP(A33,[1]折同!$C$3:$H$326,5,0),-[2]整車!$B$22)</f>
        <v>0</v>
      </c>
      <c r="D33" s="515">
        <f t="shared" si="0"/>
        <v>0</v>
      </c>
      <c r="E33" s="537">
        <f>折疊車!G33</f>
        <v>0</v>
      </c>
      <c r="F33" s="214">
        <f>_xlfn.IFNA(VLOOKUP(A33,[1]折同!$C$3:$H$355,3,0),-[2]整車!$B$22)</f>
        <v>0</v>
      </c>
      <c r="G33" s="515">
        <f t="shared" si="1"/>
        <v>0</v>
      </c>
      <c r="H33" s="86">
        <f t="shared" si="5"/>
        <v>0</v>
      </c>
      <c r="I33" s="87">
        <f t="shared" si="6"/>
        <v>0</v>
      </c>
      <c r="J33" s="512">
        <f t="shared" si="4"/>
        <v>0</v>
      </c>
    </row>
    <row r="34" spans="1:10">
      <c r="A34" s="455" t="s">
        <v>215</v>
      </c>
      <c r="B34" s="213">
        <f>折疊車!E34</f>
        <v>0</v>
      </c>
      <c r="C34" s="89">
        <f>_xlfn.IFNA(VLOOKUP(A34,[1]折同!$C$3:$H$326,5,0),-[2]整車!$B$22)</f>
        <v>0</v>
      </c>
      <c r="D34" s="515">
        <f t="shared" si="0"/>
        <v>0</v>
      </c>
      <c r="E34" s="537">
        <f>折疊車!G34</f>
        <v>0</v>
      </c>
      <c r="F34" s="214">
        <f>_xlfn.IFNA(VLOOKUP(A34,[1]折同!$C$3:$H$355,3,0),-[2]整車!$B$22)</f>
        <v>0</v>
      </c>
      <c r="G34" s="515">
        <f t="shared" si="1"/>
        <v>0</v>
      </c>
      <c r="H34" s="86">
        <f t="shared" si="5"/>
        <v>0</v>
      </c>
      <c r="I34" s="87">
        <f t="shared" si="6"/>
        <v>0</v>
      </c>
      <c r="J34" s="512">
        <f t="shared" si="4"/>
        <v>0</v>
      </c>
    </row>
    <row r="35" spans="1:10">
      <c r="A35" s="455" t="s">
        <v>216</v>
      </c>
      <c r="B35" s="213">
        <f>折疊車!E35</f>
        <v>0</v>
      </c>
      <c r="C35" s="89">
        <f>_xlfn.IFNA(VLOOKUP(A35,[1]折同!$C$3:$H$326,5,0),-[2]整車!$B$22)</f>
        <v>0</v>
      </c>
      <c r="D35" s="515">
        <f t="shared" si="0"/>
        <v>0</v>
      </c>
      <c r="E35" s="537">
        <f>折疊車!G35</f>
        <v>0</v>
      </c>
      <c r="F35" s="214">
        <f>_xlfn.IFNA(VLOOKUP(A35,[1]折同!$C$3:$H$355,3,0),-[2]整車!$B$22)</f>
        <v>0</v>
      </c>
      <c r="G35" s="515">
        <f t="shared" si="1"/>
        <v>0</v>
      </c>
      <c r="H35" s="86">
        <f t="shared" si="5"/>
        <v>0</v>
      </c>
      <c r="I35" s="87">
        <f t="shared" si="6"/>
        <v>0</v>
      </c>
      <c r="J35" s="512">
        <f t="shared" si="4"/>
        <v>0</v>
      </c>
    </row>
    <row r="36" spans="1:10">
      <c r="A36" s="455" t="s">
        <v>384</v>
      </c>
      <c r="B36" s="213">
        <f>折疊車!E36</f>
        <v>0</v>
      </c>
      <c r="C36" s="89">
        <f>_xlfn.IFNA(VLOOKUP(A36,[1]折同!$C$3:$H$326,5,0),-[2]整車!$B$22)</f>
        <v>0</v>
      </c>
      <c r="D36" s="515">
        <f t="shared" si="0"/>
        <v>0</v>
      </c>
      <c r="E36" s="537">
        <f>折疊車!G36</f>
        <v>0</v>
      </c>
      <c r="F36" s="214">
        <f>_xlfn.IFNA(VLOOKUP(A36,[1]折同!$C$3:$H$355,3,0),-[2]整車!$B$22)</f>
        <v>0</v>
      </c>
      <c r="G36" s="515">
        <f t="shared" si="1"/>
        <v>0</v>
      </c>
      <c r="H36" s="86">
        <f t="shared" si="5"/>
        <v>0</v>
      </c>
      <c r="I36" s="87">
        <f t="shared" si="6"/>
        <v>0</v>
      </c>
      <c r="J36" s="512">
        <f t="shared" si="4"/>
        <v>0</v>
      </c>
    </row>
    <row r="37" spans="1:10">
      <c r="A37" s="455" t="s">
        <v>218</v>
      </c>
      <c r="B37" s="213">
        <f>折疊車!E37</f>
        <v>0</v>
      </c>
      <c r="C37" s="89">
        <f>_xlfn.IFNA(VLOOKUP(A37,[1]折同!$C$3:$H$326,5,0),-[2]整車!$B$22)</f>
        <v>0</v>
      </c>
      <c r="D37" s="515">
        <f t="shared" si="0"/>
        <v>0</v>
      </c>
      <c r="E37" s="537">
        <f>折疊車!G37</f>
        <v>0</v>
      </c>
      <c r="F37" s="214">
        <f>_xlfn.IFNA(VLOOKUP(A37,[1]折同!$C$3:$H$355,3,0),-[2]整車!$B$22)</f>
        <v>0</v>
      </c>
      <c r="G37" s="515">
        <f t="shared" si="1"/>
        <v>0</v>
      </c>
      <c r="H37" s="86">
        <f t="shared" si="5"/>
        <v>0</v>
      </c>
      <c r="I37" s="87">
        <f t="shared" si="6"/>
        <v>0</v>
      </c>
      <c r="J37" s="512">
        <f t="shared" si="4"/>
        <v>0</v>
      </c>
    </row>
    <row r="38" spans="1:10">
      <c r="A38" s="455" t="s">
        <v>219</v>
      </c>
      <c r="B38" s="213">
        <f>折疊車!E38</f>
        <v>0</v>
      </c>
      <c r="C38" s="89">
        <f>_xlfn.IFNA(VLOOKUP(A38,[1]折同!$C$3:$H$326,5,0),-[2]整車!$B$22)</f>
        <v>0</v>
      </c>
      <c r="D38" s="515">
        <f t="shared" si="0"/>
        <v>0</v>
      </c>
      <c r="E38" s="537">
        <f>折疊車!G38</f>
        <v>0</v>
      </c>
      <c r="F38" s="214">
        <f>_xlfn.IFNA(VLOOKUP(A38,[1]折同!$C$3:$H$355,3,0),-[2]整車!$B$22)</f>
        <v>0</v>
      </c>
      <c r="G38" s="515">
        <f t="shared" si="1"/>
        <v>0</v>
      </c>
      <c r="H38" s="86">
        <f t="shared" si="5"/>
        <v>0</v>
      </c>
      <c r="I38" s="87">
        <f t="shared" si="6"/>
        <v>0</v>
      </c>
      <c r="J38" s="512">
        <f t="shared" si="4"/>
        <v>0</v>
      </c>
    </row>
    <row r="39" spans="1:10">
      <c r="A39" s="455" t="s">
        <v>19</v>
      </c>
      <c r="B39" s="213">
        <f>折疊車!E39</f>
        <v>0</v>
      </c>
      <c r="C39" s="89">
        <f>_xlfn.IFNA(VLOOKUP(A39,[1]折同!$C$3:$H$326,5,0),-[2]整車!$B$22)</f>
        <v>0</v>
      </c>
      <c r="D39" s="515">
        <f t="shared" si="0"/>
        <v>0</v>
      </c>
      <c r="E39" s="537">
        <f>折疊車!G39</f>
        <v>0</v>
      </c>
      <c r="F39" s="214">
        <f>_xlfn.IFNA(VLOOKUP(A39,[1]折同!$C$3:$H$355,3,0),-[2]整車!$B$22)</f>
        <v>0</v>
      </c>
      <c r="G39" s="515">
        <f t="shared" si="1"/>
        <v>0</v>
      </c>
      <c r="H39" s="86">
        <f t="shared" si="5"/>
        <v>0</v>
      </c>
      <c r="I39" s="87">
        <f t="shared" si="6"/>
        <v>0</v>
      </c>
      <c r="J39" s="512">
        <f t="shared" si="4"/>
        <v>0</v>
      </c>
    </row>
    <row r="40" spans="1:10">
      <c r="A40" s="30"/>
      <c r="B40" s="27"/>
      <c r="C40" s="89"/>
      <c r="D40" s="515"/>
      <c r="E40" s="537"/>
      <c r="F40" s="89"/>
      <c r="G40" s="515"/>
      <c r="H40" s="86"/>
      <c r="I40" s="87"/>
      <c r="J40" s="512"/>
    </row>
    <row r="41" spans="1:10" ht="16.149999999999999" customHeight="1">
      <c r="A41" s="36" t="s">
        <v>20</v>
      </c>
      <c r="B41" s="33">
        <f>SUM(B42:B45)</f>
        <v>0</v>
      </c>
      <c r="C41" s="90">
        <f>SUM(C42:C45)</f>
        <v>0</v>
      </c>
      <c r="D41" s="515">
        <f t="shared" si="0"/>
        <v>0</v>
      </c>
      <c r="E41" s="538">
        <f>SUM(E42:E45)</f>
        <v>0</v>
      </c>
      <c r="F41" s="90">
        <f>SUM(F42:F45)</f>
        <v>0</v>
      </c>
      <c r="G41" s="515">
        <f t="shared" si="1"/>
        <v>0</v>
      </c>
      <c r="H41" s="86">
        <f t="shared" si="5"/>
        <v>0</v>
      </c>
      <c r="I41" s="87">
        <f t="shared" si="6"/>
        <v>0</v>
      </c>
      <c r="J41" s="512">
        <f t="shared" si="4"/>
        <v>0</v>
      </c>
    </row>
    <row r="42" spans="1:10">
      <c r="A42" s="26" t="s">
        <v>220</v>
      </c>
      <c r="B42" s="27">
        <f>折疊車!E42</f>
        <v>0</v>
      </c>
      <c r="C42" s="89">
        <f>_xlfn.IFNA(VLOOKUP(A42,[1]折同!$C$3:$H$326,5,0),-[2]整車!$B$22)</f>
        <v>0</v>
      </c>
      <c r="D42" s="515">
        <f t="shared" si="0"/>
        <v>0</v>
      </c>
      <c r="E42" s="537">
        <f>折疊車!G42</f>
        <v>0</v>
      </c>
      <c r="F42" s="214">
        <f>_xlfn.IFNA(VLOOKUP(A42,[1]折同!$C$3:$H$325,3,0),-[2]整車!$B$22)</f>
        <v>0</v>
      </c>
      <c r="G42" s="515">
        <f t="shared" si="1"/>
        <v>0</v>
      </c>
      <c r="H42" s="86">
        <f t="shared" si="5"/>
        <v>0</v>
      </c>
      <c r="I42" s="87">
        <f t="shared" si="6"/>
        <v>0</v>
      </c>
      <c r="J42" s="512">
        <f t="shared" si="4"/>
        <v>0</v>
      </c>
    </row>
    <row r="43" spans="1:10">
      <c r="A43" s="26" t="s">
        <v>221</v>
      </c>
      <c r="B43" s="27">
        <f>折疊車!E43</f>
        <v>0</v>
      </c>
      <c r="C43" s="89">
        <f>_xlfn.IFNA(VLOOKUP(A43,[1]折同!$C$3:$H$326,5,0),-[2]整車!$B$22)</f>
        <v>0</v>
      </c>
      <c r="D43" s="515">
        <f t="shared" si="0"/>
        <v>0</v>
      </c>
      <c r="E43" s="537">
        <f>折疊車!G43</f>
        <v>0</v>
      </c>
      <c r="F43" s="214">
        <f>_xlfn.IFNA(VLOOKUP(A43,[1]折同!$C$3:$H$325,3,0),-[2]整車!$B$22)</f>
        <v>0</v>
      </c>
      <c r="G43" s="515">
        <f t="shared" si="1"/>
        <v>0</v>
      </c>
      <c r="H43" s="86">
        <f t="shared" si="5"/>
        <v>0</v>
      </c>
      <c r="I43" s="87">
        <f t="shared" si="6"/>
        <v>0</v>
      </c>
      <c r="J43" s="512">
        <f t="shared" si="4"/>
        <v>0</v>
      </c>
    </row>
    <row r="44" spans="1:10">
      <c r="A44" s="26" t="s">
        <v>222</v>
      </c>
      <c r="B44" s="27">
        <f>折疊車!E44</f>
        <v>0</v>
      </c>
      <c r="C44" s="89">
        <f>_xlfn.IFNA(VLOOKUP(A44,[1]折同!$C$3:$H$326,5,0),-[2]整車!$B$22)</f>
        <v>0</v>
      </c>
      <c r="D44" s="515">
        <f t="shared" si="0"/>
        <v>0</v>
      </c>
      <c r="E44" s="537">
        <f>折疊車!G44</f>
        <v>0</v>
      </c>
      <c r="F44" s="214">
        <f>_xlfn.IFNA(VLOOKUP(A44,[1]折同!$C$3:$H$325,3,0),-[2]整車!$B$22)</f>
        <v>0</v>
      </c>
      <c r="G44" s="515">
        <f t="shared" si="1"/>
        <v>0</v>
      </c>
      <c r="H44" s="86">
        <f t="shared" si="5"/>
        <v>0</v>
      </c>
      <c r="I44" s="87">
        <f t="shared" si="6"/>
        <v>0</v>
      </c>
      <c r="J44" s="512">
        <f t="shared" si="4"/>
        <v>0</v>
      </c>
    </row>
    <row r="45" spans="1:10">
      <c r="A45" s="30" t="s">
        <v>21</v>
      </c>
      <c r="B45" s="27">
        <f>折疊車!E45</f>
        <v>0</v>
      </c>
      <c r="C45" s="89">
        <f>_xlfn.IFNA(VLOOKUP(A45,[1]折同!$C$3:$H$326,5,0),-[2]整車!$B$22)</f>
        <v>0</v>
      </c>
      <c r="D45" s="515">
        <f t="shared" si="0"/>
        <v>0</v>
      </c>
      <c r="E45" s="537">
        <f>折疊車!G45</f>
        <v>0</v>
      </c>
      <c r="F45" s="214">
        <f>_xlfn.IFNA(VLOOKUP(A45,[1]折同!$C$3:$H$325,3,0),-[2]整車!$B$22)</f>
        <v>0</v>
      </c>
      <c r="G45" s="515">
        <f t="shared" si="1"/>
        <v>0</v>
      </c>
      <c r="H45" s="86">
        <f t="shared" si="5"/>
        <v>0</v>
      </c>
      <c r="I45" s="87">
        <f t="shared" si="6"/>
        <v>0</v>
      </c>
      <c r="J45" s="512">
        <f t="shared" si="4"/>
        <v>0</v>
      </c>
    </row>
    <row r="46" spans="1:10">
      <c r="A46" s="30"/>
      <c r="B46" s="27"/>
      <c r="C46" s="89"/>
      <c r="D46" s="515"/>
      <c r="E46" s="537"/>
      <c r="F46" s="89"/>
      <c r="G46" s="515"/>
      <c r="H46" s="86"/>
      <c r="I46" s="87"/>
      <c r="J46" s="512"/>
    </row>
    <row r="47" spans="1:10">
      <c r="A47" s="36" t="s">
        <v>22</v>
      </c>
      <c r="B47" s="33">
        <f>SUM(B48:B66)</f>
        <v>7810</v>
      </c>
      <c r="C47" s="90">
        <f>SUM(C48:C66)</f>
        <v>10658</v>
      </c>
      <c r="D47" s="515">
        <f t="shared" si="0"/>
        <v>-0.26721711390504788</v>
      </c>
      <c r="E47" s="538">
        <f>SUM(E48:E66)</f>
        <v>5576174</v>
      </c>
      <c r="F47" s="90">
        <f>SUM(F48:F66)</f>
        <v>8196303</v>
      </c>
      <c r="G47" s="515">
        <f t="shared" si="1"/>
        <v>-0.31967205214350908</v>
      </c>
      <c r="H47" s="86">
        <f t="shared" si="5"/>
        <v>713.97874519846346</v>
      </c>
      <c r="I47" s="87">
        <f t="shared" si="6"/>
        <v>769.02824169637836</v>
      </c>
      <c r="J47" s="512">
        <f t="shared" si="4"/>
        <v>-7.1583192284957867E-2</v>
      </c>
    </row>
    <row r="48" spans="1:10">
      <c r="A48" s="487" t="s">
        <v>163</v>
      </c>
      <c r="B48" s="27">
        <f>折疊車!E48</f>
        <v>0</v>
      </c>
      <c r="C48" s="89">
        <f>_xlfn.IFNA(VLOOKUP(A48,[1]折同!$C$3:$H$352,5,0),-[2]整車!$B$22)</f>
        <v>1352</v>
      </c>
      <c r="D48" s="515">
        <f t="shared" si="0"/>
        <v>-1</v>
      </c>
      <c r="E48" s="537">
        <f>折疊車!G48</f>
        <v>0</v>
      </c>
      <c r="F48" s="214">
        <f>_xlfn.IFNA(VLOOKUP(A48,[1]折同!$C$3:$H$532,3,0),-[2]整車!$B$22)</f>
        <v>302135</v>
      </c>
      <c r="G48" s="515">
        <f t="shared" si="1"/>
        <v>-1</v>
      </c>
      <c r="H48" s="86">
        <f t="shared" si="5"/>
        <v>0</v>
      </c>
      <c r="I48" s="87">
        <f t="shared" si="6"/>
        <v>223.47263313609469</v>
      </c>
      <c r="J48" s="512">
        <f t="shared" si="4"/>
        <v>-1</v>
      </c>
    </row>
    <row r="49" spans="1:10">
      <c r="A49" s="454" t="s">
        <v>223</v>
      </c>
      <c r="B49" s="27">
        <f>折疊車!E49</f>
        <v>1308</v>
      </c>
      <c r="C49" s="89">
        <f>_xlfn.IFNA(VLOOKUP(A49,[1]折同!$C$3:$H$352,5,0),-[2]整車!$B$22)</f>
        <v>2246</v>
      </c>
      <c r="D49" s="515">
        <f t="shared" si="0"/>
        <v>-0.41763134461264473</v>
      </c>
      <c r="E49" s="537">
        <f>折疊車!G49</f>
        <v>1007760</v>
      </c>
      <c r="F49" s="214">
        <f>_xlfn.IFNA(VLOOKUP(A49,[1]折同!$C$3:$H$532,3,0),-[2]整車!$B$22)</f>
        <v>1446862</v>
      </c>
      <c r="G49" s="515">
        <f t="shared" si="1"/>
        <v>-0.30348575054151672</v>
      </c>
      <c r="H49" s="86">
        <f t="shared" si="5"/>
        <v>770.45871559633031</v>
      </c>
      <c r="I49" s="87">
        <f t="shared" si="6"/>
        <v>644.19501335707923</v>
      </c>
      <c r="J49" s="512">
        <f t="shared" si="4"/>
        <v>0.19600229685302256</v>
      </c>
    </row>
    <row r="50" spans="1:10">
      <c r="A50" s="293" t="s">
        <v>224</v>
      </c>
      <c r="B50" s="27">
        <f>折疊車!E50</f>
        <v>0</v>
      </c>
      <c r="C50" s="89">
        <f>_xlfn.IFNA(VLOOKUP(A50,[1]折同!$C$3:$H$352,5,0),-[2]整車!$B$22)</f>
        <v>0</v>
      </c>
      <c r="D50" s="515">
        <f t="shared" si="0"/>
        <v>0</v>
      </c>
      <c r="E50" s="537">
        <f>折疊車!G50</f>
        <v>0</v>
      </c>
      <c r="F50" s="214">
        <f>_xlfn.IFNA(VLOOKUP(A50,[1]折同!$C$3:$H$532,3,0),-[2]整車!$B$22)</f>
        <v>0</v>
      </c>
      <c r="G50" s="515">
        <f t="shared" si="1"/>
        <v>0</v>
      </c>
      <c r="H50" s="86">
        <f t="shared" si="5"/>
        <v>0</v>
      </c>
      <c r="I50" s="87">
        <f t="shared" si="6"/>
        <v>0</v>
      </c>
      <c r="J50" s="512">
        <f t="shared" si="4"/>
        <v>0</v>
      </c>
    </row>
    <row r="51" spans="1:10">
      <c r="A51" s="454" t="s">
        <v>225</v>
      </c>
      <c r="B51" s="27">
        <f>折疊車!E51</f>
        <v>0</v>
      </c>
      <c r="C51" s="89">
        <f>_xlfn.IFNA(VLOOKUP(A51,[1]折同!$C$3:$H$352,5,0),-[2]整車!$B$22)</f>
        <v>0</v>
      </c>
      <c r="D51" s="515">
        <f t="shared" si="0"/>
        <v>0</v>
      </c>
      <c r="E51" s="537">
        <f>折疊車!G51</f>
        <v>0</v>
      </c>
      <c r="F51" s="214">
        <f>_xlfn.IFNA(VLOOKUP(A51,[1]折同!$C$3:$H$532,3,0),-[2]整車!$B$22)</f>
        <v>0</v>
      </c>
      <c r="G51" s="515">
        <f t="shared" si="1"/>
        <v>0</v>
      </c>
      <c r="H51" s="86">
        <f t="shared" si="5"/>
        <v>0</v>
      </c>
      <c r="I51" s="87">
        <f t="shared" si="6"/>
        <v>0</v>
      </c>
      <c r="J51" s="512">
        <f t="shared" si="4"/>
        <v>0</v>
      </c>
    </row>
    <row r="52" spans="1:10">
      <c r="A52" s="455" t="s">
        <v>23</v>
      </c>
      <c r="B52" s="27">
        <f>折疊車!E52</f>
        <v>0</v>
      </c>
      <c r="C52" s="89">
        <f>_xlfn.IFNA(VLOOKUP(A52,[1]折同!$C$3:$H$352,5,0),-[2]整車!$B$22)</f>
        <v>0</v>
      </c>
      <c r="D52" s="515">
        <f t="shared" si="0"/>
        <v>0</v>
      </c>
      <c r="E52" s="537">
        <f>折疊車!G52</f>
        <v>0</v>
      </c>
      <c r="F52" s="214">
        <f>_xlfn.IFNA(VLOOKUP(A52,[1]折同!$C$3:$H$532,3,0),-[2]整車!$B$22)</f>
        <v>0</v>
      </c>
      <c r="G52" s="515">
        <f t="shared" si="1"/>
        <v>0</v>
      </c>
      <c r="H52" s="86">
        <f t="shared" si="5"/>
        <v>0</v>
      </c>
      <c r="I52" s="87">
        <f t="shared" si="6"/>
        <v>0</v>
      </c>
      <c r="J52" s="512">
        <f t="shared" si="4"/>
        <v>0</v>
      </c>
    </row>
    <row r="53" spans="1:10">
      <c r="A53" s="454" t="s">
        <v>226</v>
      </c>
      <c r="B53" s="27">
        <f>折疊車!E53</f>
        <v>0</v>
      </c>
      <c r="C53" s="89">
        <f>_xlfn.IFNA(VLOOKUP(A53,[1]折同!$C$3:$H$352,5,0),-[2]整車!$B$22)</f>
        <v>0</v>
      </c>
      <c r="D53" s="515">
        <f t="shared" si="0"/>
        <v>0</v>
      </c>
      <c r="E53" s="537">
        <f>折疊車!G53</f>
        <v>0</v>
      </c>
      <c r="F53" s="214">
        <f>_xlfn.IFNA(VLOOKUP(A53,[1]折同!$C$3:$H$532,3,0),-[2]整車!$B$22)</f>
        <v>0</v>
      </c>
      <c r="G53" s="515">
        <f t="shared" si="1"/>
        <v>0</v>
      </c>
      <c r="H53" s="86">
        <f t="shared" si="5"/>
        <v>0</v>
      </c>
      <c r="I53" s="87">
        <f t="shared" si="6"/>
        <v>0</v>
      </c>
      <c r="J53" s="512">
        <f t="shared" si="4"/>
        <v>0</v>
      </c>
    </row>
    <row r="54" spans="1:10">
      <c r="A54" s="455" t="s">
        <v>227</v>
      </c>
      <c r="B54" s="27">
        <f>折疊車!E54</f>
        <v>43</v>
      </c>
      <c r="C54" s="89">
        <f>_xlfn.IFNA(VLOOKUP(A54,[1]折同!$C$3:$H$352,5,0),-[2]整車!$B$22)</f>
        <v>44</v>
      </c>
      <c r="D54" s="515">
        <f t="shared" si="0"/>
        <v>-2.2727272727272728E-2</v>
      </c>
      <c r="E54" s="537">
        <f>折疊車!G54</f>
        <v>29985</v>
      </c>
      <c r="F54" s="214">
        <f>_xlfn.IFNA(VLOOKUP(A54,[1]折同!$C$3:$H$532,3,0),-[2]整車!$B$22)</f>
        <v>43493</v>
      </c>
      <c r="G54" s="515">
        <f t="shared" si="1"/>
        <v>-0.31057871381601637</v>
      </c>
      <c r="H54" s="86">
        <f t="shared" si="5"/>
        <v>697.32558139534888</v>
      </c>
      <c r="I54" s="87">
        <f t="shared" si="6"/>
        <v>988.47727272727275</v>
      </c>
      <c r="J54" s="512">
        <f t="shared" si="4"/>
        <v>-0.29454566064894694</v>
      </c>
    </row>
    <row r="55" spans="1:10">
      <c r="A55" s="455" t="s">
        <v>24</v>
      </c>
      <c r="B55" s="27">
        <f>折疊車!E55</f>
        <v>0</v>
      </c>
      <c r="C55" s="89">
        <f>_xlfn.IFNA(VLOOKUP(A55,[1]折同!$C$3:$H$352,5,0),-[2]整車!$B$22)</f>
        <v>0</v>
      </c>
      <c r="D55" s="515">
        <f t="shared" si="0"/>
        <v>0</v>
      </c>
      <c r="E55" s="537">
        <f>折疊車!G55</f>
        <v>0</v>
      </c>
      <c r="F55" s="214">
        <f>_xlfn.IFNA(VLOOKUP(A55,[1]折同!$C$3:$H$532,3,0),-[2]整車!$B$22)</f>
        <v>0</v>
      </c>
      <c r="G55" s="515">
        <f t="shared" si="1"/>
        <v>0</v>
      </c>
      <c r="H55" s="86">
        <f t="shared" si="5"/>
        <v>0</v>
      </c>
      <c r="I55" s="87">
        <f t="shared" si="6"/>
        <v>0</v>
      </c>
      <c r="J55" s="512">
        <f t="shared" si="4"/>
        <v>0</v>
      </c>
    </row>
    <row r="56" spans="1:10">
      <c r="A56" s="455" t="s">
        <v>228</v>
      </c>
      <c r="B56" s="27">
        <f>折疊車!E56</f>
        <v>3196</v>
      </c>
      <c r="C56" s="89">
        <f>_xlfn.IFNA(VLOOKUP(A56,[1]折同!$C$3:$H$352,5,0),-[2]整車!$B$22)</f>
        <v>2628</v>
      </c>
      <c r="D56" s="515">
        <f t="shared" si="0"/>
        <v>0.21613394216133941</v>
      </c>
      <c r="E56" s="537">
        <f>折疊車!G56</f>
        <v>2056250</v>
      </c>
      <c r="F56" s="214">
        <f>_xlfn.IFNA(VLOOKUP(A56,[1]折同!$C$3:$H$532,3,0),-[2]整車!$B$22)</f>
        <v>2540495</v>
      </c>
      <c r="G56" s="515">
        <f t="shared" si="1"/>
        <v>-0.19061049126252955</v>
      </c>
      <c r="H56" s="86">
        <f t="shared" si="5"/>
        <v>643.38235294117646</v>
      </c>
      <c r="I56" s="87">
        <f t="shared" si="6"/>
        <v>966.70281582952816</v>
      </c>
      <c r="J56" s="512">
        <f t="shared" si="4"/>
        <v>-0.33445693712075336</v>
      </c>
    </row>
    <row r="57" spans="1:10">
      <c r="A57" s="457" t="s">
        <v>229</v>
      </c>
      <c r="B57" s="27">
        <f>折疊車!E57</f>
        <v>2095</v>
      </c>
      <c r="C57" s="89">
        <f>_xlfn.IFNA(VLOOKUP(A57,[1]折同!$C$3:$H$352,5,0),-[2]整車!$B$22)</f>
        <v>3204</v>
      </c>
      <c r="D57" s="515">
        <f t="shared" si="0"/>
        <v>-0.34612983770287142</v>
      </c>
      <c r="E57" s="537">
        <f>折疊車!G57</f>
        <v>1773882</v>
      </c>
      <c r="F57" s="214">
        <f>_xlfn.IFNA(VLOOKUP(A57,[1]折同!$C$3:$H$532,3,0),-[2]整車!$B$22)</f>
        <v>2978947</v>
      </c>
      <c r="G57" s="515">
        <f t="shared" si="1"/>
        <v>-0.40452717017120476</v>
      </c>
      <c r="H57" s="86">
        <f t="shared" si="5"/>
        <v>846.72171837708834</v>
      </c>
      <c r="I57" s="87">
        <f t="shared" si="6"/>
        <v>929.75873907615482</v>
      </c>
      <c r="J57" s="512">
        <f t="shared" si="4"/>
        <v>-8.9310287937250654E-2</v>
      </c>
    </row>
    <row r="58" spans="1:10">
      <c r="A58" s="296" t="s">
        <v>385</v>
      </c>
      <c r="B58" s="27">
        <f>折疊車!E58</f>
        <v>343</v>
      </c>
      <c r="C58" s="89">
        <f>_xlfn.IFNA(VLOOKUP(A58,[1]折同!$C$3:$H$352,5,0),-[2]整車!$B$22)</f>
        <v>657</v>
      </c>
      <c r="D58" s="515">
        <f t="shared" si="0"/>
        <v>-0.47792998477929982</v>
      </c>
      <c r="E58" s="537">
        <f>折疊車!G58</f>
        <v>341709</v>
      </c>
      <c r="F58" s="214">
        <f>_xlfn.IFNA(VLOOKUP(A58,[1]折同!$C$3:$H$532,3,0),-[2]整車!$B$22)</f>
        <v>641304</v>
      </c>
      <c r="G58" s="515">
        <f t="shared" si="1"/>
        <v>-0.46716533812357319</v>
      </c>
      <c r="H58" s="86">
        <f t="shared" si="5"/>
        <v>996.23615160349857</v>
      </c>
      <c r="I58" s="87">
        <f t="shared" si="6"/>
        <v>976.10958904109589</v>
      </c>
      <c r="J58" s="512">
        <f t="shared" si="4"/>
        <v>2.0619162836187772E-2</v>
      </c>
    </row>
    <row r="59" spans="1:10">
      <c r="A59" s="455" t="s">
        <v>25</v>
      </c>
      <c r="B59" s="27">
        <f>折疊車!E59</f>
        <v>820</v>
      </c>
      <c r="C59" s="89">
        <f>_xlfn.IFNA(VLOOKUP(A59,[1]折同!$C$3:$H$352,5,0),-[2]整車!$B$22)</f>
        <v>440</v>
      </c>
      <c r="D59" s="515">
        <f t="shared" si="0"/>
        <v>0.86363636363636365</v>
      </c>
      <c r="E59" s="537">
        <f>折疊車!G59</f>
        <v>366327</v>
      </c>
      <c r="F59" s="214">
        <f>_xlfn.IFNA(VLOOKUP(A59,[1]折同!$C$3:$H$532,3,0),-[2]整車!$B$22)</f>
        <v>139662</v>
      </c>
      <c r="G59" s="515">
        <f t="shared" si="1"/>
        <v>1.6229539889160975</v>
      </c>
      <c r="H59" s="86">
        <f t="shared" si="5"/>
        <v>446.74024390243903</v>
      </c>
      <c r="I59" s="87">
        <f t="shared" si="6"/>
        <v>317.41363636363639</v>
      </c>
      <c r="J59" s="512">
        <f t="shared" si="4"/>
        <v>0.40743872575985707</v>
      </c>
    </row>
    <row r="60" spans="1:10">
      <c r="A60" s="455" t="s">
        <v>26</v>
      </c>
      <c r="B60" s="27">
        <f>折疊車!E60</f>
        <v>0</v>
      </c>
      <c r="C60" s="89">
        <f>_xlfn.IFNA(VLOOKUP(A60,[1]折同!$C$3:$H$352,5,0),-[2]整車!$B$22)</f>
        <v>0</v>
      </c>
      <c r="D60" s="515">
        <f t="shared" si="0"/>
        <v>0</v>
      </c>
      <c r="E60" s="537">
        <f>折疊車!G60</f>
        <v>0</v>
      </c>
      <c r="F60" s="214">
        <f>_xlfn.IFNA(VLOOKUP(A60,[1]折同!$C$3:$H$532,3,0),-[2]整車!$B$22)</f>
        <v>0</v>
      </c>
      <c r="G60" s="515">
        <f t="shared" si="1"/>
        <v>0</v>
      </c>
      <c r="H60" s="86">
        <f t="shared" si="5"/>
        <v>0</v>
      </c>
      <c r="I60" s="87">
        <f t="shared" si="6"/>
        <v>0</v>
      </c>
      <c r="J60" s="512">
        <f t="shared" si="4"/>
        <v>0</v>
      </c>
    </row>
    <row r="61" spans="1:10">
      <c r="A61" s="455" t="s">
        <v>27</v>
      </c>
      <c r="B61" s="27">
        <f>折疊車!E61</f>
        <v>0</v>
      </c>
      <c r="C61" s="89">
        <f>_xlfn.IFNA(VLOOKUP(A61,[1]折同!$C$3:$H$352,5,0),-[2]整車!$B$22)</f>
        <v>0</v>
      </c>
      <c r="D61" s="515">
        <f t="shared" si="0"/>
        <v>0</v>
      </c>
      <c r="E61" s="537">
        <f>折疊車!G61</f>
        <v>0</v>
      </c>
      <c r="F61" s="214">
        <f>_xlfn.IFNA(VLOOKUP(A61,[1]折同!$C$3:$H$532,3,0),-[2]整車!$B$22)</f>
        <v>0</v>
      </c>
      <c r="G61" s="515">
        <f t="shared" si="1"/>
        <v>0</v>
      </c>
      <c r="H61" s="86">
        <f t="shared" si="5"/>
        <v>0</v>
      </c>
      <c r="I61" s="87">
        <f t="shared" si="6"/>
        <v>0</v>
      </c>
      <c r="J61" s="512">
        <f t="shared" si="4"/>
        <v>0</v>
      </c>
    </row>
    <row r="62" spans="1:10">
      <c r="A62" s="296" t="s">
        <v>230</v>
      </c>
      <c r="B62" s="27">
        <f>折疊車!E62</f>
        <v>0</v>
      </c>
      <c r="C62" s="89">
        <f>_xlfn.IFNA(VLOOKUP(A62,[1]折同!$C$3:$H$352,5,0),-[2]整車!$B$22)</f>
        <v>0</v>
      </c>
      <c r="D62" s="515">
        <f t="shared" si="0"/>
        <v>0</v>
      </c>
      <c r="E62" s="537">
        <f>折疊車!G62</f>
        <v>0</v>
      </c>
      <c r="F62" s="214">
        <f>_xlfn.IFNA(VLOOKUP(A62,[1]折同!$C$3:$H$532,3,0),-[2]整車!$B$22)</f>
        <v>0</v>
      </c>
      <c r="G62" s="515">
        <f t="shared" si="1"/>
        <v>0</v>
      </c>
      <c r="H62" s="86">
        <f t="shared" si="5"/>
        <v>0</v>
      </c>
      <c r="I62" s="87">
        <f t="shared" si="6"/>
        <v>0</v>
      </c>
      <c r="J62" s="512">
        <f t="shared" si="4"/>
        <v>0</v>
      </c>
    </row>
    <row r="63" spans="1:10">
      <c r="A63" s="455" t="s">
        <v>28</v>
      </c>
      <c r="B63" s="27">
        <f>折疊車!E63</f>
        <v>0</v>
      </c>
      <c r="C63" s="89">
        <f>_xlfn.IFNA(VLOOKUP(A63,[1]折同!$C$3:$H$352,5,0),-[2]整車!$B$22)</f>
        <v>0</v>
      </c>
      <c r="D63" s="515">
        <f t="shared" si="0"/>
        <v>0</v>
      </c>
      <c r="E63" s="537">
        <f>折疊車!G63</f>
        <v>0</v>
      </c>
      <c r="F63" s="214">
        <f>_xlfn.IFNA(VLOOKUP(A63,[1]折同!$C$3:$H$532,3,0),-[2]整車!$B$22)</f>
        <v>0</v>
      </c>
      <c r="G63" s="515">
        <f t="shared" si="1"/>
        <v>0</v>
      </c>
      <c r="H63" s="86">
        <f t="shared" si="5"/>
        <v>0</v>
      </c>
      <c r="I63" s="87">
        <f t="shared" si="6"/>
        <v>0</v>
      </c>
      <c r="J63" s="512">
        <f t="shared" si="4"/>
        <v>0</v>
      </c>
    </row>
    <row r="64" spans="1:10">
      <c r="A64" s="296" t="s">
        <v>231</v>
      </c>
      <c r="B64" s="27">
        <f>折疊車!E64</f>
        <v>0</v>
      </c>
      <c r="C64" s="89">
        <f>_xlfn.IFNA(VLOOKUP(A64,[1]折同!$C$3:$H$352,5,0),-[2]整車!$B$22)</f>
        <v>0</v>
      </c>
      <c r="D64" s="515">
        <f t="shared" si="0"/>
        <v>0</v>
      </c>
      <c r="E64" s="537">
        <f>折疊車!G64</f>
        <v>0</v>
      </c>
      <c r="F64" s="214">
        <f>_xlfn.IFNA(VLOOKUP(A64,[1]折同!$C$3:$H$532,3,0),-[2]整車!$B$22)</f>
        <v>0</v>
      </c>
      <c r="G64" s="515">
        <f t="shared" si="1"/>
        <v>0</v>
      </c>
      <c r="H64" s="86">
        <f t="shared" si="5"/>
        <v>0</v>
      </c>
      <c r="I64" s="87">
        <f t="shared" si="6"/>
        <v>0</v>
      </c>
      <c r="J64" s="512">
        <f t="shared" si="4"/>
        <v>0</v>
      </c>
    </row>
    <row r="65" spans="1:10">
      <c r="A65" s="455" t="s">
        <v>29</v>
      </c>
      <c r="B65" s="27">
        <f>折疊車!E65</f>
        <v>0</v>
      </c>
      <c r="C65" s="89">
        <f>_xlfn.IFNA(VLOOKUP(A65,[1]折同!$C$3:$H$352,5,0),-[2]整車!$B$22)</f>
        <v>78</v>
      </c>
      <c r="D65" s="515">
        <f t="shared" si="0"/>
        <v>-1</v>
      </c>
      <c r="E65" s="537">
        <f>折疊車!G65</f>
        <v>0</v>
      </c>
      <c r="F65" s="214">
        <f>_xlfn.IFNA(VLOOKUP(A65,[1]折同!$C$3:$H$532,3,0),-[2]整車!$B$22)</f>
        <v>99783</v>
      </c>
      <c r="G65" s="515">
        <f t="shared" si="1"/>
        <v>-1</v>
      </c>
      <c r="H65" s="86">
        <f t="shared" si="5"/>
        <v>0</v>
      </c>
      <c r="I65" s="87">
        <f t="shared" si="6"/>
        <v>1279.2692307692307</v>
      </c>
      <c r="J65" s="512">
        <f t="shared" si="4"/>
        <v>-1</v>
      </c>
    </row>
    <row r="66" spans="1:10">
      <c r="A66" s="296" t="s">
        <v>232</v>
      </c>
      <c r="B66" s="27">
        <f>折疊車!E66</f>
        <v>5</v>
      </c>
      <c r="C66" s="89">
        <f>_xlfn.IFNA(VLOOKUP(A66,[1]折同!$C$3:$H$352,5,0),-[2]整車!$B$22)</f>
        <v>9</v>
      </c>
      <c r="D66" s="515">
        <f t="shared" si="0"/>
        <v>-0.44444444444444442</v>
      </c>
      <c r="E66" s="537">
        <f>折疊車!G66</f>
        <v>261</v>
      </c>
      <c r="F66" s="214">
        <f>_xlfn.IFNA(VLOOKUP(A66,[1]折同!$C$3:$H$532,3,0),-[2]整車!$B$22)</f>
        <v>3622</v>
      </c>
      <c r="G66" s="515">
        <f t="shared" si="1"/>
        <v>-0.9279403644395362</v>
      </c>
      <c r="H66" s="86">
        <f t="shared" si="5"/>
        <v>52.2</v>
      </c>
      <c r="I66" s="87">
        <f t="shared" si="6"/>
        <v>402.44444444444446</v>
      </c>
      <c r="J66" s="512">
        <f t="shared" si="4"/>
        <v>-0.87029265599116512</v>
      </c>
    </row>
    <row r="67" spans="1:10">
      <c r="A67" s="30" t="s">
        <v>30</v>
      </c>
      <c r="B67" s="27">
        <f>B68-B47-B41-B12-B7</f>
        <v>9</v>
      </c>
      <c r="C67" s="89">
        <f>C68-C47-C41-C12-C7</f>
        <v>410</v>
      </c>
      <c r="D67" s="515">
        <f t="shared" si="0"/>
        <v>-0.97804878048780486</v>
      </c>
      <c r="E67" s="537">
        <f>E68-E47-E41-E12-E7</f>
        <v>3786</v>
      </c>
      <c r="F67" s="89">
        <f>F68-F47-F41-F12-F7</f>
        <v>255159</v>
      </c>
      <c r="G67" s="515">
        <f t="shared" si="1"/>
        <v>-0.98516219298555019</v>
      </c>
      <c r="H67" s="86">
        <f t="shared" si="5"/>
        <v>420.66666666666669</v>
      </c>
      <c r="I67" s="87">
        <f t="shared" si="6"/>
        <v>622.33902439024394</v>
      </c>
      <c r="J67" s="512">
        <f t="shared" si="4"/>
        <v>-0.3240554582306196</v>
      </c>
    </row>
    <row r="68" spans="1:10">
      <c r="A68" s="32" t="s">
        <v>403</v>
      </c>
      <c r="B68" s="33">
        <f>折疊車!E68</f>
        <v>10572</v>
      </c>
      <c r="C68" s="89">
        <f>VLOOKUP(A68,[1]折同!$B$2:$H$2,6,0)</f>
        <v>15161</v>
      </c>
      <c r="D68" s="515">
        <f t="shared" si="0"/>
        <v>-0.30268451949079878</v>
      </c>
      <c r="E68" s="538">
        <f>VLOOKUP(A68,[1]折同!$B$2:$H$2,5,0)</f>
        <v>6891987</v>
      </c>
      <c r="F68" s="214">
        <f>VLOOKUP(A68,[1]折同!$B$2:$H$2,4,0)</f>
        <v>10375182</v>
      </c>
      <c r="G68" s="515">
        <f t="shared" si="1"/>
        <v>-0.33572374923157977</v>
      </c>
      <c r="H68" s="86">
        <f t="shared" ref="H68" si="7">E68/B68</f>
        <v>651.90947786606125</v>
      </c>
      <c r="I68" s="87">
        <f>F68/C68</f>
        <v>684.33361915440935</v>
      </c>
      <c r="J68" s="512">
        <f t="shared" si="4"/>
        <v>-4.73806055713187E-2</v>
      </c>
    </row>
    <row r="69" spans="1:10">
      <c r="A69" s="38"/>
      <c r="B69" s="39"/>
      <c r="C69" s="149"/>
      <c r="D69" s="215"/>
      <c r="E69" s="539"/>
      <c r="F69" s="149"/>
      <c r="G69" s="215"/>
    </row>
    <row r="70" spans="1:10" ht="12.75" customHeight="1">
      <c r="A70" s="54" t="s">
        <v>56</v>
      </c>
      <c r="B70" s="13"/>
      <c r="E70" s="540"/>
      <c r="G70" s="59" t="s">
        <v>119</v>
      </c>
    </row>
  </sheetData>
  <phoneticPr fontId="3" type="noConversion"/>
  <conditionalFormatting sqref="D4">
    <cfRule type="cellIs" dxfId="68" priority="3" operator="greaterThanOrEqual">
      <formula>0</formula>
    </cfRule>
    <cfRule type="cellIs" dxfId="67" priority="4" operator="lessThan">
      <formula>0</formula>
    </cfRule>
  </conditionalFormatting>
  <conditionalFormatting sqref="G4">
    <cfRule type="cellIs" dxfId="66" priority="1" operator="greaterThanOrEqual">
      <formula>0</formula>
    </cfRule>
    <cfRule type="cellIs" dxfId="65" priority="2" operator="lessThan">
      <formula>0</formula>
    </cfRule>
  </conditionalFormatting>
  <conditionalFormatting sqref="J1:J3 J6:J1048576">
    <cfRule type="cellIs" dxfId="64" priority="5" operator="greaterThanOrEqual">
      <formula>0</formula>
    </cfRule>
    <cfRule type="cellIs" dxfId="6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4" sqref="A4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477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20" customFormat="1" ht="17.25">
      <c r="A3" s="216" t="s">
        <v>157</v>
      </c>
      <c r="B3" s="217"/>
      <c r="C3" s="217"/>
      <c r="D3" s="217"/>
      <c r="E3" s="218"/>
      <c r="F3" s="218"/>
      <c r="G3" s="218"/>
      <c r="H3" s="218"/>
      <c r="I3" s="219"/>
    </row>
    <row r="4" spans="1:9" s="220" customFormat="1" ht="17.25">
      <c r="A4" s="221" t="s">
        <v>161</v>
      </c>
      <c r="B4" s="222"/>
      <c r="C4" s="222"/>
      <c r="D4" s="222"/>
      <c r="E4" s="223"/>
      <c r="F4" s="223"/>
      <c r="G4" s="223"/>
      <c r="H4" s="223"/>
      <c r="I4" s="224"/>
    </row>
    <row r="5" spans="1:9" s="228" customFormat="1">
      <c r="A5" s="8" t="s">
        <v>464</v>
      </c>
      <c r="B5" s="8" t="s">
        <v>465</v>
      </c>
      <c r="C5" s="8" t="s">
        <v>466</v>
      </c>
      <c r="D5" s="9" t="s">
        <v>1</v>
      </c>
      <c r="E5" s="10" t="s">
        <v>467</v>
      </c>
      <c r="F5" s="11" t="s">
        <v>2</v>
      </c>
      <c r="G5" s="8" t="s">
        <v>468</v>
      </c>
      <c r="H5" s="11" t="s">
        <v>2</v>
      </c>
      <c r="I5" s="12" t="s">
        <v>1</v>
      </c>
    </row>
    <row r="6" spans="1:9" s="228" customFormat="1">
      <c r="A6" s="229"/>
      <c r="B6" s="230" t="s">
        <v>3</v>
      </c>
      <c r="C6" s="231" t="s">
        <v>4</v>
      </c>
      <c r="D6" s="229" t="s">
        <v>4</v>
      </c>
      <c r="E6" s="227" t="s">
        <v>3</v>
      </c>
      <c r="F6" s="227"/>
      <c r="G6" s="225" t="s">
        <v>4</v>
      </c>
      <c r="H6" s="225"/>
      <c r="I6" s="226" t="s">
        <v>4</v>
      </c>
    </row>
    <row r="7" spans="1:9" s="228" customFormat="1">
      <c r="A7" s="232" t="s">
        <v>5</v>
      </c>
      <c r="B7" s="233"/>
      <c r="C7" s="234"/>
      <c r="D7" s="232"/>
      <c r="E7" s="235"/>
      <c r="F7" s="236"/>
      <c r="G7" s="236"/>
      <c r="H7" s="236"/>
      <c r="I7" s="237"/>
    </row>
    <row r="8" spans="1:9" s="228" customFormat="1">
      <c r="A8" s="238" t="s">
        <v>6</v>
      </c>
      <c r="B8" s="239">
        <f>SUM(B9:B11)</f>
        <v>11006</v>
      </c>
      <c r="C8" s="240">
        <f>SUM(C9:C11)</f>
        <v>26359267</v>
      </c>
      <c r="D8" s="241">
        <f>IF(B8,C8/B8,0)</f>
        <v>2394.9906414682901</v>
      </c>
      <c r="E8" s="242">
        <f xml:space="preserve"> SUM(E9:E11)</f>
        <v>160157</v>
      </c>
      <c r="F8" s="243">
        <f>E8/E64</f>
        <v>0.23327560566711869</v>
      </c>
      <c r="G8" s="244">
        <f>SUM(G9:G11)</f>
        <v>349519798</v>
      </c>
      <c r="H8" s="243">
        <f>G8/G64</f>
        <v>0.28807855502541985</v>
      </c>
      <c r="I8" s="245">
        <f>IF(E8,G8/E8,0)</f>
        <v>2182.3572993999637</v>
      </c>
    </row>
    <row r="9" spans="1:9" s="228" customFormat="1">
      <c r="A9" s="246" t="s">
        <v>164</v>
      </c>
      <c r="B9" s="247">
        <f>_xlfn.IFNA(VLOOKUP(A9,[1]電!$C$3:$F$137,4,0),-[2]整車!$B$22)</f>
        <v>9957</v>
      </c>
      <c r="C9" s="247">
        <f>_xlfn.IFNA(VLOOKUP(A9,[1]電!$C$3:$F$317,3,0),-[2]整車!$B$22)</f>
        <v>23751126</v>
      </c>
      <c r="D9" s="241">
        <f t="shared" ref="D9:D63" si="0">IF(B9,C9/B9,0)</f>
        <v>2385.369689665562</v>
      </c>
      <c r="E9" s="248">
        <f>_xlfn.IFNA(VLOOKUP(A9,[1]電同!$C$3:$H$759,6,0),-[2]整車!$B$22)</f>
        <v>142310</v>
      </c>
      <c r="F9" s="243">
        <f>E9/E64</f>
        <v>0.20728067735089731</v>
      </c>
      <c r="G9" s="249">
        <f>_xlfn.IFNA(VLOOKUP(A9,[1]電同!$C$3:$G$576,4,0),-[2]整車!$B$22)</f>
        <v>310934897</v>
      </c>
      <c r="H9" s="243">
        <f>G9/G64</f>
        <v>0.25627640078556507</v>
      </c>
      <c r="I9" s="245">
        <f t="shared" ref="I9:I63" si="1">IF(E9,G9/E9,0)</f>
        <v>2184.912493851451</v>
      </c>
    </row>
    <row r="10" spans="1:9" s="228" customFormat="1">
      <c r="A10" s="37" t="s">
        <v>7</v>
      </c>
      <c r="B10" s="247">
        <f>_xlfn.IFNA(VLOOKUP(A10,[1]電!$C$3:$F$137,4,0),-[2]整車!$B$22)</f>
        <v>1021</v>
      </c>
      <c r="C10" s="247">
        <f>_xlfn.IFNA(VLOOKUP(A10,[1]電!$C$3:$F$317,3,0),-[2]整車!$B$22)</f>
        <v>2506869</v>
      </c>
      <c r="D10" s="241">
        <f t="shared" si="0"/>
        <v>2455.3075416258571</v>
      </c>
      <c r="E10" s="248">
        <f>_xlfn.IFNA(VLOOKUP(A10,[1]電同!$C$3:$H$759,6,0),-[2]整車!$B$22)</f>
        <v>16703</v>
      </c>
      <c r="F10" s="243">
        <f>E10/E64</f>
        <v>2.4328642778385479E-2</v>
      </c>
      <c r="G10" s="249">
        <f>_xlfn.IFNA(VLOOKUP(A10,[1]電同!$C$3:$G$576,4,0),-[2]整車!$B$22)</f>
        <v>36230128</v>
      </c>
      <c r="H10" s="243">
        <f>G10/G64</f>
        <v>2.9861321110702874E-2</v>
      </c>
      <c r="I10" s="245">
        <f t="shared" si="1"/>
        <v>2169.0790875890557</v>
      </c>
    </row>
    <row r="11" spans="1:9" s="228" customFormat="1">
      <c r="A11" s="37" t="s">
        <v>8</v>
      </c>
      <c r="B11" s="247">
        <f>_xlfn.IFNA(VLOOKUP(A11,[1]電!$C$3:$F$137,4,0),-[2]整車!$B$22)</f>
        <v>28</v>
      </c>
      <c r="C11" s="247">
        <f>_xlfn.IFNA(VLOOKUP(A11,[1]電!$C$3:$F$317,3,0),-[2]整車!$B$22)</f>
        <v>101272</v>
      </c>
      <c r="D11" s="241">
        <f t="shared" si="0"/>
        <v>3616.8571428571427</v>
      </c>
      <c r="E11" s="248">
        <f>_xlfn.IFNA(VLOOKUP(A11,[1]電同!$C$3:$H$759,6,0),-[2]整車!$B$22)</f>
        <v>1144</v>
      </c>
      <c r="F11" s="243">
        <f>E11/E64</f>
        <v>1.6662855378358971E-3</v>
      </c>
      <c r="G11" s="249">
        <f>_xlfn.IFNA(VLOOKUP(A11,[1]電同!$C$3:$G$576,4,0),-[2]整車!$B$22)</f>
        <v>2354773</v>
      </c>
      <c r="H11" s="243">
        <f>G11/G64</f>
        <v>1.9408331291518798E-3</v>
      </c>
      <c r="I11" s="245">
        <f t="shared" si="1"/>
        <v>2058.3680069930069</v>
      </c>
    </row>
    <row r="12" spans="1:9" s="228" customFormat="1">
      <c r="A12" s="37"/>
      <c r="B12" s="34"/>
      <c r="C12" s="34"/>
      <c r="D12" s="241"/>
      <c r="E12" s="249"/>
      <c r="F12" s="250"/>
      <c r="G12" s="249"/>
      <c r="H12" s="250"/>
      <c r="I12" s="245"/>
    </row>
    <row r="13" spans="1:9" s="228" customFormat="1">
      <c r="A13" s="251" t="s">
        <v>9</v>
      </c>
      <c r="B13" s="252">
        <f>SUM(B14:B39)</f>
        <v>17257</v>
      </c>
      <c r="C13" s="252">
        <f>SUM(C14:C39)</f>
        <v>34021717</v>
      </c>
      <c r="D13" s="241">
        <f t="shared" si="0"/>
        <v>1971.4734310714493</v>
      </c>
      <c r="E13" s="253">
        <f>SUM(E14:E39)</f>
        <v>407229</v>
      </c>
      <c r="F13" s="243">
        <f>E13/E64</f>
        <v>0.59314667245399877</v>
      </c>
      <c r="G13" s="244">
        <f>SUM(G14:G39)</f>
        <v>646849500</v>
      </c>
      <c r="H13" s="243">
        <f>G13/G64</f>
        <v>0.53314138525256105</v>
      </c>
      <c r="I13" s="245">
        <f t="shared" si="1"/>
        <v>1588.4170822804858</v>
      </c>
    </row>
    <row r="14" spans="1:9" s="228" customFormat="1">
      <c r="A14" s="246" t="s">
        <v>249</v>
      </c>
      <c r="B14" s="247">
        <f>_xlfn.IFNA(VLOOKUP(A14,[1]電!$C$3:$F$357,4,0),-[2]整車!$B$22)</f>
        <v>10950</v>
      </c>
      <c r="C14" s="247">
        <f>_xlfn.IFNA(VLOOKUP(A14,[1]電!$C$3:$F$537,3,0),-[2]整車!$B$22)</f>
        <v>23271542</v>
      </c>
      <c r="D14" s="241">
        <f t="shared" si="0"/>
        <v>2125.2549771689496</v>
      </c>
      <c r="E14" s="247">
        <f>_xlfn.IFNA(VLOOKUP(A14,[1]電同!$C$3:$H$579,6,0),-[2]整車!$B$22)</f>
        <v>241871</v>
      </c>
      <c r="F14" s="243">
        <f>E14/E64</f>
        <v>0.35229558507159636</v>
      </c>
      <c r="G14" s="247">
        <f>_xlfn.IFNA(VLOOKUP(A14,[1]電同!$C$3:$G$756,4,0),-[2]整車!$B$22)</f>
        <v>408185223</v>
      </c>
      <c r="H14" s="243">
        <f>G14/G64</f>
        <v>0.33643132634383349</v>
      </c>
      <c r="I14" s="245">
        <f t="shared" si="1"/>
        <v>1687.6153941563891</v>
      </c>
    </row>
    <row r="15" spans="1:9" s="228" customFormat="1">
      <c r="A15" s="246" t="s">
        <v>250</v>
      </c>
      <c r="B15" s="247">
        <f>_xlfn.IFNA(VLOOKUP(A15,[1]電!$C$3:$F$357,4,0),-[2]整車!$B$22)</f>
        <v>3129</v>
      </c>
      <c r="C15" s="247">
        <f>_xlfn.IFNA(VLOOKUP(A15,[1]電!$C$3:$F$537,3,0),-[2]整車!$B$22)</f>
        <v>6256852</v>
      </c>
      <c r="D15" s="241">
        <f t="shared" si="0"/>
        <v>1999.6331096196868</v>
      </c>
      <c r="E15" s="247">
        <f>_xlfn.IFNA(VLOOKUP(A15,[1]電同!$C$3:$H$579,6,0),-[2]整車!$B$22)</f>
        <v>71603</v>
      </c>
      <c r="F15" s="243">
        <f>E15/E64</f>
        <v>0.10429287007488089</v>
      </c>
      <c r="G15" s="247">
        <f>_xlfn.IFNA(VLOOKUP(A15,[1]電同!$C$3:$G$756,4,0),-[2]整車!$B$22)</f>
        <v>84863783</v>
      </c>
      <c r="H15" s="243">
        <f>G15/G64</f>
        <v>6.9945783101622153E-2</v>
      </c>
      <c r="I15" s="245">
        <f t="shared" si="1"/>
        <v>1185.1987067580967</v>
      </c>
    </row>
    <row r="16" spans="1:9" s="228" customFormat="1">
      <c r="A16" s="37" t="s">
        <v>10</v>
      </c>
      <c r="B16" s="247">
        <f>_xlfn.IFNA(VLOOKUP(A16,[1]電!$C$3:$F$357,4,0),-[2]整車!$B$22)</f>
        <v>430</v>
      </c>
      <c r="C16" s="247">
        <f>_xlfn.IFNA(VLOOKUP(A16,[1]電!$C$3:$F$537,3,0),-[2]整車!$B$22)</f>
        <v>853196</v>
      </c>
      <c r="D16" s="241">
        <f t="shared" si="0"/>
        <v>1984.1767441860466</v>
      </c>
      <c r="E16" s="247">
        <f>_xlfn.IFNA(VLOOKUP(A16,[1]電同!$C$3:$H$579,6,0),-[2]整車!$B$22)</f>
        <v>8437</v>
      </c>
      <c r="F16" s="243">
        <f>E16/E64</f>
        <v>1.228885584153974E-2</v>
      </c>
      <c r="G16" s="247">
        <f>_xlfn.IFNA(VLOOKUP(A16,[1]電同!$C$3:$G$756,4,0),-[2]整車!$B$22)</f>
        <v>15500765</v>
      </c>
      <c r="H16" s="243">
        <f>G16/G64</f>
        <v>1.2775922876301851E-2</v>
      </c>
      <c r="I16" s="245">
        <f t="shared" si="1"/>
        <v>1837.2365769823398</v>
      </c>
    </row>
    <row r="17" spans="1:9" s="228" customFormat="1">
      <c r="A17" s="246" t="s">
        <v>251</v>
      </c>
      <c r="B17" s="247">
        <f>_xlfn.IFNA(VLOOKUP(A17,[1]電!$C$3:$F$357,4,0),-[2]整車!$B$22)</f>
        <v>360</v>
      </c>
      <c r="C17" s="247">
        <f>_xlfn.IFNA(VLOOKUP(A17,[1]電!$C$3:$F$537,3,0),-[2]整車!$B$22)</f>
        <v>394658</v>
      </c>
      <c r="D17" s="241">
        <f t="shared" si="0"/>
        <v>1096.2722222222221</v>
      </c>
      <c r="E17" s="247">
        <f>_xlfn.IFNA(VLOOKUP(A17,[1]電同!$C$3:$H$579,6,0),-[2]整車!$B$22)</f>
        <v>17231</v>
      </c>
      <c r="F17" s="243">
        <f>E17/E64</f>
        <v>2.5097697642002047E-2</v>
      </c>
      <c r="G17" s="247">
        <f>_xlfn.IFNA(VLOOKUP(A17,[1]電同!$C$3:$G$756,4,0),-[2]整車!$B$22)</f>
        <v>22991903</v>
      </c>
      <c r="H17" s="243">
        <f>G17/G64</f>
        <v>1.8950211780348464E-2</v>
      </c>
      <c r="I17" s="245">
        <f t="shared" si="1"/>
        <v>1334.3336428529974</v>
      </c>
    </row>
    <row r="18" spans="1:9" s="228" customFormat="1">
      <c r="A18" s="37" t="s">
        <v>11</v>
      </c>
      <c r="B18" s="247">
        <f>_xlfn.IFNA(VLOOKUP(A18,[1]電!$C$3:$F$357,4,0),-[2]整車!$B$22)</f>
        <v>772</v>
      </c>
      <c r="C18" s="247">
        <f>_xlfn.IFNA(VLOOKUP(A18,[1]電!$C$3:$F$537,3,0),-[2]整車!$B$22)</f>
        <v>1565692</v>
      </c>
      <c r="D18" s="241">
        <f t="shared" si="0"/>
        <v>2028.0984455958549</v>
      </c>
      <c r="E18" s="247">
        <f>_xlfn.IFNA(VLOOKUP(A18,[1]電同!$C$3:$H$579,6,0),-[2]整車!$B$22)</f>
        <v>8944</v>
      </c>
      <c r="F18" s="243">
        <f>E18/E64</f>
        <v>1.3027323295807922E-2</v>
      </c>
      <c r="G18" s="247">
        <f>_xlfn.IFNA(VLOOKUP(A18,[1]電同!$C$3:$G$756,4,0),-[2]整車!$B$22)</f>
        <v>19966107</v>
      </c>
      <c r="H18" s="243">
        <f>G18/G64</f>
        <v>1.6456313167252747E-2</v>
      </c>
      <c r="I18" s="245">
        <f t="shared" si="1"/>
        <v>2232.3464892665475</v>
      </c>
    </row>
    <row r="19" spans="1:9" s="228" customFormat="1">
      <c r="A19" s="37" t="s">
        <v>12</v>
      </c>
      <c r="B19" s="247">
        <f>_xlfn.IFNA(VLOOKUP(A19,[1]電!$C$3:$F$357,4,0),-[2]整車!$B$22)</f>
        <v>88</v>
      </c>
      <c r="C19" s="247">
        <f>_xlfn.IFNA(VLOOKUP(A19,[1]電!$C$3:$F$537,3,0),-[2]整車!$B$22)</f>
        <v>197265</v>
      </c>
      <c r="D19" s="241">
        <f t="shared" si="0"/>
        <v>2241.6477272727275</v>
      </c>
      <c r="E19" s="247">
        <f>_xlfn.IFNA(VLOOKUP(A19,[1]電同!$C$3:$H$579,6,0),-[2]整車!$B$22)</f>
        <v>10168</v>
      </c>
      <c r="F19" s="243">
        <f>E19/E64</f>
        <v>1.4810132297828148E-2</v>
      </c>
      <c r="G19" s="247">
        <f>_xlfn.IFNA(VLOOKUP(A19,[1]電同!$C$3:$G$756,4,0),-[2]整車!$B$22)</f>
        <v>20951741</v>
      </c>
      <c r="H19" s="243">
        <f>G19/G64</f>
        <v>1.7268684941694906E-2</v>
      </c>
      <c r="I19" s="245">
        <f t="shared" si="1"/>
        <v>2060.5567466561761</v>
      </c>
    </row>
    <row r="20" spans="1:9" s="228" customFormat="1">
      <c r="A20" s="246" t="s">
        <v>253</v>
      </c>
      <c r="B20" s="247">
        <f>_xlfn.IFNA(VLOOKUP(A20,[1]電!$C$3:$F$357,4,0),-[2]整車!$B$22)</f>
        <v>301</v>
      </c>
      <c r="C20" s="247">
        <f>_xlfn.IFNA(VLOOKUP(A20,[1]電!$C$3:$F$537,3,0),-[2]整車!$B$22)</f>
        <v>646455</v>
      </c>
      <c r="D20" s="241">
        <f t="shared" si="0"/>
        <v>2147.6910299003321</v>
      </c>
      <c r="E20" s="247">
        <f>_xlfn.IFNA(VLOOKUP(A20,[1]電同!$C$3:$H$579,6,0),-[2]整車!$B$22)</f>
        <v>7854</v>
      </c>
      <c r="F20" s="243">
        <f>E20/E64</f>
        <v>1.1439691096296447E-2</v>
      </c>
      <c r="G20" s="247">
        <f>_xlfn.IFNA(VLOOKUP(A20,[1]電同!$C$3:$G$756,4,0),-[2]整車!$B$22)</f>
        <v>11088202</v>
      </c>
      <c r="H20" s="243">
        <f>G20/G64</f>
        <v>9.1390336921342869E-3</v>
      </c>
      <c r="I20" s="245">
        <f t="shared" si="1"/>
        <v>1411.7904252610135</v>
      </c>
    </row>
    <row r="21" spans="1:9" s="228" customFormat="1">
      <c r="A21" s="37" t="s">
        <v>13</v>
      </c>
      <c r="B21" s="247">
        <f>_xlfn.IFNA(VLOOKUP(A21,[1]電!$C$3:$F$357,4,0),-[2]整車!$B$22)</f>
        <v>1</v>
      </c>
      <c r="C21" s="247">
        <f>_xlfn.IFNA(VLOOKUP(A21,[1]電!$C$3:$F$537,3,0),-[2]整車!$B$22)</f>
        <v>477</v>
      </c>
      <c r="D21" s="241">
        <f t="shared" si="0"/>
        <v>477</v>
      </c>
      <c r="E21" s="247">
        <f>_xlfn.IFNA(VLOOKUP(A21,[1]電同!$C$3:$H$579,6,0),-[2]整車!$B$22)</f>
        <v>94</v>
      </c>
      <c r="F21" s="243">
        <f>E21/E64</f>
        <v>1.3691507041658596E-4</v>
      </c>
      <c r="G21" s="247">
        <f>_xlfn.IFNA(VLOOKUP(A21,[1]電同!$C$3:$G$756,4,0),-[2]整車!$B$22)</f>
        <v>154665</v>
      </c>
      <c r="H21" s="243">
        <f>G21/G64</f>
        <v>1.2747681238075835E-4</v>
      </c>
      <c r="I21" s="245">
        <f t="shared" si="1"/>
        <v>1645.372340425532</v>
      </c>
    </row>
    <row r="22" spans="1:9" s="228" customFormat="1">
      <c r="A22" s="246" t="s">
        <v>254</v>
      </c>
      <c r="B22" s="247">
        <f>_xlfn.IFNA(VLOOKUP(A22,[1]電!$C$3:$F$357,4,0),-[2]整車!$B$22)</f>
        <v>0</v>
      </c>
      <c r="C22" s="247">
        <f>_xlfn.IFNA(VLOOKUP(A22,[1]電!$C$3:$F$537,3,0),-[2]整車!$B$22)</f>
        <v>0</v>
      </c>
      <c r="D22" s="241">
        <f t="shared" si="0"/>
        <v>0</v>
      </c>
      <c r="E22" s="247">
        <f>_xlfn.IFNA(VLOOKUP(A22,[1]電同!$C$3:$H$579,6,0),-[2]整車!$B$22)</f>
        <v>16291</v>
      </c>
      <c r="F22" s="243">
        <f>E22/E64</f>
        <v>2.3728546937836187E-2</v>
      </c>
      <c r="G22" s="247">
        <f>_xlfn.IFNA(VLOOKUP(A22,[1]電同!$C$3:$G$756,4,0),-[2]整車!$B$22)</f>
        <v>40089880</v>
      </c>
      <c r="H22" s="243">
        <f>G22/G64</f>
        <v>3.3042576608328433E-2</v>
      </c>
      <c r="I22" s="245">
        <f t="shared" si="1"/>
        <v>2460.8605978761279</v>
      </c>
    </row>
    <row r="23" spans="1:9" s="228" customFormat="1">
      <c r="A23" s="37" t="s">
        <v>14</v>
      </c>
      <c r="B23" s="247">
        <f>_xlfn.IFNA(VLOOKUP(A23,[1]電!$C$3:$F$357,4,0),-[2]整車!$B$22)</f>
        <v>0</v>
      </c>
      <c r="C23" s="247">
        <f>_xlfn.IFNA(VLOOKUP(A23,[1]電!$C$3:$F$537,3,0),-[2]整車!$B$22)</f>
        <v>0</v>
      </c>
      <c r="D23" s="241">
        <f t="shared" si="0"/>
        <v>0</v>
      </c>
      <c r="E23" s="247">
        <f>_xlfn.IFNA(VLOOKUP(A23,[1]電同!$C$3:$H$579,6,0),-[2]整車!$B$22)</f>
        <v>0</v>
      </c>
      <c r="F23" s="243">
        <f>E23/E64</f>
        <v>0</v>
      </c>
      <c r="G23" s="247">
        <f>_xlfn.IFNA(VLOOKUP(A23,[1]電同!$C$3:$G$756,4,0),-[2]整車!$B$22)</f>
        <v>0</v>
      </c>
      <c r="H23" s="243">
        <f>G23/G64</f>
        <v>0</v>
      </c>
      <c r="I23" s="245">
        <f t="shared" si="1"/>
        <v>0</v>
      </c>
    </row>
    <row r="24" spans="1:9" s="228" customFormat="1">
      <c r="A24" s="37" t="s">
        <v>15</v>
      </c>
      <c r="B24" s="247">
        <f>_xlfn.IFNA(VLOOKUP(A24,[1]電!$C$3:$F$357,4,0),-[2]整車!$B$22)</f>
        <v>0</v>
      </c>
      <c r="C24" s="247">
        <f>_xlfn.IFNA(VLOOKUP(A24,[1]電!$C$3:$F$537,3,0),-[2]整車!$B$22)</f>
        <v>0</v>
      </c>
      <c r="D24" s="241">
        <f t="shared" si="0"/>
        <v>0</v>
      </c>
      <c r="E24" s="247">
        <f>_xlfn.IFNA(VLOOKUP(A24,[1]電同!$C$3:$H$579,6,0),-[2]整車!$B$22)</f>
        <v>0</v>
      </c>
      <c r="F24" s="243">
        <f>E24/E64</f>
        <v>0</v>
      </c>
      <c r="G24" s="247">
        <f>_xlfn.IFNA(VLOOKUP(A24,[1]電同!$C$3:$G$756,4,0),-[2]整車!$B$22)</f>
        <v>0</v>
      </c>
      <c r="H24" s="243">
        <f>G24/G64</f>
        <v>0</v>
      </c>
      <c r="I24" s="245">
        <f t="shared" si="1"/>
        <v>0</v>
      </c>
    </row>
    <row r="25" spans="1:9" s="228" customFormat="1">
      <c r="A25" s="37" t="s">
        <v>16</v>
      </c>
      <c r="B25" s="247">
        <f>_xlfn.IFNA(VLOOKUP(A25,[1]電!$C$3:$F$357,4,0),-[2]整車!$B$22)</f>
        <v>4</v>
      </c>
      <c r="C25" s="247">
        <f>_xlfn.IFNA(VLOOKUP(A25,[1]電!$C$3:$F$537,3,0),-[2]整車!$B$22)</f>
        <v>10620</v>
      </c>
      <c r="D25" s="241">
        <f t="shared" si="0"/>
        <v>2655</v>
      </c>
      <c r="E25" s="247">
        <f>_xlfn.IFNA(VLOOKUP(A25,[1]電同!$C$3:$H$579,6,0),-[2]整車!$B$22)</f>
        <v>2974</v>
      </c>
      <c r="F25" s="243">
        <f>E25/E64</f>
        <v>4.3317597810524104E-3</v>
      </c>
      <c r="G25" s="247">
        <f>_xlfn.IFNA(VLOOKUP(A25,[1]電同!$C$3:$G$756,4,0),-[2]整車!$B$22)</f>
        <v>6038533</v>
      </c>
      <c r="H25" s="243">
        <f>G25/G64</f>
        <v>4.9770338363302486E-3</v>
      </c>
      <c r="I25" s="245">
        <f t="shared" si="1"/>
        <v>2030.4414929388029</v>
      </c>
    </row>
    <row r="26" spans="1:9" s="228" customFormat="1">
      <c r="A26" s="246" t="s">
        <v>257</v>
      </c>
      <c r="B26" s="247">
        <f>_xlfn.IFNA(VLOOKUP(A26,[1]電!$C$3:$F$357,4,0),-[2]整車!$B$22)</f>
        <v>750</v>
      </c>
      <c r="C26" s="247">
        <f>_xlfn.IFNA(VLOOKUP(A26,[1]電!$C$3:$F$537,3,0),-[2]整車!$B$22)</f>
        <v>268426</v>
      </c>
      <c r="D26" s="241">
        <f t="shared" si="0"/>
        <v>357.90133333333335</v>
      </c>
      <c r="E26" s="247">
        <f>_xlfn.IFNA(VLOOKUP(A26,[1]電同!$C$3:$H$579,6,0),-[2]整車!$B$22)</f>
        <v>8826</v>
      </c>
      <c r="F26" s="243">
        <f>E26/E64</f>
        <v>1.2855451186136038E-2</v>
      </c>
      <c r="G26" s="247">
        <f>_xlfn.IFNA(VLOOKUP(A26,[1]電同!$C$3:$G$756,4,0),-[2]整車!$B$22)</f>
        <v>3963953</v>
      </c>
      <c r="H26" s="243">
        <f>G26/G64</f>
        <v>3.2671392549519559E-3</v>
      </c>
      <c r="I26" s="245">
        <f t="shared" si="1"/>
        <v>449.12225243598459</v>
      </c>
    </row>
    <row r="27" spans="1:9" s="228" customFormat="1">
      <c r="A27" s="246" t="s">
        <v>259</v>
      </c>
      <c r="B27" s="247">
        <f>_xlfn.IFNA(VLOOKUP(A27,[1]電!$C$3:$F$357,4,0),-[2]整車!$B$22)</f>
        <v>2</v>
      </c>
      <c r="C27" s="247">
        <f>_xlfn.IFNA(VLOOKUP(A27,[1]電!$C$3:$F$537,3,0),-[2]整車!$B$22)</f>
        <v>890</v>
      </c>
      <c r="D27" s="241">
        <f t="shared" si="0"/>
        <v>445</v>
      </c>
      <c r="E27" s="247">
        <f>_xlfn.IFNA(VLOOKUP(A27,[1]電同!$C$3:$H$579,6,0),-[2]整車!$B$22)</f>
        <v>1345</v>
      </c>
      <c r="F27" s="243">
        <f>E27/E64</f>
        <v>1.9590507415990226E-3</v>
      </c>
      <c r="G27" s="247">
        <f>_xlfn.IFNA(VLOOKUP(A27,[1]電同!$C$3:$G$756,4,0),-[2]整車!$B$22)</f>
        <v>1676070</v>
      </c>
      <c r="H27" s="243">
        <f>G27/G64</f>
        <v>1.3814376938998329E-3</v>
      </c>
      <c r="I27" s="245">
        <f t="shared" si="1"/>
        <v>1246.1486988847585</v>
      </c>
    </row>
    <row r="28" spans="1:9" s="228" customFormat="1">
      <c r="A28" s="255" t="s">
        <v>260</v>
      </c>
      <c r="B28" s="247">
        <f>_xlfn.IFNA(VLOOKUP(A28,[1]電!$C$3:$F$357,4,0),-[2]整車!$B$22)</f>
        <v>231</v>
      </c>
      <c r="C28" s="247">
        <f>_xlfn.IFNA(VLOOKUP(A28,[1]電!$C$3:$F$537,3,0),-[2]整車!$B$22)</f>
        <v>413132</v>
      </c>
      <c r="D28" s="241">
        <f t="shared" si="0"/>
        <v>1788.4502164502164</v>
      </c>
      <c r="E28" s="247">
        <f>_xlfn.IFNA(VLOOKUP(A28,[1]電同!$C$3:$H$579,6,0),-[2]整車!$B$22)</f>
        <v>3131</v>
      </c>
      <c r="F28" s="243">
        <f>E28/E64</f>
        <v>4.5604370795141553E-3</v>
      </c>
      <c r="G28" s="247">
        <f>_xlfn.IFNA(VLOOKUP(A28,[1]電同!$C$3:$G$756,4,0),-[2]整車!$B$22)</f>
        <v>6029217</v>
      </c>
      <c r="H28" s="243">
        <f>G28/G64</f>
        <v>4.9693554735194051E-3</v>
      </c>
      <c r="I28" s="245">
        <f t="shared" si="1"/>
        <v>1925.6521877994251</v>
      </c>
    </row>
    <row r="29" spans="1:9" s="228" customFormat="1">
      <c r="A29" s="255" t="s">
        <v>261</v>
      </c>
      <c r="B29" s="247">
        <f>_xlfn.IFNA(VLOOKUP(A29,[1]電!$C$3:$F$357,4,0),-[2]整車!$B$22)</f>
        <v>239</v>
      </c>
      <c r="C29" s="247">
        <f>_xlfn.IFNA(VLOOKUP(A29,[1]電!$C$3:$F$537,3,0),-[2]整車!$B$22)</f>
        <v>142512</v>
      </c>
      <c r="D29" s="241">
        <f t="shared" si="0"/>
        <v>596.28451882845184</v>
      </c>
      <c r="E29" s="247">
        <f>_xlfn.IFNA(VLOOKUP(A29,[1]電同!$C$3:$H$579,6,0),-[2]整車!$B$22)</f>
        <v>8181</v>
      </c>
      <c r="F29" s="243">
        <f>E29/E64</f>
        <v>1.1915980756149891E-2</v>
      </c>
      <c r="G29" s="247">
        <f>_xlfn.IFNA(VLOOKUP(A29,[1]電同!$C$3:$G$756,4,0),-[2]整車!$B$22)</f>
        <v>4915526</v>
      </c>
      <c r="H29" s="243">
        <f>G29/G64</f>
        <v>4.0514375304997229E-3</v>
      </c>
      <c r="I29" s="245">
        <f t="shared" si="1"/>
        <v>600.84659577068817</v>
      </c>
    </row>
    <row r="30" spans="1:9" s="228" customFormat="1">
      <c r="A30" s="255" t="s">
        <v>262</v>
      </c>
      <c r="B30" s="247">
        <f>_xlfn.IFNA(VLOOKUP(A30,[1]電!$C$3:$F$357,4,0),-[2]整車!$B$22)</f>
        <v>0</v>
      </c>
      <c r="C30" s="247">
        <f>_xlfn.IFNA(VLOOKUP(A30,[1]電!$C$3:$F$537,3,0),-[2]整車!$B$22)</f>
        <v>0</v>
      </c>
      <c r="D30" s="241">
        <f t="shared" si="0"/>
        <v>0</v>
      </c>
      <c r="E30" s="247">
        <f>_xlfn.IFNA(VLOOKUP(A30,[1]電同!$C$3:$H$579,6,0),-[2]整車!$B$22)</f>
        <v>236</v>
      </c>
      <c r="F30" s="243">
        <f>E30/E64</f>
        <v>3.43744219343769E-4</v>
      </c>
      <c r="G30" s="247">
        <f>_xlfn.IFNA(VLOOKUP(A30,[1]電同!$C$3:$G$756,4,0),-[2]整車!$B$22)</f>
        <v>404514</v>
      </c>
      <c r="H30" s="243">
        <f>G30/G64</f>
        <v>3.3340545878763836E-4</v>
      </c>
      <c r="I30" s="245">
        <f t="shared" si="1"/>
        <v>1714.042372881356</v>
      </c>
    </row>
    <row r="31" spans="1:9" s="228" customFormat="1">
      <c r="A31" s="255" t="s">
        <v>263</v>
      </c>
      <c r="B31" s="247">
        <f>_xlfn.IFNA(VLOOKUP(A31,[1]電!$C$3:$F$357,4,0),-[2]整車!$B$22)</f>
        <v>0</v>
      </c>
      <c r="C31" s="247">
        <f>_xlfn.IFNA(VLOOKUP(A31,[1]電!$C$3:$F$537,3,0),-[2]整車!$B$22)</f>
        <v>0</v>
      </c>
      <c r="D31" s="241">
        <f t="shared" si="0"/>
        <v>0</v>
      </c>
      <c r="E31" s="247">
        <f>_xlfn.IFNA(VLOOKUP(A31,[1]電同!$C$3:$H$579,6,0),-[2]整車!$B$22)</f>
        <v>0</v>
      </c>
      <c r="F31" s="243">
        <f>E31/E64</f>
        <v>0</v>
      </c>
      <c r="G31" s="247">
        <f>_xlfn.IFNA(VLOOKUP(A31,[1]電同!$C$3:$G$756,4,0),-[2]整車!$B$22)</f>
        <v>0</v>
      </c>
      <c r="H31" s="243">
        <f>G31/G64</f>
        <v>0</v>
      </c>
      <c r="I31" s="245">
        <f t="shared" si="1"/>
        <v>0</v>
      </c>
    </row>
    <row r="32" spans="1:9" s="228" customFormat="1">
      <c r="A32" s="30" t="s">
        <v>265</v>
      </c>
      <c r="B32" s="247">
        <f>_xlfn.IFNA(VLOOKUP(A32,[1]電!$C$3:$F$357,4,0),-[2]整車!$B$22)</f>
        <v>0</v>
      </c>
      <c r="C32" s="247">
        <f>_xlfn.IFNA(VLOOKUP(A32,[1]電!$C$3:$F$537,3,0),-[2]整車!$B$22)</f>
        <v>0</v>
      </c>
      <c r="D32" s="241">
        <f t="shared" si="0"/>
        <v>0</v>
      </c>
      <c r="E32" s="247">
        <f>_xlfn.IFNA(VLOOKUP(A32,[1]電同!$C$3:$H$579,6,0),-[2]整車!$B$22)</f>
        <v>43</v>
      </c>
      <c r="F32" s="243">
        <f>E32/E64</f>
        <v>6.2631361999076552E-5</v>
      </c>
      <c r="G32" s="247">
        <f>_xlfn.IFNA(VLOOKUP(A32,[1]電同!$C$3:$G$756,4,0),-[2]整車!$B$22)</f>
        <v>29418</v>
      </c>
      <c r="H32" s="243">
        <f>G32/G64</f>
        <v>2.4246680675118156E-5</v>
      </c>
      <c r="I32" s="245">
        <f t="shared" si="1"/>
        <v>684.1395348837209</v>
      </c>
    </row>
    <row r="33" spans="1:9" s="228" customFormat="1">
      <c r="A33" s="255" t="s">
        <v>267</v>
      </c>
      <c r="B33" s="247">
        <f>_xlfn.IFNA(VLOOKUP(A33,[1]電!$C$3:$F$357,4,0),-[2]整車!$B$22)</f>
        <v>0</v>
      </c>
      <c r="C33" s="247">
        <f>_xlfn.IFNA(VLOOKUP(A33,[1]電!$C$3:$F$537,3,0),-[2]整車!$B$22)</f>
        <v>0</v>
      </c>
      <c r="D33" s="241">
        <f t="shared" si="0"/>
        <v>0</v>
      </c>
      <c r="E33" s="247">
        <f>_xlfn.IFNA(VLOOKUP(A33,[1]電同!$C$3:$H$579,6,0),-[2]整車!$B$22)</f>
        <v>0</v>
      </c>
      <c r="F33" s="243">
        <f>E33/E64</f>
        <v>0</v>
      </c>
      <c r="G33" s="247">
        <f>_xlfn.IFNA(VLOOKUP(A33,[1]電同!$C$3:$G$756,4,0),-[2]整車!$B$22)</f>
        <v>0</v>
      </c>
      <c r="H33" s="243">
        <f>G33/G64</f>
        <v>0</v>
      </c>
      <c r="I33" s="245">
        <f t="shared" si="1"/>
        <v>0</v>
      </c>
    </row>
    <row r="34" spans="1:9" s="228" customFormat="1">
      <c r="A34" s="255" t="s">
        <v>268</v>
      </c>
      <c r="B34" s="247">
        <f>_xlfn.IFNA(VLOOKUP(A34,[1]電!$C$3:$F$357,4,0),-[2]整車!$B$22)</f>
        <v>0</v>
      </c>
      <c r="C34" s="247">
        <f>_xlfn.IFNA(VLOOKUP(A34,[1]電!$C$3:$F$537,3,0),-[2]整車!$B$22)</f>
        <v>0</v>
      </c>
      <c r="D34" s="241">
        <f t="shared" si="0"/>
        <v>0</v>
      </c>
      <c r="E34" s="247">
        <f>_xlfn.IFNA(VLOOKUP(A34,[1]電同!$C$3:$H$579,6,0),-[2]整車!$B$22)</f>
        <v>0</v>
      </c>
      <c r="F34" s="243">
        <f>E34/E64</f>
        <v>0</v>
      </c>
      <c r="G34" s="247">
        <f>_xlfn.IFNA(VLOOKUP(A34,[1]電同!$C$3:$G$756,4,0),-[2]整車!$B$22)</f>
        <v>0</v>
      </c>
      <c r="H34" s="243">
        <f>G34/G64</f>
        <v>0</v>
      </c>
      <c r="I34" s="245">
        <f t="shared" si="1"/>
        <v>0</v>
      </c>
    </row>
    <row r="35" spans="1:9" s="228" customFormat="1">
      <c r="A35" s="256" t="s">
        <v>386</v>
      </c>
      <c r="B35" s="247">
        <f>_xlfn.IFNA(VLOOKUP(A35,[1]電!$C$3:$F$357,4,0),-[2]整車!$B$22)</f>
        <v>0</v>
      </c>
      <c r="C35" s="247">
        <f>_xlfn.IFNA(VLOOKUP(A35,[1]電!$C$3:$F$537,3,0),-[2]整車!$B$22)</f>
        <v>0</v>
      </c>
      <c r="D35" s="241">
        <f t="shared" si="0"/>
        <v>0</v>
      </c>
      <c r="E35" s="247">
        <f>_xlfn.IFNA(VLOOKUP(A35,[1]電同!$C$3:$H$579,6,0),-[2]整車!$B$22)</f>
        <v>0</v>
      </c>
      <c r="F35" s="243">
        <f>E35/E64</f>
        <v>0</v>
      </c>
      <c r="G35" s="247">
        <f>_xlfn.IFNA(VLOOKUP(A35,[1]電同!$C$3:$G$756,4,0),-[2]整車!$B$22)</f>
        <v>0</v>
      </c>
      <c r="H35" s="243">
        <f>G35/G64</f>
        <v>0</v>
      </c>
      <c r="I35" s="245">
        <f t="shared" si="1"/>
        <v>0</v>
      </c>
    </row>
    <row r="36" spans="1:9" s="228" customFormat="1">
      <c r="A36" s="255" t="s">
        <v>271</v>
      </c>
      <c r="B36" s="247">
        <f>_xlfn.IFNA(VLOOKUP(A36,[1]電!$C$3:$F$357,4,0),-[2]整車!$B$22)</f>
        <v>0</v>
      </c>
      <c r="C36" s="247">
        <f>_xlfn.IFNA(VLOOKUP(A36,[1]電!$C$3:$F$537,3,0),-[2]整車!$B$22)</f>
        <v>0</v>
      </c>
      <c r="D36" s="241">
        <f t="shared" si="0"/>
        <v>0</v>
      </c>
      <c r="E36" s="247">
        <f>_xlfn.IFNA(VLOOKUP(A36,[1]電同!$C$3:$H$579,6,0),-[2]整車!$B$22)</f>
        <v>0</v>
      </c>
      <c r="F36" s="243">
        <f>E36/E64</f>
        <v>0</v>
      </c>
      <c r="G36" s="247">
        <f>_xlfn.IFNA(VLOOKUP(A36,[1]電同!$C$3:$G$756,4,0),-[2]整車!$B$22)</f>
        <v>0</v>
      </c>
      <c r="H36" s="243">
        <f>G36/G64</f>
        <v>0</v>
      </c>
      <c r="I36" s="245">
        <f t="shared" si="1"/>
        <v>0</v>
      </c>
    </row>
    <row r="37" spans="1:9" s="228" customFormat="1">
      <c r="A37" s="255" t="s">
        <v>387</v>
      </c>
      <c r="B37" s="247">
        <f>_xlfn.IFNA(VLOOKUP(A37,[1]電!$C$3:$F$357,4,0),-[2]整車!$B$22)</f>
        <v>0</v>
      </c>
      <c r="C37" s="247">
        <f>_xlfn.IFNA(VLOOKUP(A37,[1]電!$C$3:$F$537,3,0),-[2]整車!$B$22)</f>
        <v>0</v>
      </c>
      <c r="D37" s="241">
        <f t="shared" si="0"/>
        <v>0</v>
      </c>
      <c r="E37" s="247">
        <f>_xlfn.IFNA(VLOOKUP(A37,[1]電同!$C$3:$H$579,6,0),-[2]整車!$B$22)</f>
        <v>0</v>
      </c>
      <c r="F37" s="243">
        <f>E37/E64</f>
        <v>0</v>
      </c>
      <c r="G37" s="247">
        <f>_xlfn.IFNA(VLOOKUP(A37,[1]電同!$C$3:$G$756,4,0),-[2]整車!$B$22)</f>
        <v>0</v>
      </c>
      <c r="H37" s="243">
        <f>G37/G64</f>
        <v>0</v>
      </c>
      <c r="I37" s="245">
        <f t="shared" si="1"/>
        <v>0</v>
      </c>
    </row>
    <row r="38" spans="1:9" s="228" customFormat="1">
      <c r="A38" s="255" t="s">
        <v>273</v>
      </c>
      <c r="B38" s="247">
        <f>_xlfn.IFNA(VLOOKUP(A38,[1]電!$C$3:$F$357,4,0),-[2]整車!$B$22)</f>
        <v>0</v>
      </c>
      <c r="C38" s="247">
        <f>_xlfn.IFNA(VLOOKUP(A38,[1]電!$C$3:$F$537,3,0),-[2]整車!$B$22)</f>
        <v>0</v>
      </c>
      <c r="D38" s="241">
        <f t="shared" si="0"/>
        <v>0</v>
      </c>
      <c r="E38" s="247">
        <f>_xlfn.IFNA(VLOOKUP(A38,[1]電同!$C$3:$H$579,6,0),-[2]整車!$B$22)</f>
        <v>0</v>
      </c>
      <c r="F38" s="243">
        <f>E38/E64</f>
        <v>0</v>
      </c>
      <c r="G38" s="247">
        <f>_xlfn.IFNA(VLOOKUP(A38,[1]電同!$C$3:$G$756,4,0),-[2]整車!$B$22)</f>
        <v>0</v>
      </c>
      <c r="H38" s="243">
        <f>G38/G64</f>
        <v>0</v>
      </c>
      <c r="I38" s="245">
        <f t="shared" si="1"/>
        <v>0</v>
      </c>
    </row>
    <row r="39" spans="1:9" s="228" customFormat="1">
      <c r="A39" s="255" t="s">
        <v>274</v>
      </c>
      <c r="B39" s="247">
        <f>_xlfn.IFNA(VLOOKUP(A39,[1]電!$C$3:$F$357,4,0),-[2]整車!$B$22)</f>
        <v>0</v>
      </c>
      <c r="C39" s="247">
        <f>_xlfn.IFNA(VLOOKUP(A39,[1]電!$C$3:$F$537,3,0),-[2]整車!$B$22)</f>
        <v>0</v>
      </c>
      <c r="D39" s="241">
        <f t="shared" si="0"/>
        <v>0</v>
      </c>
      <c r="E39" s="247">
        <f>_xlfn.IFNA(VLOOKUP(A39,[1]電同!$C$3:$H$579,6,0),-[2]整車!$B$22)</f>
        <v>0</v>
      </c>
      <c r="F39" s="243">
        <f>E39/E64</f>
        <v>0</v>
      </c>
      <c r="G39" s="247">
        <f>_xlfn.IFNA(VLOOKUP(A39,[1]電同!$C$3:$G$756,4,0),-[2]整車!$B$22)</f>
        <v>0</v>
      </c>
      <c r="H39" s="243">
        <f>G39/G64</f>
        <v>0</v>
      </c>
      <c r="I39" s="245">
        <f t="shared" si="1"/>
        <v>0</v>
      </c>
    </row>
    <row r="40" spans="1:9" s="228" customFormat="1">
      <c r="A40" s="30" t="s">
        <v>275</v>
      </c>
      <c r="B40" s="247">
        <f>_xlfn.IFNA(VLOOKUP(A40,[1]電!$C$3:$F$357,4,0),-[2]整車!$B$22)</f>
        <v>0</v>
      </c>
      <c r="C40" s="247">
        <f>_xlfn.IFNA(VLOOKUP(A40,[1]電!$C$3:$F$537,3,0),-[2]整車!$B$22)</f>
        <v>0</v>
      </c>
      <c r="D40" s="241">
        <f t="shared" si="0"/>
        <v>0</v>
      </c>
      <c r="E40" s="247">
        <f>_xlfn.IFNA(VLOOKUP(A40,[1]電同!$C$3:$H$579,6,0),-[2]整車!$B$22)</f>
        <v>0</v>
      </c>
      <c r="F40" s="243">
        <f>E40/E64</f>
        <v>0</v>
      </c>
      <c r="G40" s="247">
        <f>_xlfn.IFNA(VLOOKUP(A40,[1]電同!$C$3:$G$756,4,0),-[2]整車!$B$22)</f>
        <v>0</v>
      </c>
      <c r="H40" s="243">
        <f>G40/G64</f>
        <v>0</v>
      </c>
      <c r="I40" s="245">
        <f t="shared" si="1"/>
        <v>0</v>
      </c>
    </row>
    <row r="41" spans="1:9" s="228" customFormat="1">
      <c r="A41" s="30"/>
      <c r="B41" s="34"/>
      <c r="C41" s="35"/>
      <c r="D41" s="241"/>
      <c r="E41" s="249"/>
      <c r="F41" s="250"/>
      <c r="G41" s="249"/>
      <c r="H41" s="250"/>
      <c r="I41" s="245"/>
    </row>
    <row r="42" spans="1:9" s="228" customFormat="1">
      <c r="A42" s="254" t="s">
        <v>20</v>
      </c>
      <c r="B42" s="252">
        <f>SUM(B43:B46)</f>
        <v>1799</v>
      </c>
      <c r="C42" s="252">
        <f>SUM(C43:C46)</f>
        <v>3520128</v>
      </c>
      <c r="D42" s="241">
        <f t="shared" si="0"/>
        <v>1956.7137298499167</v>
      </c>
      <c r="E42" s="252">
        <f>SUM(E43:E46)</f>
        <v>20129</v>
      </c>
      <c r="F42" s="243">
        <f>E42/E64</f>
        <v>2.9318760132079347E-2</v>
      </c>
      <c r="G42" s="252">
        <f>SUM(G43:G46)</f>
        <v>37282512</v>
      </c>
      <c r="H42" s="243">
        <f>G42/G64</f>
        <v>3.0728709063507401E-2</v>
      </c>
      <c r="I42" s="245">
        <f t="shared" si="1"/>
        <v>1852.1790451587262</v>
      </c>
    </row>
    <row r="43" spans="1:9" s="228" customFormat="1">
      <c r="A43" s="246" t="s">
        <v>184</v>
      </c>
      <c r="B43" s="247">
        <f>_xlfn.IFNA(VLOOKUP(A43,[1]電!$C$3:$F$3587,4,0),-[2]整車!$B$22)</f>
        <v>1425</v>
      </c>
      <c r="C43" s="247">
        <f>_xlfn.IFNA(VLOOKUP(A43,[1]電!$C$3:$F$367,3,0),-[2]整車!$B$22)</f>
        <v>2898569</v>
      </c>
      <c r="D43" s="241">
        <f t="shared" si="0"/>
        <v>2034.0835087719299</v>
      </c>
      <c r="E43" s="247">
        <f>_xlfn.IFNA(VLOOKUP(A43,[1]電同!$C$3:$H$719,6,0),-[2]整車!$B$22)</f>
        <v>14269</v>
      </c>
      <c r="F43" s="243">
        <f>E43/E64</f>
        <v>2.0783416380577287E-2</v>
      </c>
      <c r="G43" s="247">
        <f>_xlfn.IFNA(VLOOKUP(A43,[1]電同!$C$3:$G$556,4,0),-[2]整車!$B$22)</f>
        <v>27760016</v>
      </c>
      <c r="H43" s="243">
        <f>G43/G64</f>
        <v>2.2880149686864189E-2</v>
      </c>
      <c r="I43" s="245">
        <f t="shared" si="1"/>
        <v>1945.4773284743148</v>
      </c>
    </row>
    <row r="44" spans="1:9" s="228" customFormat="1">
      <c r="A44" s="246" t="s">
        <v>277</v>
      </c>
      <c r="B44" s="247">
        <f>_xlfn.IFNA(VLOOKUP(A44,[1]電!$C$3:$F$3587,4,0),-[2]整車!$B$22)</f>
        <v>374</v>
      </c>
      <c r="C44" s="247">
        <f>_xlfn.IFNA(VLOOKUP(A44,[1]電!$C$3:$F$367,3,0),-[2]整車!$B$22)</f>
        <v>621559</v>
      </c>
      <c r="D44" s="241">
        <f t="shared" si="0"/>
        <v>1661.9224598930482</v>
      </c>
      <c r="E44" s="247">
        <f>_xlfn.IFNA(VLOOKUP(A44,[1]電同!$C$3:$H$719,6,0),-[2]整車!$B$22)</f>
        <v>5825</v>
      </c>
      <c r="F44" s="243">
        <f>E44/E64</f>
        <v>8.484364735921417E-3</v>
      </c>
      <c r="G44" s="247">
        <f>_xlfn.IFNA(VLOOKUP(A44,[1]電同!$C$3:$G$556,4,0),-[2]整車!$B$22)</f>
        <v>9453783</v>
      </c>
      <c r="H44" s="243">
        <f>G44/G64</f>
        <v>7.7919252693201624E-3</v>
      </c>
      <c r="I44" s="245">
        <f t="shared" si="1"/>
        <v>1622.9670386266093</v>
      </c>
    </row>
    <row r="45" spans="1:9" s="228" customFormat="1">
      <c r="A45" s="246" t="s">
        <v>278</v>
      </c>
      <c r="B45" s="247">
        <f>_xlfn.IFNA(VLOOKUP(A45,[1]電!$C$3:$F$3587,4,0),-[2]整車!$B$22)</f>
        <v>0</v>
      </c>
      <c r="C45" s="247">
        <f>_xlfn.IFNA(VLOOKUP(A45,[1]電!$C$3:$F$367,3,0),-[2]整車!$B$22)</f>
        <v>0</v>
      </c>
      <c r="D45" s="241">
        <f t="shared" si="0"/>
        <v>0</v>
      </c>
      <c r="E45" s="247">
        <f>_xlfn.IFNA(VLOOKUP(A45,[1]電同!$C$3:$H$719,6,0),-[2]整車!$B$22)</f>
        <v>35</v>
      </c>
      <c r="F45" s="243">
        <f>E45/E64</f>
        <v>5.0979015580643703E-5</v>
      </c>
      <c r="G45" s="247">
        <f>_xlfn.IFNA(VLOOKUP(A45,[1]電同!$C$3:$G$556,4,0),-[2]整車!$B$22)</f>
        <v>68713</v>
      </c>
      <c r="H45" s="243">
        <f>G45/G64</f>
        <v>5.66341073230469E-5</v>
      </c>
      <c r="I45" s="245">
        <f t="shared" si="1"/>
        <v>1963.2285714285715</v>
      </c>
    </row>
    <row r="46" spans="1:9" s="228" customFormat="1">
      <c r="A46" s="37" t="s">
        <v>21</v>
      </c>
      <c r="B46" s="247">
        <f>_xlfn.IFNA(VLOOKUP(A46,[1]電!$C$3:$F$3587,4,0),-[2]整車!$B$22)</f>
        <v>0</v>
      </c>
      <c r="C46" s="247">
        <f>_xlfn.IFNA(VLOOKUP(A46,[1]電!$C$3:$F$367,3,0),-[2]整車!$B$22)</f>
        <v>0</v>
      </c>
      <c r="D46" s="241">
        <f t="shared" si="0"/>
        <v>0</v>
      </c>
      <c r="E46" s="247">
        <f>_xlfn.IFNA(VLOOKUP(A46,[1]電同!$C$3:$H$719,6,0),-[2]整車!$B$22)</f>
        <v>0</v>
      </c>
      <c r="F46" s="243">
        <f>E46/E64</f>
        <v>0</v>
      </c>
      <c r="G46" s="247">
        <f>_xlfn.IFNA(VLOOKUP(A46,[1]電同!$C$3:$G$556,4,0),-[2]整車!$B$22)</f>
        <v>0</v>
      </c>
      <c r="H46" s="243">
        <f>G46/G64</f>
        <v>0</v>
      </c>
      <c r="I46" s="245">
        <f t="shared" si="1"/>
        <v>0</v>
      </c>
    </row>
    <row r="47" spans="1:9" s="228" customFormat="1">
      <c r="A47" s="37"/>
      <c r="B47" s="247"/>
      <c r="C47" s="35"/>
      <c r="D47" s="241"/>
      <c r="E47" s="249"/>
      <c r="F47" s="250"/>
      <c r="G47" s="249"/>
      <c r="H47" s="250"/>
      <c r="I47" s="245"/>
    </row>
    <row r="48" spans="1:9" s="228" customFormat="1">
      <c r="A48" s="254" t="s">
        <v>22</v>
      </c>
      <c r="B48" s="252">
        <f>SUM(B49:B62)</f>
        <v>7118</v>
      </c>
      <c r="C48" s="252">
        <f>SUM(C49:C62)</f>
        <v>13124450</v>
      </c>
      <c r="D48" s="241">
        <f t="shared" si="0"/>
        <v>1843.8395616746277</v>
      </c>
      <c r="E48" s="252">
        <f>SUM(E49:E62)</f>
        <v>95810</v>
      </c>
      <c r="F48" s="243">
        <f>E48/E64</f>
        <v>0.13955141379375638</v>
      </c>
      <c r="G48" s="252">
        <f>SUM(G49:G62)</f>
        <v>170575353</v>
      </c>
      <c r="H48" s="243">
        <f>G48/G64</f>
        <v>0.14059032276961581</v>
      </c>
      <c r="I48" s="245">
        <f t="shared" si="1"/>
        <v>1780.3502035278154</v>
      </c>
    </row>
    <row r="49" spans="1:9" s="228" customFormat="1">
      <c r="A49" s="254" t="s">
        <v>163</v>
      </c>
      <c r="B49" s="247">
        <f>_xlfn.IFNA(VLOOKUP(A49,[1]電!$C$3:$F$537,4,0),-[2]整車!$B$22)</f>
        <v>1743</v>
      </c>
      <c r="C49" s="247">
        <f>_xlfn.IFNA(VLOOKUP(A49,[1]電!$C$3:$F$375,3,0),-[2]整車!$B$22)</f>
        <v>2689922</v>
      </c>
      <c r="D49" s="241">
        <f t="shared" si="0"/>
        <v>1543.2713711990821</v>
      </c>
      <c r="E49" s="247">
        <f>_xlfn.IFNA(VLOOKUP(A49,[1]電同!$C$3:$H$79,6,0),-[2]整車!$B$22)</f>
        <v>46445</v>
      </c>
      <c r="F49" s="243">
        <f>E49/E64</f>
        <v>6.764915367551419E-2</v>
      </c>
      <c r="G49" s="247">
        <f>_xlfn.IFNA(VLOOKUP(A49,[1]電同!$C$3:$G$766,4,0),-[2]整車!$B$22)</f>
        <v>67781573</v>
      </c>
      <c r="H49" s="243">
        <f>G49/G64</f>
        <v>5.5866413630709447E-2</v>
      </c>
      <c r="I49" s="245">
        <f t="shared" si="1"/>
        <v>1459.3944019808375</v>
      </c>
    </row>
    <row r="50" spans="1:9" s="228" customFormat="1">
      <c r="A50" s="246" t="s">
        <v>388</v>
      </c>
      <c r="B50" s="247">
        <f>_xlfn.IFNA(VLOOKUP(A50,[1]電!$C$3:$F$537,4,0),-[2]整車!$B$22)</f>
        <v>1016</v>
      </c>
      <c r="C50" s="247">
        <f>_xlfn.IFNA(VLOOKUP(A50,[1]電!$C$3:$F$375,3,0),-[2]整車!$B$22)</f>
        <v>1207375</v>
      </c>
      <c r="D50" s="241">
        <f t="shared" si="0"/>
        <v>1188.3612204724409</v>
      </c>
      <c r="E50" s="247">
        <f>_xlfn.IFNA(VLOOKUP(A50,[1]電同!$C$3:$H$79,6,0),-[2]整車!$B$22)</f>
        <v>9870</v>
      </c>
      <c r="F50" s="243">
        <f>E50/E64</f>
        <v>1.4376082393741526E-2</v>
      </c>
      <c r="G50" s="247">
        <f>_xlfn.IFNA(VLOOKUP(A50,[1]電同!$C$3:$G$766,4,0),-[2]整車!$B$22)</f>
        <v>11352156</v>
      </c>
      <c r="H50" s="243">
        <f>G50/G64</f>
        <v>9.356587854583133E-3</v>
      </c>
      <c r="I50" s="245">
        <f t="shared" si="1"/>
        <v>1150.1677811550153</v>
      </c>
    </row>
    <row r="51" spans="1:9" s="228" customFormat="1">
      <c r="A51" s="246" t="s">
        <v>459</v>
      </c>
      <c r="B51" s="247">
        <f>_xlfn.IFNA(VLOOKUP(A51,[1]電!$C$3:$F$537,4,0),-[2]整車!$B$22)</f>
        <v>9</v>
      </c>
      <c r="C51" s="247">
        <f>_xlfn.IFNA(VLOOKUP(A51,[1]電!$C$3:$F$375,3,0),-[2]整車!$B$22)</f>
        <v>25215</v>
      </c>
      <c r="D51" s="241">
        <f t="shared" si="0"/>
        <v>2801.6666666666665</v>
      </c>
      <c r="E51" s="247">
        <f>_xlfn.IFNA(VLOOKUP(A51,[1]電同!$C$3:$H$179,6,0),-[2]整車!$B$22)</f>
        <v>313</v>
      </c>
      <c r="F51" s="243">
        <f>E51/E64</f>
        <v>4.5589805362118512E-4</v>
      </c>
      <c r="G51" s="247">
        <f>_xlfn.IFNA(VLOOKUP(A51,[1]電同!$C$3:$G$766,4,0),-[2]整車!$B$22)</f>
        <v>367808</v>
      </c>
      <c r="H51" s="243">
        <f>G51/G64</f>
        <v>3.0315191806900053E-4</v>
      </c>
      <c r="I51" s="245">
        <f t="shared" si="1"/>
        <v>1175.1054313099041</v>
      </c>
    </row>
    <row r="52" spans="1:9" s="228" customFormat="1">
      <c r="A52" s="246" t="s">
        <v>301</v>
      </c>
      <c r="B52" s="247">
        <f>_xlfn.IFNA(VLOOKUP(A52,[1]電!$C$3:$F$537,4,0),-[2]整車!$B$22)</f>
        <v>6</v>
      </c>
      <c r="C52" s="247">
        <f>_xlfn.IFNA(VLOOKUP(A52,[1]電!$C$3:$F$375,3,0),-[2]整車!$B$22)</f>
        <v>17870</v>
      </c>
      <c r="D52" s="241">
        <f t="shared" si="0"/>
        <v>2978.3333333333335</v>
      </c>
      <c r="E52" s="247">
        <f>_xlfn.IFNA(VLOOKUP(A52,[1]電同!$C$3:$H$179,6,0),-[2]整車!$B$22)</f>
        <v>488</v>
      </c>
      <c r="F52" s="243">
        <f>E52/E64</f>
        <v>7.107931315244036E-4</v>
      </c>
      <c r="G52" s="247">
        <f>_xlfn.IFNA(VLOOKUP(A52,[1]電同!$C$3:$G$766,4,0),-[2]整車!$B$22)</f>
        <v>1318412</v>
      </c>
      <c r="H52" s="243">
        <f>G52/G64</f>
        <v>1.0866515317915519E-3</v>
      </c>
      <c r="I52" s="245">
        <f t="shared" si="1"/>
        <v>2701.6639344262294</v>
      </c>
    </row>
    <row r="53" spans="1:9" s="228" customFormat="1">
      <c r="A53" s="37" t="s">
        <v>23</v>
      </c>
      <c r="B53" s="247">
        <f>_xlfn.IFNA(VLOOKUP(A53,[1]電!$C$3:$F$537,4,0),-[2]整車!$B$22)</f>
        <v>0</v>
      </c>
      <c r="C53" s="247">
        <f>_xlfn.IFNA(VLOOKUP(A53,[1]電!$C$3:$F$375,3,0),-[2]整車!$B$22)</f>
        <v>0</v>
      </c>
      <c r="D53" s="241">
        <f t="shared" si="0"/>
        <v>0</v>
      </c>
      <c r="E53" s="247">
        <f>_xlfn.IFNA(VLOOKUP(A53,[1]電同!$C$3:$H$179,6,0),-[2]整車!$B$22)</f>
        <v>31</v>
      </c>
      <c r="F53" s="243">
        <f>E53/E64</f>
        <v>4.5152842371427282E-5</v>
      </c>
      <c r="G53" s="247">
        <f>_xlfn.IFNA(VLOOKUP(A53,[1]電同!$C$3:$G$766,4,0),-[2]整車!$B$22)</f>
        <v>89805</v>
      </c>
      <c r="H53" s="243">
        <f>G53/G64</f>
        <v>7.4018395473145207E-5</v>
      </c>
      <c r="I53" s="245">
        <f t="shared" si="1"/>
        <v>2896.9354838709678</v>
      </c>
    </row>
    <row r="54" spans="1:9" s="228" customFormat="1">
      <c r="A54" s="246" t="s">
        <v>307</v>
      </c>
      <c r="B54" s="247">
        <f>_xlfn.IFNA(VLOOKUP(A54,[1]電!$C$3:$F$537,4,0),-[2]整車!$B$22)</f>
        <v>0</v>
      </c>
      <c r="C54" s="247">
        <f>_xlfn.IFNA(VLOOKUP(A54,[1]電!$C$3:$F$375,3,0),-[2]整車!$B$22)</f>
        <v>0</v>
      </c>
      <c r="D54" s="241">
        <f t="shared" si="0"/>
        <v>0</v>
      </c>
      <c r="E54" s="247">
        <f>_xlfn.IFNA(VLOOKUP(A54,[1]電同!$C$3:$H$179,6,0),-[2]整車!$B$22)</f>
        <v>945</v>
      </c>
      <c r="F54" s="243">
        <f>E54/E64</f>
        <v>1.3764334206773801E-3</v>
      </c>
      <c r="G54" s="247">
        <f>_xlfn.IFNA(VLOOKUP(A54,[1]電同!$C$3:$G$766,4,0),-[2]整車!$B$22)</f>
        <v>2582185</v>
      </c>
      <c r="H54" s="243">
        <f>G54/G64</f>
        <v>2.1282689217173149E-3</v>
      </c>
      <c r="I54" s="245">
        <f t="shared" si="1"/>
        <v>2732.4708994708994</v>
      </c>
    </row>
    <row r="55" spans="1:9" s="228" customFormat="1">
      <c r="A55" s="26" t="s">
        <v>389</v>
      </c>
      <c r="B55" s="247">
        <f>_xlfn.IFNA(VLOOKUP(A55,[1]電!$C$3:$F$537,4,0),-[2]整車!$B$22)</f>
        <v>2132</v>
      </c>
      <c r="C55" s="247">
        <f>_xlfn.IFNA(VLOOKUP(A55,[1]電!$C$3:$F$375,3,0),-[2]整車!$B$22)</f>
        <v>4574212</v>
      </c>
      <c r="D55" s="241">
        <f t="shared" si="0"/>
        <v>2145.5028142589117</v>
      </c>
      <c r="E55" s="247">
        <f>_xlfn.IFNA(VLOOKUP(A55,[1]電同!$C$3:$H$179,6,0),-[2]整車!$B$22)</f>
        <v>17592</v>
      </c>
      <c r="F55" s="243">
        <f>E55/E64</f>
        <v>2.5623509774133829E-2</v>
      </c>
      <c r="G55" s="247">
        <f>_xlfn.IFNA(VLOOKUP(A55,[1]電同!$C$3:$G$766,4,0),-[2]整車!$B$22)</f>
        <v>39907587</v>
      </c>
      <c r="H55" s="243">
        <f>G55/G64</f>
        <v>3.2892328455486321E-2</v>
      </c>
      <c r="I55" s="245">
        <f t="shared" si="1"/>
        <v>2268.5076739427013</v>
      </c>
    </row>
    <row r="56" spans="1:9" s="228" customFormat="1">
      <c r="A56" s="37" t="s">
        <v>24</v>
      </c>
      <c r="B56" s="247">
        <f>_xlfn.IFNA(VLOOKUP(A56,[1]電!$C$3:$F$537,4,0),-[2]整車!$B$22)</f>
        <v>0</v>
      </c>
      <c r="C56" s="247">
        <f>_xlfn.IFNA(VLOOKUP(A56,[1]電!$C$3:$F$375,3,0),-[2]整車!$B$22)</f>
        <v>0</v>
      </c>
      <c r="D56" s="241">
        <f t="shared" si="0"/>
        <v>0</v>
      </c>
      <c r="E56" s="247">
        <f>_xlfn.IFNA(VLOOKUP(A56,[1]電同!$C$3:$H$179,6,0),-[2]整車!$B$22)</f>
        <v>237</v>
      </c>
      <c r="F56" s="243">
        <f>E56/E64</f>
        <v>3.4520076264607307E-4</v>
      </c>
      <c r="G56" s="247">
        <f>_xlfn.IFNA(VLOOKUP(A56,[1]電同!$C$3:$G$766,4,0),-[2]整車!$B$22)</f>
        <v>711547</v>
      </c>
      <c r="H56" s="243">
        <f>G56/G64</f>
        <v>5.864658676435617E-4</v>
      </c>
      <c r="I56" s="245">
        <f t="shared" si="1"/>
        <v>3002.3080168776373</v>
      </c>
    </row>
    <row r="57" spans="1:9" s="228" customFormat="1">
      <c r="A57" s="37" t="s">
        <v>243</v>
      </c>
      <c r="B57" s="247">
        <f>_xlfn.IFNA(VLOOKUP(A57,[1]電!$C$3:$F$537,4,0),-[2]整車!$B$22)</f>
        <v>0</v>
      </c>
      <c r="C57" s="247">
        <f>_xlfn.IFNA(VLOOKUP(A57,[1]電!$C$3:$F$375,3,0),-[2]整車!$B$22)</f>
        <v>0</v>
      </c>
      <c r="D57" s="241">
        <f t="shared" si="0"/>
        <v>0</v>
      </c>
      <c r="E57" s="247">
        <f>_xlfn.IFNA(VLOOKUP(A57,[1]電同!$C$3:$H$179,6,0),-[2]整車!$B$22)</f>
        <v>261</v>
      </c>
      <c r="F57" s="243">
        <f>E57/E64</f>
        <v>3.8015780190137164E-4</v>
      </c>
      <c r="G57" s="247">
        <f>_xlfn.IFNA(VLOOKUP(A57,[1]電同!$C$3:$G$766,4,0),-[2]整車!$B$22)</f>
        <v>424751</v>
      </c>
      <c r="H57" s="243">
        <f>G57/G64</f>
        <v>3.500850453272524E-4</v>
      </c>
      <c r="I57" s="245">
        <f t="shared" si="1"/>
        <v>1627.3984674329502</v>
      </c>
    </row>
    <row r="58" spans="1:9" s="228" customFormat="1">
      <c r="A58" s="37" t="s">
        <v>236</v>
      </c>
      <c r="B58" s="247">
        <f>_xlfn.IFNA(VLOOKUP(A58,[1]電!$C$3:$F$537,4,0),-[2]整車!$B$22)</f>
        <v>384</v>
      </c>
      <c r="C58" s="247">
        <f>_xlfn.IFNA(VLOOKUP(A58,[1]電!$C$3:$F$375,3,0),-[2]整車!$B$22)</f>
        <v>922893</v>
      </c>
      <c r="D58" s="241">
        <f t="shared" si="0"/>
        <v>2403.3671875</v>
      </c>
      <c r="E58" s="247">
        <f>_xlfn.IFNA(VLOOKUP(A58,[1]電同!$C$3:$H$179,6,0),-[2]整車!$B$22)</f>
        <v>2994</v>
      </c>
      <c r="F58" s="243">
        <f>E58/E64</f>
        <v>4.3608906470984929E-3</v>
      </c>
      <c r="G58" s="247">
        <f>_xlfn.IFNA(VLOOKUP(A58,[1]電同!$C$3:$G$766,4,0),-[2]整車!$B$22)</f>
        <v>6806812</v>
      </c>
      <c r="H58" s="243">
        <f>G58/G64</f>
        <v>5.6102589224135682E-3</v>
      </c>
      <c r="I58" s="245">
        <f t="shared" si="1"/>
        <v>2273.4843019372079</v>
      </c>
    </row>
    <row r="59" spans="1:9" s="228" customFormat="1">
      <c r="A59" s="37" t="s">
        <v>281</v>
      </c>
      <c r="B59" s="247">
        <f>_xlfn.IFNA(VLOOKUP(A59,[1]電!$C$3:$F$537,4,0),-[2]整車!$B$22)</f>
        <v>0</v>
      </c>
      <c r="C59" s="247">
        <f>_xlfn.IFNA(VLOOKUP(A59,[1]電!$C$3:$F$375,3,0),-[2]整車!$B$22)</f>
        <v>0</v>
      </c>
      <c r="D59" s="241">
        <f t="shared" si="0"/>
        <v>0</v>
      </c>
      <c r="E59" s="247">
        <f>_xlfn.IFNA(VLOOKUP(A59,[1]電同!$C$3:$H$179,6,0),-[2]整車!$B$22)</f>
        <v>88</v>
      </c>
      <c r="F59" s="243">
        <f>E59/E64</f>
        <v>1.281758106027613E-4</v>
      </c>
      <c r="G59" s="247">
        <f>_xlfn.IFNA(VLOOKUP(A59,[1]電同!$C$3:$G$766,4,0),-[2]整車!$B$22)</f>
        <v>129938</v>
      </c>
      <c r="H59" s="243">
        <f>G59/G64</f>
        <v>1.0709651212058953E-4</v>
      </c>
      <c r="I59" s="245">
        <f t="shared" si="1"/>
        <v>1476.5681818181818</v>
      </c>
    </row>
    <row r="60" spans="1:9" s="228" customFormat="1">
      <c r="A60" s="37" t="s">
        <v>286</v>
      </c>
      <c r="B60" s="247">
        <f>_xlfn.IFNA(VLOOKUP(A60,[1]電!$C$3:$F$537,4,0),-[2]整車!$B$22)</f>
        <v>0</v>
      </c>
      <c r="C60" s="247">
        <f>_xlfn.IFNA(VLOOKUP(A60,[1]電!$C$3:$F$375,3,0),-[2]整車!$B$22)</f>
        <v>0</v>
      </c>
      <c r="D60" s="241">
        <f t="shared" si="0"/>
        <v>0</v>
      </c>
      <c r="E60" s="247">
        <f>_xlfn.IFNA(VLOOKUP(A60,[1]電同!$C$3:$H$179,6,0),-[2]整車!$B$22)</f>
        <v>0</v>
      </c>
      <c r="F60" s="243">
        <f>E60/E64</f>
        <v>0</v>
      </c>
      <c r="G60" s="247">
        <f>_xlfn.IFNA(VLOOKUP(A60,[1]電同!$C$3:$G$766,4,0),-[2]整車!$B$22)</f>
        <v>0</v>
      </c>
      <c r="H60" s="243">
        <f>G60/G64</f>
        <v>0</v>
      </c>
      <c r="I60" s="245">
        <f t="shared" si="1"/>
        <v>0</v>
      </c>
    </row>
    <row r="61" spans="1:9" s="228" customFormat="1">
      <c r="A61" s="37" t="s">
        <v>292</v>
      </c>
      <c r="B61" s="247">
        <f>_xlfn.IFNA(VLOOKUP(A61,[1]電!$C$3:$F$537,4,0),-[2]整車!$B$22)</f>
        <v>1713</v>
      </c>
      <c r="C61" s="247">
        <f>_xlfn.IFNA(VLOOKUP(A61,[1]電!$C$3:$F$375,3,0),-[2]整車!$B$22)</f>
        <v>3383943</v>
      </c>
      <c r="D61" s="241">
        <f t="shared" si="0"/>
        <v>1975.4483362521892</v>
      </c>
      <c r="E61" s="247">
        <f>_xlfn.IFNA(VLOOKUP(A61,[1]電同!$C$3:$H$79,6,0),-[2]整車!$B$22)</f>
        <v>13430</v>
      </c>
      <c r="F61" s="243">
        <f>E61/E64</f>
        <v>1.9561376549944141E-2</v>
      </c>
      <c r="G61" s="247">
        <f>_xlfn.IFNA(VLOOKUP(A61,[1]電同!$C$3:$G$766,4,0),-[2]整車!$B$22)</f>
        <v>30805586</v>
      </c>
      <c r="H61" s="243">
        <f>G61/G64</f>
        <v>2.5390346276153729E-2</v>
      </c>
      <c r="I61" s="245">
        <f t="shared" si="1"/>
        <v>2293.7889798957558</v>
      </c>
    </row>
    <row r="62" spans="1:9" s="228" customFormat="1">
      <c r="A62" s="37" t="s">
        <v>340</v>
      </c>
      <c r="B62" s="247">
        <f>_xlfn.IFNA(VLOOKUP(A62,[1]電!$C$3:$F$537,4,0),-[2]整車!$B$22)</f>
        <v>115</v>
      </c>
      <c r="C62" s="247">
        <f>_xlfn.IFNA(VLOOKUP(A62,[1]電!$C$3:$F$375,3,0),-[2]整車!$B$22)</f>
        <v>303020</v>
      </c>
      <c r="D62" s="241">
        <f t="shared" si="0"/>
        <v>2634.9565217391305</v>
      </c>
      <c r="E62" s="247">
        <f>_xlfn.IFNA(VLOOKUP(A62,[1]電同!$C$3:$H$79,6,0),-[2]整車!$B$22)</f>
        <v>3116</v>
      </c>
      <c r="F62" s="243">
        <f>E62/E64</f>
        <v>4.5385889299795939E-3</v>
      </c>
      <c r="G62" s="247">
        <f>_xlfn.IFNA(VLOOKUP(A62,[1]電同!$C$3:$G$766,4,0),-[2]整車!$B$22)</f>
        <v>8297193</v>
      </c>
      <c r="H62" s="243">
        <f>G62/G64</f>
        <v>6.8386494381271886E-3</v>
      </c>
      <c r="I62" s="245">
        <f t="shared" si="1"/>
        <v>2662.7705391527597</v>
      </c>
    </row>
    <row r="63" spans="1:9" s="228" customFormat="1">
      <c r="A63" s="37" t="s">
        <v>30</v>
      </c>
      <c r="B63" s="34">
        <f>B64-B48-B42-B13-B8</f>
        <v>417</v>
      </c>
      <c r="C63" s="34">
        <f>C64-C48-C42-C13-C8</f>
        <v>1065373</v>
      </c>
      <c r="D63" s="241">
        <f t="shared" si="0"/>
        <v>2554.851318944844</v>
      </c>
      <c r="E63" s="249">
        <f>E64-E48-E42-E13-E8</f>
        <v>3232</v>
      </c>
      <c r="F63" s="250">
        <f>E63/$E$64</f>
        <v>4.70754795304687E-3</v>
      </c>
      <c r="G63" s="249">
        <f>G64-G48-G42-G13-G8</f>
        <v>9052312</v>
      </c>
      <c r="H63" s="250">
        <f>G63/$G$64</f>
        <v>7.4610278888959198E-3</v>
      </c>
      <c r="I63" s="245">
        <f t="shared" si="1"/>
        <v>2800.8391089108909</v>
      </c>
    </row>
    <row r="64" spans="1:9" s="228" customFormat="1">
      <c r="A64" s="251" t="s">
        <v>404</v>
      </c>
      <c r="B64" s="522">
        <f>VLOOKUP(A64,[1]電!$B$2:$F$2,5,0)</f>
        <v>37597</v>
      </c>
      <c r="C64" s="35">
        <f>VLOOKUP(A64,[1]電!$B$2:$F$2,4,0)</f>
        <v>78090935</v>
      </c>
      <c r="D64" s="523">
        <f t="shared" ref="D64" si="2">C64/B64</f>
        <v>2077.0522914062294</v>
      </c>
      <c r="E64" s="247">
        <f>VLOOKUP(A64,[1]電同!$B$2:$H$2,7,0)</f>
        <v>686557</v>
      </c>
      <c r="F64" s="524">
        <f>E64/$E$64</f>
        <v>1</v>
      </c>
      <c r="G64" s="35">
        <f>VLOOKUP(A64,[1]電同!$B$2:$H$2,5,0)</f>
        <v>1213279475</v>
      </c>
      <c r="H64" s="243">
        <f>G64/$G$64</f>
        <v>1</v>
      </c>
      <c r="I64" s="245">
        <f>G64/E64</f>
        <v>1767.1940931342917</v>
      </c>
    </row>
    <row r="65" spans="1:9" s="228" customFormat="1">
      <c r="A65" s="257"/>
      <c r="B65" s="258"/>
      <c r="C65" s="259"/>
      <c r="D65" s="260"/>
      <c r="E65" s="261"/>
      <c r="F65" s="262"/>
      <c r="G65" s="259"/>
      <c r="H65" s="262"/>
      <c r="I65" s="263"/>
    </row>
    <row r="66" spans="1:9" s="228" customFormat="1" ht="15" customHeight="1">
      <c r="A66" s="264" t="s">
        <v>120</v>
      </c>
      <c r="B66" s="265"/>
      <c r="C66" s="265"/>
      <c r="D66" s="265"/>
    </row>
    <row r="67" spans="1:9" s="228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整車進口</vt:lpstr>
      <vt:lpstr>整車比較</vt:lpstr>
      <vt:lpstr>整車同期比較</vt:lpstr>
      <vt:lpstr>整車出口全球總表更新至8月(記得隱藏)</vt:lpstr>
      <vt:lpstr>出口地區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 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2024-02-26T06:02:20Z</dcterms:modified>
  <cp:contentStatus/>
</cp:coreProperties>
</file>