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TBA\Emily\各年統計\2023統計\2023統計正本\"/>
    </mc:Choice>
  </mc:AlternateContent>
  <xr:revisionPtr revIDLastSave="0" documentId="13_ncr:1_{66CA1F1D-F7D1-46FD-BE73-F2CDED18F810}" xr6:coauthVersionLast="47" xr6:coauthVersionMax="47" xr10:uidLastSave="{00000000-0000-0000-0000-000000000000}"/>
  <bookViews>
    <workbookView xWindow="0" yWindow="0" windowWidth="20460" windowHeight="10875" tabRatio="597" xr2:uid="{00000000-000D-0000-FFFF-FFFF00000000}"/>
  </bookViews>
  <sheets>
    <sheet name="整車" sheetId="1" r:id="rId1"/>
    <sheet name="整車進口" sheetId="5" r:id="rId2"/>
    <sheet name="整車比較" sheetId="2" r:id="rId3"/>
    <sheet name="整車同期比較" sheetId="27" r:id="rId4"/>
    <sheet name="整車出口全球總表更新至8月(記得隱藏)" sheetId="18" state="hidden" r:id="rId5"/>
    <sheet name="出口地區" sheetId="28" r:id="rId6"/>
    <sheet name="折疊車" sheetId="9" r:id="rId7"/>
    <sheet name="折疊車比較" sheetId="10" r:id="rId8"/>
    <sheet name="電輔車" sheetId="11" r:id="rId9"/>
    <sheet name="電輔車比較" sheetId="12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 " sheetId="3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5">出口地區!$A$1:$J$34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5" l="1"/>
  <c r="D65" i="5" s="1"/>
  <c r="L20" i="22"/>
  <c r="L17" i="22"/>
  <c r="L59" i="22"/>
  <c r="L56" i="22"/>
  <c r="L53" i="22"/>
  <c r="L51" i="22"/>
  <c r="L49" i="22"/>
  <c r="L46" i="22"/>
  <c r="L40" i="22"/>
  <c r="L38" i="22"/>
  <c r="L36" i="22"/>
  <c r="L33" i="22"/>
  <c r="L30" i="22"/>
  <c r="L28" i="22"/>
  <c r="L24" i="22"/>
  <c r="L22" i="22"/>
  <c r="L19" i="22"/>
  <c r="L16" i="22"/>
  <c r="L13" i="22"/>
  <c r="M59" i="22"/>
  <c r="M56" i="22"/>
  <c r="M53" i="22"/>
  <c r="M51" i="22"/>
  <c r="M49" i="22"/>
  <c r="M46" i="22"/>
  <c r="M40" i="22"/>
  <c r="M38" i="22"/>
  <c r="M36" i="22"/>
  <c r="M33" i="22"/>
  <c r="M30" i="22"/>
  <c r="M28" i="22"/>
  <c r="M24" i="22"/>
  <c r="M22" i="22"/>
  <c r="M19" i="22"/>
  <c r="M16" i="22"/>
  <c r="M13" i="22"/>
  <c r="I20" i="22"/>
  <c r="I17" i="22"/>
  <c r="J59" i="22"/>
  <c r="J56" i="22"/>
  <c r="J53" i="22"/>
  <c r="J51" i="22"/>
  <c r="J49" i="22"/>
  <c r="J46" i="22"/>
  <c r="J40" i="22"/>
  <c r="J30" i="22"/>
  <c r="J33" i="22"/>
  <c r="J36" i="22"/>
  <c r="J38" i="22"/>
  <c r="J28" i="22"/>
  <c r="J24" i="22"/>
  <c r="J22" i="22"/>
  <c r="J19" i="22"/>
  <c r="J16" i="22"/>
  <c r="J13" i="22"/>
  <c r="I59" i="22"/>
  <c r="I56" i="22"/>
  <c r="I53" i="22"/>
  <c r="I51" i="22"/>
  <c r="I49" i="22"/>
  <c r="I46" i="22"/>
  <c r="I40" i="22"/>
  <c r="I38" i="22"/>
  <c r="I36" i="22"/>
  <c r="I33" i="22"/>
  <c r="I30" i="22"/>
  <c r="I28" i="22"/>
  <c r="I24" i="22"/>
  <c r="I22" i="22"/>
  <c r="I19" i="22"/>
  <c r="I16" i="22"/>
  <c r="I13" i="22"/>
  <c r="F20" i="22"/>
  <c r="F17" i="22"/>
  <c r="G59" i="22"/>
  <c r="G56" i="22"/>
  <c r="G53" i="22"/>
  <c r="G51" i="22"/>
  <c r="G49" i="22"/>
  <c r="G46" i="22"/>
  <c r="G40" i="22"/>
  <c r="G38" i="22"/>
  <c r="G36" i="22"/>
  <c r="G33" i="22"/>
  <c r="G30" i="22"/>
  <c r="G28" i="22"/>
  <c r="G24" i="22"/>
  <c r="G22" i="22"/>
  <c r="G19" i="22"/>
  <c r="G16" i="22"/>
  <c r="G13" i="22"/>
  <c r="F59" i="22"/>
  <c r="F56" i="22"/>
  <c r="F53" i="22"/>
  <c r="F51" i="22"/>
  <c r="F49" i="22"/>
  <c r="F46" i="22"/>
  <c r="F40" i="22"/>
  <c r="F38" i="22"/>
  <c r="F36" i="22"/>
  <c r="F33" i="22"/>
  <c r="F30" i="22"/>
  <c r="F28" i="22"/>
  <c r="F24" i="22"/>
  <c r="F22" i="22"/>
  <c r="F19" i="22"/>
  <c r="F16" i="22"/>
  <c r="F13" i="22"/>
  <c r="C20" i="22"/>
  <c r="C17" i="22"/>
  <c r="D59" i="22"/>
  <c r="D56" i="22"/>
  <c r="D53" i="22"/>
  <c r="D51" i="22"/>
  <c r="D49" i="22"/>
  <c r="D46" i="22"/>
  <c r="D40" i="22"/>
  <c r="D38" i="22"/>
  <c r="D36" i="22"/>
  <c r="D33" i="22"/>
  <c r="D30" i="22"/>
  <c r="D28" i="22"/>
  <c r="D24" i="22"/>
  <c r="D22" i="22"/>
  <c r="D19" i="22"/>
  <c r="D16" i="22"/>
  <c r="D13" i="22"/>
  <c r="C59" i="22"/>
  <c r="C56" i="22"/>
  <c r="C53" i="22"/>
  <c r="C51" i="22"/>
  <c r="C49" i="22"/>
  <c r="C46" i="22"/>
  <c r="C40" i="22"/>
  <c r="C38" i="22"/>
  <c r="C36" i="22"/>
  <c r="C33" i="22"/>
  <c r="C30" i="22"/>
  <c r="C28" i="22"/>
  <c r="C24" i="22"/>
  <c r="C22" i="22"/>
  <c r="C19" i="22"/>
  <c r="C16" i="22"/>
  <c r="C13" i="22"/>
  <c r="B28" i="28"/>
  <c r="B27" i="28"/>
  <c r="G38" i="26"/>
  <c r="D38" i="26"/>
  <c r="G17" i="26"/>
  <c r="D17" i="26"/>
  <c r="G64" i="11"/>
  <c r="G62" i="11"/>
  <c r="G61" i="11"/>
  <c r="G50" i="11"/>
  <c r="G51" i="11"/>
  <c r="G52" i="11"/>
  <c r="G53" i="11"/>
  <c r="G54" i="11"/>
  <c r="G55" i="11"/>
  <c r="G56" i="11"/>
  <c r="G57" i="11"/>
  <c r="G58" i="11"/>
  <c r="G59" i="11"/>
  <c r="G49" i="11"/>
  <c r="G44" i="11"/>
  <c r="G45" i="11"/>
  <c r="G43" i="11"/>
  <c r="G32" i="11"/>
  <c r="G26" i="11"/>
  <c r="G27" i="11"/>
  <c r="G28" i="11"/>
  <c r="G29" i="11"/>
  <c r="G30" i="11"/>
  <c r="G25" i="11"/>
  <c r="G15" i="11"/>
  <c r="G16" i="11"/>
  <c r="G17" i="11"/>
  <c r="G18" i="11"/>
  <c r="G19" i="11"/>
  <c r="G20" i="11"/>
  <c r="G21" i="11"/>
  <c r="G22" i="11"/>
  <c r="G14" i="11"/>
  <c r="G10" i="11"/>
  <c r="G11" i="11"/>
  <c r="G9" i="11"/>
  <c r="E64" i="11"/>
  <c r="E50" i="11"/>
  <c r="E51" i="11"/>
  <c r="E52" i="11"/>
  <c r="E53" i="11"/>
  <c r="E54" i="11"/>
  <c r="E55" i="11"/>
  <c r="E56" i="11"/>
  <c r="E57" i="11"/>
  <c r="E58" i="11"/>
  <c r="E59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2" i="11"/>
  <c r="E25" i="11"/>
  <c r="E26" i="11"/>
  <c r="E27" i="11"/>
  <c r="E28" i="11"/>
  <c r="E29" i="11"/>
  <c r="E30" i="11"/>
  <c r="E32" i="11"/>
  <c r="E14" i="11"/>
  <c r="E10" i="11"/>
  <c r="E11" i="11"/>
  <c r="E9" i="11"/>
  <c r="C64" i="11"/>
  <c r="C62" i="11"/>
  <c r="C61" i="11"/>
  <c r="C58" i="11"/>
  <c r="C55" i="11"/>
  <c r="C54" i="11"/>
  <c r="C50" i="11"/>
  <c r="C49" i="11"/>
  <c r="C44" i="11"/>
  <c r="C43" i="11"/>
  <c r="C27" i="11"/>
  <c r="C28" i="11"/>
  <c r="C29" i="11"/>
  <c r="C26" i="11"/>
  <c r="C15" i="11"/>
  <c r="C16" i="11"/>
  <c r="C17" i="11"/>
  <c r="C18" i="11"/>
  <c r="C19" i="11"/>
  <c r="C20" i="11"/>
  <c r="C14" i="11"/>
  <c r="C11" i="11"/>
  <c r="C10" i="11"/>
  <c r="C9" i="11"/>
  <c r="B64" i="11"/>
  <c r="B50" i="11"/>
  <c r="B54" i="11"/>
  <c r="B55" i="11"/>
  <c r="B58" i="11"/>
  <c r="B61" i="11"/>
  <c r="B62" i="11"/>
  <c r="B49" i="11"/>
  <c r="B44" i="11"/>
  <c r="B43" i="11"/>
  <c r="B15" i="11"/>
  <c r="B16" i="11"/>
  <c r="B17" i="11"/>
  <c r="B18" i="11"/>
  <c r="B19" i="11"/>
  <c r="B20" i="11"/>
  <c r="B26" i="11"/>
  <c r="B27" i="11"/>
  <c r="B28" i="11"/>
  <c r="B29" i="11"/>
  <c r="B14" i="11"/>
  <c r="B10" i="11"/>
  <c r="B11" i="11"/>
  <c r="B9" i="11"/>
  <c r="E68" i="9"/>
  <c r="E49" i="9"/>
  <c r="E54" i="9"/>
  <c r="E56" i="9"/>
  <c r="E57" i="9"/>
  <c r="E58" i="9"/>
  <c r="E59" i="9"/>
  <c r="E66" i="9"/>
  <c r="E15" i="9"/>
  <c r="E17" i="9"/>
  <c r="E24" i="9"/>
  <c r="E13" i="9"/>
  <c r="E9" i="9"/>
  <c r="E8" i="9"/>
  <c r="G66" i="5"/>
  <c r="G49" i="5"/>
  <c r="G54" i="5"/>
  <c r="G56" i="5"/>
  <c r="G57" i="5"/>
  <c r="G58" i="5"/>
  <c r="G59" i="5"/>
  <c r="G60" i="5"/>
  <c r="G61" i="5"/>
  <c r="G48" i="5"/>
  <c r="G42" i="5"/>
  <c r="G14" i="5"/>
  <c r="G15" i="5"/>
  <c r="G16" i="5"/>
  <c r="G17" i="5"/>
  <c r="G18" i="5"/>
  <c r="G19" i="5"/>
  <c r="G20" i="5"/>
  <c r="G24" i="5"/>
  <c r="G28" i="5"/>
  <c r="G32" i="5"/>
  <c r="G9" i="5"/>
  <c r="G8" i="5"/>
  <c r="E66" i="5"/>
  <c r="E49" i="5"/>
  <c r="E54" i="5"/>
  <c r="E56" i="5"/>
  <c r="E57" i="5"/>
  <c r="E58" i="5"/>
  <c r="E59" i="5"/>
  <c r="E60" i="5"/>
  <c r="E61" i="5"/>
  <c r="E48" i="5"/>
  <c r="E42" i="5"/>
  <c r="E14" i="5"/>
  <c r="E15" i="5"/>
  <c r="E16" i="5"/>
  <c r="E17" i="5"/>
  <c r="E18" i="5"/>
  <c r="E19" i="5"/>
  <c r="E20" i="5"/>
  <c r="E24" i="5"/>
  <c r="E28" i="5"/>
  <c r="E32" i="5"/>
  <c r="E9" i="5"/>
  <c r="E8" i="5"/>
  <c r="C66" i="5"/>
  <c r="C61" i="5"/>
  <c r="C59" i="5"/>
  <c r="C58" i="5"/>
  <c r="C49" i="5"/>
  <c r="C48" i="5"/>
  <c r="C17" i="5"/>
  <c r="C16" i="5"/>
  <c r="C14" i="5"/>
  <c r="C8" i="5"/>
  <c r="B66" i="5"/>
  <c r="B49" i="5"/>
  <c r="B58" i="5"/>
  <c r="B59" i="5"/>
  <c r="B61" i="5"/>
  <c r="B48" i="5"/>
  <c r="B14" i="5"/>
  <c r="B16" i="5"/>
  <c r="B17" i="5"/>
  <c r="B8" i="5"/>
  <c r="C67" i="1"/>
  <c r="C61" i="1"/>
  <c r="C62" i="1"/>
  <c r="C64" i="1"/>
  <c r="C65" i="1"/>
  <c r="C60" i="1"/>
  <c r="C49" i="1"/>
  <c r="C50" i="1"/>
  <c r="C51" i="1"/>
  <c r="C52" i="1"/>
  <c r="C53" i="1"/>
  <c r="C54" i="1"/>
  <c r="C55" i="1"/>
  <c r="C56" i="1"/>
  <c r="C57" i="1"/>
  <c r="C48" i="1"/>
  <c r="C43" i="1"/>
  <c r="C42" i="1"/>
  <c r="C31" i="1"/>
  <c r="C28" i="1"/>
  <c r="C27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60" i="1"/>
  <c r="B61" i="1"/>
  <c r="B62" i="1"/>
  <c r="B64" i="1"/>
  <c r="B65" i="1"/>
  <c r="B48" i="1"/>
  <c r="B43" i="1"/>
  <c r="B42" i="1"/>
  <c r="B14" i="1"/>
  <c r="B15" i="1"/>
  <c r="B16" i="1"/>
  <c r="B17" i="1"/>
  <c r="B18" i="1"/>
  <c r="B19" i="1"/>
  <c r="B27" i="1"/>
  <c r="B28" i="1"/>
  <c r="B31" i="1"/>
  <c r="B13" i="1"/>
  <c r="B9" i="1"/>
  <c r="B10" i="1"/>
  <c r="B8" i="1"/>
  <c r="G6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3" i="1"/>
  <c r="G44" i="1"/>
  <c r="G4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23" i="1"/>
  <c r="G14" i="1"/>
  <c r="G15" i="1"/>
  <c r="G16" i="1"/>
  <c r="G17" i="1"/>
  <c r="G18" i="1"/>
  <c r="G19" i="1"/>
  <c r="G20" i="1"/>
  <c r="G21" i="1"/>
  <c r="G13" i="1"/>
  <c r="G10" i="1"/>
  <c r="G9" i="1"/>
  <c r="G8" i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3" i="1"/>
  <c r="E9" i="1"/>
  <c r="E10" i="1"/>
  <c r="E8" i="1"/>
  <c r="F64" i="12" l="1"/>
  <c r="F62" i="12"/>
  <c r="F61" i="12"/>
  <c r="F50" i="12"/>
  <c r="F51" i="12"/>
  <c r="F52" i="12"/>
  <c r="F53" i="12"/>
  <c r="F54" i="12"/>
  <c r="F55" i="12"/>
  <c r="F56" i="12"/>
  <c r="F57" i="12"/>
  <c r="F58" i="12"/>
  <c r="F49" i="12"/>
  <c r="F45" i="12"/>
  <c r="F44" i="12"/>
  <c r="F43" i="12"/>
  <c r="F32" i="12"/>
  <c r="F26" i="12"/>
  <c r="F27" i="12"/>
  <c r="F28" i="12"/>
  <c r="F29" i="12"/>
  <c r="F30" i="12"/>
  <c r="F25" i="12"/>
  <c r="F15" i="12"/>
  <c r="F16" i="12"/>
  <c r="F17" i="12"/>
  <c r="F18" i="12"/>
  <c r="F19" i="12"/>
  <c r="F20" i="12"/>
  <c r="F21" i="12"/>
  <c r="F22" i="12"/>
  <c r="F14" i="12"/>
  <c r="F10" i="12"/>
  <c r="F11" i="12"/>
  <c r="F9" i="12"/>
  <c r="C64" i="12"/>
  <c r="C50" i="12"/>
  <c r="C51" i="12"/>
  <c r="C52" i="12"/>
  <c r="C53" i="12"/>
  <c r="C54" i="12"/>
  <c r="C55" i="12"/>
  <c r="C56" i="12"/>
  <c r="C57" i="12"/>
  <c r="C58" i="12"/>
  <c r="C61" i="12"/>
  <c r="C62" i="12"/>
  <c r="C49" i="12"/>
  <c r="C44" i="12"/>
  <c r="C45" i="12"/>
  <c r="C43" i="12"/>
  <c r="C15" i="12"/>
  <c r="C16" i="12"/>
  <c r="C17" i="12"/>
  <c r="C18" i="12"/>
  <c r="C19" i="12"/>
  <c r="C20" i="12"/>
  <c r="C21" i="12"/>
  <c r="C22" i="12"/>
  <c r="C25" i="12"/>
  <c r="C26" i="12"/>
  <c r="C27" i="12"/>
  <c r="C28" i="12"/>
  <c r="C29" i="12"/>
  <c r="C30" i="12"/>
  <c r="C32" i="12"/>
  <c r="C14" i="12"/>
  <c r="C10" i="12"/>
  <c r="C11" i="12"/>
  <c r="C9" i="12"/>
  <c r="I15" i="10"/>
  <c r="F68" i="10"/>
  <c r="F66" i="10"/>
  <c r="F65" i="10"/>
  <c r="F57" i="10"/>
  <c r="F58" i="10"/>
  <c r="F59" i="10"/>
  <c r="F56" i="10"/>
  <c r="F54" i="10"/>
  <c r="F49" i="10"/>
  <c r="F48" i="10"/>
  <c r="F28" i="10"/>
  <c r="F24" i="10"/>
  <c r="F14" i="10"/>
  <c r="F13" i="10"/>
  <c r="F9" i="10"/>
  <c r="F8" i="10"/>
  <c r="C68" i="10"/>
  <c r="C49" i="10"/>
  <c r="C54" i="10"/>
  <c r="C56" i="10"/>
  <c r="C57" i="10"/>
  <c r="C58" i="10"/>
  <c r="C59" i="10"/>
  <c r="C65" i="10"/>
  <c r="C66" i="10"/>
  <c r="C48" i="10"/>
  <c r="C14" i="10"/>
  <c r="C24" i="10"/>
  <c r="C28" i="10"/>
  <c r="C13" i="10"/>
  <c r="C9" i="10"/>
  <c r="C8" i="10"/>
  <c r="F67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48" i="2"/>
  <c r="F43" i="2"/>
  <c r="F44" i="2"/>
  <c r="F42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23" i="2"/>
  <c r="F14" i="2"/>
  <c r="F15" i="2"/>
  <c r="F16" i="2"/>
  <c r="F17" i="2"/>
  <c r="F18" i="2"/>
  <c r="F19" i="2"/>
  <c r="F20" i="2"/>
  <c r="F21" i="2"/>
  <c r="F13" i="2"/>
  <c r="F9" i="2"/>
  <c r="F10" i="2"/>
  <c r="F8" i="2"/>
  <c r="C67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48" i="2"/>
  <c r="C43" i="2"/>
  <c r="C44" i="2"/>
  <c r="C42" i="2"/>
  <c r="C14" i="2"/>
  <c r="C15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13" i="2"/>
  <c r="C9" i="2"/>
  <c r="C10" i="2"/>
  <c r="C8" i="2"/>
  <c r="B25" i="28" l="1"/>
  <c r="B26" i="28"/>
  <c r="G16" i="26" l="1"/>
  <c r="D16" i="26"/>
  <c r="G37" i="26"/>
  <c r="D37" i="26"/>
  <c r="F14" i="22" l="1"/>
  <c r="C14" i="22"/>
  <c r="F60" i="12"/>
  <c r="F59" i="12"/>
  <c r="F46" i="12"/>
  <c r="C46" i="12"/>
  <c r="F40" i="12"/>
  <c r="F39" i="12"/>
  <c r="F38" i="12"/>
  <c r="F37" i="12"/>
  <c r="F36" i="12"/>
  <c r="F35" i="12"/>
  <c r="F34" i="12"/>
  <c r="F33" i="12"/>
  <c r="F31" i="12"/>
  <c r="F24" i="12"/>
  <c r="F23" i="12"/>
  <c r="G60" i="11"/>
  <c r="G46" i="11"/>
  <c r="G40" i="11"/>
  <c r="G39" i="11"/>
  <c r="G38" i="11"/>
  <c r="G37" i="11"/>
  <c r="G36" i="11"/>
  <c r="G35" i="11"/>
  <c r="G34" i="11"/>
  <c r="G33" i="11"/>
  <c r="G31" i="11"/>
  <c r="G24" i="11"/>
  <c r="G23" i="11"/>
  <c r="C60" i="11"/>
  <c r="C59" i="11"/>
  <c r="C57" i="11"/>
  <c r="C56" i="11"/>
  <c r="C53" i="11"/>
  <c r="C52" i="11"/>
  <c r="C51" i="11"/>
  <c r="C46" i="11"/>
  <c r="C45" i="11"/>
  <c r="C40" i="11"/>
  <c r="C39" i="11"/>
  <c r="C38" i="11"/>
  <c r="C37" i="11"/>
  <c r="C36" i="11"/>
  <c r="C35" i="11"/>
  <c r="C34" i="11"/>
  <c r="C33" i="11"/>
  <c r="C32" i="11"/>
  <c r="C31" i="11"/>
  <c r="C30" i="11"/>
  <c r="C25" i="11"/>
  <c r="C24" i="11"/>
  <c r="C23" i="11"/>
  <c r="C22" i="11"/>
  <c r="C21" i="11"/>
  <c r="E68" i="10"/>
  <c r="F64" i="10"/>
  <c r="F63" i="10"/>
  <c r="F62" i="10"/>
  <c r="F61" i="10"/>
  <c r="F60" i="10"/>
  <c r="F55" i="10"/>
  <c r="F53" i="10"/>
  <c r="F52" i="10"/>
  <c r="F51" i="10"/>
  <c r="F50" i="10"/>
  <c r="F45" i="10"/>
  <c r="C45" i="10"/>
  <c r="F44" i="10"/>
  <c r="C44" i="10"/>
  <c r="F43" i="10"/>
  <c r="C43" i="10"/>
  <c r="F42" i="10"/>
  <c r="C42" i="10"/>
  <c r="F39" i="10"/>
  <c r="F38" i="10"/>
  <c r="F37" i="10"/>
  <c r="F36" i="10"/>
  <c r="F35" i="10"/>
  <c r="F34" i="10"/>
  <c r="F33" i="10"/>
  <c r="F32" i="10"/>
  <c r="F31" i="10"/>
  <c r="F30" i="10"/>
  <c r="F29" i="10"/>
  <c r="F27" i="10"/>
  <c r="F26" i="10"/>
  <c r="F25" i="10"/>
  <c r="F23" i="10"/>
  <c r="F22" i="10"/>
  <c r="F21" i="10"/>
  <c r="F20" i="10"/>
  <c r="F19" i="10"/>
  <c r="F18" i="10"/>
  <c r="F17" i="10"/>
  <c r="F16" i="10"/>
  <c r="F15" i="10"/>
  <c r="F10" i="10"/>
  <c r="G68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5" i="9"/>
  <c r="G44" i="9"/>
  <c r="G43" i="9"/>
  <c r="G42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0" i="9"/>
  <c r="G9" i="9"/>
  <c r="G8" i="9"/>
  <c r="C66" i="9"/>
  <c r="B66" i="9"/>
  <c r="C65" i="9"/>
  <c r="B65" i="9"/>
  <c r="C64" i="9"/>
  <c r="B64" i="9"/>
  <c r="C63" i="9"/>
  <c r="B63" i="9"/>
  <c r="C62" i="9"/>
  <c r="B62" i="9"/>
  <c r="C61" i="9"/>
  <c r="B61" i="9"/>
  <c r="C60" i="9"/>
  <c r="B60" i="9"/>
  <c r="C59" i="9"/>
  <c r="B59" i="9"/>
  <c r="C57" i="9"/>
  <c r="B57" i="9"/>
  <c r="C56" i="9"/>
  <c r="B56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C27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0" i="9"/>
  <c r="B10" i="9"/>
  <c r="C9" i="9"/>
  <c r="B9" i="9"/>
  <c r="C64" i="5"/>
  <c r="C63" i="5"/>
  <c r="C62" i="5"/>
  <c r="C60" i="5"/>
  <c r="C57" i="5"/>
  <c r="C56" i="5"/>
  <c r="C55" i="5"/>
  <c r="C54" i="5"/>
  <c r="C53" i="5"/>
  <c r="C52" i="5"/>
  <c r="C51" i="5"/>
  <c r="C50" i="5"/>
  <c r="C45" i="5"/>
  <c r="C44" i="5"/>
  <c r="C43" i="5"/>
  <c r="C42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3" i="5"/>
  <c r="C22" i="5"/>
  <c r="C21" i="5"/>
  <c r="C20" i="5"/>
  <c r="C19" i="5"/>
  <c r="C18" i="5"/>
  <c r="C15" i="5"/>
  <c r="C13" i="5"/>
  <c r="C10" i="5"/>
  <c r="C9" i="5"/>
  <c r="F45" i="2"/>
  <c r="F22" i="2"/>
  <c r="G45" i="1"/>
  <c r="E45" i="1"/>
  <c r="G22" i="1"/>
  <c r="C59" i="1"/>
  <c r="C58" i="1"/>
  <c r="C45" i="1"/>
  <c r="C44" i="1"/>
  <c r="C32" i="1"/>
  <c r="C30" i="1"/>
  <c r="C29" i="1"/>
  <c r="C26" i="1"/>
  <c r="C23" i="1"/>
  <c r="C22" i="1"/>
  <c r="C21" i="1"/>
  <c r="C20" i="1"/>
  <c r="G15" i="26" l="1"/>
  <c r="D15" i="26"/>
  <c r="G36" i="26"/>
  <c r="D36" i="26"/>
  <c r="B24" i="28"/>
  <c r="B23" i="28"/>
  <c r="B22" i="28" l="1"/>
  <c r="B21" i="28"/>
  <c r="G35" i="26"/>
  <c r="D35" i="26"/>
  <c r="G14" i="26"/>
  <c r="D14" i="26"/>
  <c r="B20" i="28"/>
  <c r="B19" i="28"/>
  <c r="B18" i="28"/>
  <c r="B17" i="28"/>
  <c r="G33" i="26" l="1"/>
  <c r="G34" i="26"/>
  <c r="D33" i="26"/>
  <c r="D34" i="26"/>
  <c r="G12" i="26"/>
  <c r="G13" i="26"/>
  <c r="D12" i="26"/>
  <c r="D13" i="26"/>
  <c r="B16" i="28" l="1"/>
  <c r="B15" i="28"/>
  <c r="G32" i="26"/>
  <c r="D32" i="26"/>
  <c r="G11" i="26"/>
  <c r="D11" i="26"/>
  <c r="B14" i="28" l="1"/>
  <c r="B13" i="28"/>
  <c r="G31" i="26"/>
  <c r="D31" i="26"/>
  <c r="G10" i="26"/>
  <c r="D10" i="26"/>
  <c r="B12" i="28" l="1"/>
  <c r="B11" i="28"/>
  <c r="G30" i="26"/>
  <c r="D30" i="26"/>
  <c r="G9" i="26"/>
  <c r="D9" i="26"/>
  <c r="B10" i="28" l="1"/>
  <c r="B9" i="28"/>
  <c r="J165" i="31"/>
  <c r="J150" i="31"/>
  <c r="E150" i="31"/>
  <c r="J135" i="31"/>
  <c r="E90" i="31"/>
  <c r="J30" i="31"/>
  <c r="H30" i="31" l="1"/>
  <c r="E135" i="31"/>
  <c r="C150" i="31"/>
  <c r="J45" i="31"/>
  <c r="E60" i="31"/>
  <c r="J75" i="31"/>
  <c r="C30" i="31"/>
  <c r="H90" i="31"/>
  <c r="J60" i="31"/>
  <c r="H150" i="31"/>
  <c r="C15" i="31"/>
  <c r="C45" i="31"/>
  <c r="C75" i="31"/>
  <c r="H120" i="31"/>
  <c r="J15" i="31"/>
  <c r="E15" i="31"/>
  <c r="E30" i="31"/>
  <c r="H45" i="31"/>
  <c r="E45" i="31"/>
  <c r="C60" i="31"/>
  <c r="H75" i="31"/>
  <c r="E75" i="31"/>
  <c r="C90" i="31"/>
  <c r="H105" i="31"/>
  <c r="C120" i="31"/>
  <c r="C165" i="31"/>
  <c r="H15" i="31"/>
  <c r="H60" i="31"/>
  <c r="J90" i="31"/>
  <c r="E105" i="31"/>
  <c r="C105" i="31"/>
  <c r="J105" i="31"/>
  <c r="J120" i="31"/>
  <c r="H135" i="31"/>
  <c r="C135" i="31"/>
  <c r="H165" i="31"/>
  <c r="E165" i="31"/>
  <c r="E120" i="31"/>
  <c r="G8" i="26" l="1"/>
  <c r="D8" i="26"/>
  <c r="G29" i="26"/>
  <c r="D29" i="26"/>
  <c r="B63" i="23"/>
  <c r="F48" i="5" l="1"/>
  <c r="B8" i="28"/>
  <c r="B7" i="28"/>
  <c r="H49" i="11" l="1"/>
  <c r="F49" i="11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F67" i="22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F47" i="2"/>
  <c r="C47" i="2"/>
  <c r="E48" i="2"/>
  <c r="G48" i="2" s="1"/>
  <c r="E47" i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7" i="10"/>
  <c r="C48" i="11"/>
  <c r="G19" i="25"/>
  <c r="X38" i="18"/>
  <c r="G47" i="1"/>
  <c r="I47" i="1" s="1"/>
  <c r="B47" i="9"/>
  <c r="G47" i="9"/>
  <c r="F47" i="10"/>
  <c r="E48" i="11"/>
  <c r="E47" i="5"/>
  <c r="G47" i="5"/>
  <c r="C47" i="9"/>
  <c r="G48" i="11"/>
  <c r="D45" i="25"/>
  <c r="D35" i="25"/>
  <c r="G13" i="23"/>
  <c r="Y38" i="18"/>
  <c r="Y189" i="18"/>
  <c r="C48" i="12"/>
  <c r="G37" i="23"/>
  <c r="Y11" i="18"/>
  <c r="Y151" i="18"/>
  <c r="F48" i="12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G67" i="22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G42" i="11" l="1"/>
  <c r="H9" i="9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E41" i="5"/>
  <c r="H9" i="10" l="1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N36" i="18" s="1"/>
  <c r="N9" i="18" s="1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L38" i="18"/>
  <c r="K38" i="18"/>
  <c r="J38" i="18"/>
  <c r="I38" i="18"/>
  <c r="H38" i="18"/>
  <c r="G38" i="18"/>
  <c r="F38" i="18"/>
  <c r="F36" i="18" s="1"/>
  <c r="E38" i="18"/>
  <c r="D38" i="18"/>
  <c r="D36" i="18" s="1"/>
  <c r="C38" i="18"/>
  <c r="B38" i="18"/>
  <c r="L36" i="18"/>
  <c r="J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J9" i="18" l="1"/>
  <c r="M36" i="18"/>
  <c r="H36" i="18"/>
  <c r="H9" i="18" s="1"/>
  <c r="D9" i="18"/>
  <c r="B36" i="18"/>
  <c r="L9" i="18"/>
  <c r="I36" i="18"/>
  <c r="K36" i="18"/>
  <c r="K9" i="18" s="1"/>
  <c r="M9" i="18"/>
  <c r="F9" i="18"/>
  <c r="V36" i="18"/>
  <c r="V9" i="18" s="1"/>
  <c r="I9" i="18"/>
  <c r="G36" i="18"/>
  <c r="G9" i="18" s="1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F13" i="5"/>
  <c r="H47" i="2" l="1"/>
  <c r="J47" i="2" s="1"/>
  <c r="G41" i="5"/>
  <c r="I41" i="5" s="1"/>
  <c r="C42" i="12" l="1"/>
  <c r="H53" i="11"/>
  <c r="H32" i="11"/>
  <c r="H28" i="11"/>
  <c r="H27" i="11"/>
  <c r="H20" i="11"/>
  <c r="G8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F41" i="5"/>
  <c r="H41" i="5"/>
  <c r="C41" i="5"/>
  <c r="B41" i="5"/>
  <c r="D41" i="5" s="1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B12" i="5"/>
  <c r="C7" i="5"/>
  <c r="B7" i="5"/>
  <c r="D72" i="2"/>
  <c r="H67" i="2"/>
  <c r="C12" i="2"/>
  <c r="D72" i="1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G7" i="1"/>
  <c r="B7" i="1"/>
  <c r="E7" i="1"/>
  <c r="C7" i="1"/>
  <c r="D12" i="5" l="1"/>
  <c r="C41" i="2"/>
  <c r="I45" i="2"/>
  <c r="J45" i="2" s="1"/>
  <c r="D7" i="5"/>
  <c r="D7" i="1"/>
  <c r="F7" i="1"/>
  <c r="I7" i="1"/>
  <c r="F41" i="10"/>
  <c r="G41" i="10" s="1"/>
  <c r="C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F59" i="1"/>
  <c r="H59" i="1"/>
  <c r="F60" i="1"/>
  <c r="F24" i="5"/>
  <c r="F31" i="5"/>
  <c r="F35" i="5"/>
  <c r="F43" i="5"/>
  <c r="F45" i="5"/>
  <c r="F62" i="5"/>
  <c r="F64" i="5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F28" i="5"/>
  <c r="E7" i="10"/>
  <c r="G7" i="5"/>
  <c r="H7" i="5" s="1"/>
  <c r="B13" i="11"/>
  <c r="H43" i="11"/>
  <c r="E41" i="1"/>
  <c r="B12" i="9"/>
  <c r="G12" i="9"/>
  <c r="H12" i="9" s="1"/>
  <c r="C7" i="2"/>
  <c r="H72" i="2"/>
  <c r="E7" i="5"/>
  <c r="F44" i="5"/>
  <c r="F38" i="5"/>
  <c r="F37" i="5"/>
  <c r="F39" i="5"/>
  <c r="G12" i="1"/>
  <c r="H12" i="1" s="1"/>
  <c r="B12" i="1"/>
  <c r="C41" i="1"/>
  <c r="D41" i="1" s="1"/>
  <c r="F58" i="1"/>
  <c r="G72" i="2"/>
  <c r="F8" i="5"/>
  <c r="F18" i="5"/>
  <c r="F27" i="5"/>
  <c r="F30" i="5"/>
  <c r="F34" i="5"/>
  <c r="F42" i="5"/>
  <c r="F50" i="5"/>
  <c r="F53" i="5"/>
  <c r="F61" i="5"/>
  <c r="F66" i="5"/>
  <c r="I71" i="5"/>
  <c r="E12" i="9"/>
  <c r="H18" i="11"/>
  <c r="E8" i="11"/>
  <c r="C42" i="11"/>
  <c r="I72" i="2"/>
  <c r="F15" i="5"/>
  <c r="F26" i="5"/>
  <c r="F29" i="5"/>
  <c r="F33" i="5"/>
  <c r="F58" i="5"/>
  <c r="F63" i="5"/>
  <c r="B41" i="2"/>
  <c r="H15" i="5"/>
  <c r="F21" i="5"/>
  <c r="F25" i="5"/>
  <c r="F32" i="5"/>
  <c r="F36" i="5"/>
  <c r="F49" i="5"/>
  <c r="F54" i="5"/>
  <c r="F57" i="5"/>
  <c r="H44" i="11"/>
  <c r="H64" i="11"/>
  <c r="F14" i="5"/>
  <c r="F52" i="5"/>
  <c r="F56" i="5"/>
  <c r="F60" i="5"/>
  <c r="H19" i="11"/>
  <c r="E13" i="11"/>
  <c r="B42" i="11"/>
  <c r="H42" i="11"/>
  <c r="H50" i="11"/>
  <c r="H56" i="11"/>
  <c r="F10" i="5"/>
  <c r="E12" i="5"/>
  <c r="F17" i="5"/>
  <c r="F51" i="5"/>
  <c r="F55" i="5"/>
  <c r="F59" i="5"/>
  <c r="C7" i="9"/>
  <c r="C12" i="9"/>
  <c r="B7" i="10"/>
  <c r="C12" i="10"/>
  <c r="C8" i="11"/>
  <c r="D8" i="11" s="1"/>
  <c r="H25" i="11"/>
  <c r="H26" i="11"/>
  <c r="H48" i="11"/>
  <c r="C7" i="10"/>
  <c r="B12" i="10"/>
  <c r="C13" i="11"/>
  <c r="H54" i="11"/>
  <c r="C8" i="12"/>
  <c r="H55" i="11"/>
  <c r="C13" i="12"/>
  <c r="E8" i="12"/>
  <c r="E13" i="12"/>
  <c r="E42" i="12"/>
  <c r="B8" i="12"/>
  <c r="F8" i="12"/>
  <c r="B13" i="12"/>
  <c r="F13" i="12"/>
  <c r="B42" i="12"/>
  <c r="D42" i="12" s="1"/>
  <c r="F42" i="12"/>
  <c r="G13" i="11"/>
  <c r="H29" i="11"/>
  <c r="E42" i="11"/>
  <c r="H52" i="11"/>
  <c r="H8" i="11"/>
  <c r="H15" i="11"/>
  <c r="H16" i="11"/>
  <c r="H17" i="11"/>
  <c r="F7" i="10"/>
  <c r="E12" i="10"/>
  <c r="F12" i="10"/>
  <c r="H7" i="9"/>
  <c r="F47" i="9"/>
  <c r="E7" i="9"/>
  <c r="F9" i="5"/>
  <c r="G12" i="5"/>
  <c r="F16" i="5"/>
  <c r="H17" i="5"/>
  <c r="F19" i="5"/>
  <c r="H24" i="5"/>
  <c r="F47" i="5"/>
  <c r="H62" i="5"/>
  <c r="B12" i="2"/>
  <c r="D12" i="2" s="1"/>
  <c r="F7" i="2"/>
  <c r="E7" i="2"/>
  <c r="B7" i="2"/>
  <c r="I67" i="2"/>
  <c r="J67" i="2" s="1"/>
  <c r="E12" i="2"/>
  <c r="E41" i="2"/>
  <c r="F12" i="2"/>
  <c r="F41" i="2"/>
  <c r="H7" i="1"/>
  <c r="H49" i="1"/>
  <c r="H50" i="1"/>
  <c r="H51" i="1"/>
  <c r="H52" i="1"/>
  <c r="H53" i="1"/>
  <c r="H54" i="1"/>
  <c r="H55" i="1"/>
  <c r="H56" i="1"/>
  <c r="H57" i="1"/>
  <c r="H58" i="1"/>
  <c r="C12" i="1"/>
  <c r="I67" i="1"/>
  <c r="E12" i="1"/>
  <c r="G41" i="1"/>
  <c r="F67" i="1"/>
  <c r="G8" i="12" l="1"/>
  <c r="D7" i="9"/>
  <c r="D12" i="10"/>
  <c r="C67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C66" i="2"/>
  <c r="D7" i="2"/>
  <c r="I7" i="2"/>
  <c r="I42" i="12"/>
  <c r="F7" i="9"/>
  <c r="I7" i="9"/>
  <c r="H12" i="10"/>
  <c r="F13" i="11"/>
  <c r="I13" i="11"/>
  <c r="H41" i="2"/>
  <c r="F7" i="5"/>
  <c r="I7" i="5"/>
  <c r="D13" i="11"/>
  <c r="D8" i="12"/>
  <c r="I8" i="12"/>
  <c r="I7" i="10"/>
  <c r="D7" i="10"/>
  <c r="F8" i="11"/>
  <c r="I8" i="11"/>
  <c r="F41" i="9"/>
  <c r="I41" i="9"/>
  <c r="I41" i="2"/>
  <c r="B66" i="1"/>
  <c r="D12" i="1"/>
  <c r="F12" i="1"/>
  <c r="I12" i="1"/>
  <c r="F41" i="1"/>
  <c r="I41" i="1"/>
  <c r="H47" i="1"/>
  <c r="H47" i="5"/>
  <c r="F12" i="5"/>
  <c r="J72" i="2"/>
  <c r="E63" i="12"/>
  <c r="G66" i="1"/>
  <c r="H66" i="1" s="1"/>
  <c r="C63" i="12"/>
  <c r="C67" i="9"/>
  <c r="B67" i="9"/>
  <c r="C66" i="1"/>
  <c r="B63" i="11"/>
  <c r="G63" i="11"/>
  <c r="C63" i="11"/>
  <c r="E67" i="9"/>
  <c r="E65" i="5"/>
  <c r="B66" i="2"/>
  <c r="F63" i="12"/>
  <c r="B63" i="12"/>
  <c r="H13" i="11"/>
  <c r="E63" i="11"/>
  <c r="F48" i="11"/>
  <c r="F67" i="10"/>
  <c r="H12" i="5"/>
  <c r="G65" i="5"/>
  <c r="F66" i="2"/>
  <c r="E66" i="2"/>
  <c r="F47" i="1"/>
  <c r="E66" i="1"/>
  <c r="H41" i="1"/>
  <c r="J7" i="10" l="1"/>
  <c r="D63" i="12"/>
  <c r="G63" i="12"/>
  <c r="J41" i="2"/>
  <c r="J42" i="12"/>
  <c r="D66" i="2"/>
  <c r="G66" i="2"/>
  <c r="J12" i="10"/>
  <c r="D67" i="10"/>
  <c r="J12" i="2"/>
  <c r="J13" i="12"/>
  <c r="H63" i="12"/>
  <c r="J8" i="12"/>
  <c r="J7" i="2"/>
  <c r="D63" i="11"/>
  <c r="I67" i="10"/>
  <c r="F65" i="5"/>
  <c r="I65" i="5"/>
  <c r="I63" i="12"/>
  <c r="I66" i="2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<sst xmlns="http://schemas.openxmlformats.org/spreadsheetml/2006/main" count="1821" uniqueCount="520">
  <si>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</si>
  <si>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</si>
  <si>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</si>
  <si>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</si>
  <si>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</si>
  <si>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</si>
  <si>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</si>
  <si>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</si>
  <si>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</si>
  <si>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</si>
  <si>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</si>
  <si>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</si>
  <si>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</si>
  <si>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</si>
  <si>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</si>
  <si>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</si>
  <si>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</si>
  <si>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</si>
  <si>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</si>
  <si>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</si>
  <si>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</si>
  <si>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</si>
  <si>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</si>
  <si>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</si>
  <si>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</si>
  <si>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</si>
  <si>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</si>
  <si>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</si>
  <si>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</si>
  <si>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</si>
  <si>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</si>
  <si>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</si>
  <si>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</si>
  <si>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</si>
  <si>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</si>
  <si>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</si>
  <si>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</si>
  <si>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</si>
  <si>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</si>
  <si>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</si>
  <si>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</si>
  <si>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</si>
  <si>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</si>
  <si>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</si>
  <si>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</si>
  <si>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</si>
  <si>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</si>
  <si>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</si>
  <si>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</si>
  <si>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</si>
  <si>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</si>
  <si>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</si>
  <si>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</si>
  <si>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</si>
  <si>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</si>
  <si>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</si>
  <si>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</si>
  <si>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</si>
  <si>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</si>
  <si>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</si>
  <si>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</si>
  <si>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</si>
  <si>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</si>
  <si>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</si>
  <si>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</si>
  <si>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</si>
  <si>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</si>
  <si>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</si>
  <si>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</si>
  <si>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</si>
  <si>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</si>
  <si>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</si>
  <si>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</si>
  <si>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</si>
  <si>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</si>
  <si>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</si>
  <si>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</si>
  <si>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</si>
  <si>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</si>
  <si>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</si>
  <si>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</si>
  <si>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</si>
  <si>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</si>
  <si>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</si>
  <si>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</si>
  <si>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</si>
  <si>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</si>
  <si>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</si>
  <si>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</si>
  <si>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</si>
  <si>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</si>
  <si>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</si>
  <si>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</si>
  <si>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</si>
  <si>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</si>
  <si>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</si>
  <si>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</si>
  <si>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</si>
  <si>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</si>
  <si>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</si>
  <si>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金額(US$)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</si>
  <si>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</si>
  <si>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</si>
  <si>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</si>
  <si>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</si>
  <si>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</si>
  <si>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</si>
  <si>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</si>
  <si>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</si>
  <si>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</si>
  <si>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</si>
  <si>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</si>
  <si>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</si>
  <si>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</si>
  <si>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</si>
  <si>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</si>
  <si>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</si>
  <si>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</si>
  <si>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</si>
  <si>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</si>
  <si>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資料來源: 經濟部國貿局,臺灣自行車輸出業同業公會整理</t>
    <phoneticPr fontId="10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</si>
  <si>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</si>
  <si>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</si>
  <si>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</si>
  <si>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</si>
  <si>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</si>
  <si>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</si>
  <si>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</si>
  <si>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</si>
  <si>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</si>
  <si>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</si>
  <si>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</si>
  <si>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</si>
  <si>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</si>
  <si>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</si>
  <si>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</si>
  <si>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</si>
  <si>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</si>
  <si>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</si>
  <si>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</si>
  <si>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</si>
  <si>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</si>
  <si>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</si>
  <si>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</si>
  <si>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</si>
  <si>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</si>
  <si>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</si>
  <si>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</si>
  <si>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</si>
  <si>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</si>
  <si>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</si>
  <si>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</si>
  <si>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</si>
  <si>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</si>
  <si>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</si>
  <si>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</si>
  <si>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</si>
  <si>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</si>
  <si>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</si>
  <si>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</si>
  <si>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</si>
  <si>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</si>
  <si>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</si>
  <si>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</si>
  <si>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</si>
  <si>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</si>
  <si>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</si>
  <si>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</si>
  <si>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</si>
  <si>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</si>
  <si>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</si>
  <si>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</si>
  <si>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</si>
  <si>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</si>
  <si>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</si>
  <si>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</si>
  <si>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</si>
  <si>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</si>
  <si>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</si>
  <si>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</si>
  <si>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</si>
  <si>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</si>
  <si>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</si>
  <si>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</si>
  <si>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</si>
  <si>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</si>
  <si>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</si>
  <si>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</si>
  <si>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</si>
  <si>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</si>
  <si>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</si>
  <si>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</si>
  <si>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</si>
  <si>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</si>
  <si>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</si>
  <si>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</si>
  <si>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</si>
  <si>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</si>
  <si>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</si>
  <si>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</si>
  <si>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</si>
  <si>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</si>
  <si>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</si>
  <si>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</si>
  <si>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</si>
  <si>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</si>
  <si>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</si>
  <si>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</si>
  <si>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</si>
  <si>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</si>
  <si>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</si>
  <si>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</si>
  <si>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</si>
  <si>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</si>
  <si>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</si>
  <si>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</si>
  <si>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</si>
  <si>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</si>
  <si>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</si>
  <si>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</si>
  <si>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</si>
  <si>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</si>
  <si>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</si>
  <si>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</si>
  <si>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</si>
  <si>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</si>
  <si>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</si>
  <si>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</si>
  <si>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</si>
  <si>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</si>
  <si>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</si>
  <si>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</si>
  <si>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</si>
  <si>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</si>
  <si>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</si>
  <si>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</si>
  <si>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</si>
  <si>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</si>
  <si>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</si>
  <si>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</si>
  <si>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</si>
  <si>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</si>
  <si>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</si>
  <si>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</si>
  <si>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</si>
  <si>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</si>
  <si>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</si>
  <si>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</si>
  <si>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</si>
  <si>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</si>
  <si>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</si>
  <si>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</si>
  <si>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</si>
  <si>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</si>
  <si>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</si>
  <si>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</si>
  <si>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</si>
  <si>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</si>
  <si>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</si>
  <si>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</si>
  <si>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</si>
  <si>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</si>
  <si>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</si>
  <si>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</si>
  <si>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</si>
  <si>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</si>
  <si>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</si>
  <si>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</si>
  <si>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</si>
  <si>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</si>
  <si>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</si>
  <si>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</si>
  <si>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</si>
  <si>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</si>
  <si>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</si>
  <si>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</si>
  <si>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</si>
  <si>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</si>
  <si>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</si>
  <si>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</si>
  <si>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</si>
  <si>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</si>
  <si>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</si>
  <si>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</si>
  <si>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</si>
  <si>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</si>
  <si>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</si>
  <si>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</si>
  <si>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</si>
  <si>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</si>
  <si>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</si>
  <si>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</si>
  <si>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</si>
  <si>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</si>
  <si>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</si>
  <si>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</si>
  <si>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</si>
  <si>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</si>
  <si>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</si>
  <si>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</si>
  <si>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</si>
  <si>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</si>
  <si>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</si>
  <si>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</si>
  <si>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</si>
  <si>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</si>
  <si>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</si>
  <si>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</si>
  <si>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</si>
  <si>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</si>
  <si>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</si>
  <si>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</si>
  <si>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</si>
  <si>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</si>
  <si>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</si>
  <si>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</si>
  <si>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</si>
  <si>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</si>
  <si>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</si>
  <si>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</si>
  <si>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</si>
  <si>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</si>
  <si>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</si>
  <si>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</si>
  <si>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</si>
  <si>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</si>
  <si>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</si>
  <si>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</si>
  <si>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</si>
  <si>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</si>
  <si>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</si>
  <si>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</si>
  <si>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</si>
  <si>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</si>
  <si>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</si>
  <si>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</si>
  <si>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</si>
  <si>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</si>
  <si>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</si>
  <si>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</si>
  <si>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</si>
  <si>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</si>
  <si>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</si>
  <si>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</si>
  <si>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</si>
  <si>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</si>
  <si>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</si>
  <si>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</si>
  <si>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</si>
  <si>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</si>
  <si>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</si>
  <si>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</si>
  <si>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</si>
  <si>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</si>
  <si>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</si>
  <si>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</si>
  <si>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</si>
  <si>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</si>
  <si>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</si>
  <si>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</si>
  <si>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</si>
  <si>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</si>
  <si>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</si>
  <si>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</si>
  <si>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</si>
  <si>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</si>
  <si>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</si>
  <si>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</si>
  <si>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</si>
  <si>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</si>
  <si>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</si>
  <si>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</si>
  <si>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</si>
  <si>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</si>
  <si>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</si>
  <si>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</si>
  <si>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</si>
  <si>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</si>
  <si>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</si>
  <si>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</si>
  <si>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</si>
  <si>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</si>
  <si>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</si>
  <si>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</si>
  <si>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</si>
  <si>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</si>
  <si>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</si>
  <si>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</si>
  <si>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</si>
  <si>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</si>
  <si>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</si>
  <si>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</si>
  <si>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</si>
  <si>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</si>
  <si>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</si>
  <si>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</si>
  <si>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</si>
  <si>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</si>
  <si>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</si>
  <si>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</si>
  <si>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</si>
  <si>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</si>
  <si>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</si>
  <si>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</si>
  <si>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</si>
  <si>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</si>
  <si>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</si>
  <si>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</si>
  <si>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</si>
  <si>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</si>
  <si>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</si>
  <si>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</si>
  <si>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</si>
  <si>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</si>
  <si>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</si>
  <si>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</si>
  <si>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</si>
  <si>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87120090004 (Other Cycles)</t>
    <phoneticPr fontId="3" type="noConversion"/>
  </si>
  <si>
    <t>資料來源: 經濟部國貿局,臺灣自行車輸出業同業公會整理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</si>
  <si>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</si>
  <si>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</si>
  <si>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</si>
  <si>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</si>
  <si>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</si>
  <si>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t>2023年</t>
    <phoneticPr fontId="4" type="noConversion"/>
  </si>
  <si>
    <t>2022年</t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</si>
  <si>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</si>
  <si>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</si>
  <si>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</si>
  <si>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</si>
  <si>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</si>
  <si>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</si>
  <si>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</si>
  <si>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</si>
  <si>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</si>
  <si>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</si>
  <si>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2023年</t>
    <phoneticPr fontId="3" type="noConversion"/>
  </si>
  <si>
    <t>2022年</t>
    <phoneticPr fontId="3" type="noConversion"/>
  </si>
  <si>
    <t>CCC CODE: 87120090004 (Other Cycles)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</si>
  <si>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</si>
  <si>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</si>
  <si>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</si>
  <si>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</si>
  <si>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3" type="noConversion"/>
  </si>
  <si>
    <t>其他國家</t>
    <phoneticPr fontId="4" type="noConversion"/>
  </si>
  <si>
    <t>裝有棘輪機構之單一鏈輪(87149320103)</t>
    <phoneticPr fontId="4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</si>
  <si>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</si>
  <si>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</si>
  <si>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</si>
  <si>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</si>
  <si>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</si>
  <si>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</si>
  <si>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</si>
  <si>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</si>
  <si>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</si>
  <si>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</si>
  <si>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</si>
  <si>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</si>
  <si>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t>其他國家</t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</si>
  <si>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</si>
  <si>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</si>
  <si>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4" type="noConversion"/>
  </si>
  <si>
    <t>日    期: 2023-2022年同期比較</t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</si>
  <si>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</si>
  <si>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2023</t>
    </r>
    <r>
      <rPr>
        <sz val="12"/>
        <rFont val="新細明體"/>
        <family val="1"/>
        <charset val="136"/>
      </rPr>
      <t>年</t>
    </r>
    <r>
      <rPr>
        <sz val="12"/>
        <rFont val="細明體-ExtB"/>
        <family val="1"/>
        <charset val="136"/>
      </rPr>
      <t>11</t>
    </r>
    <r>
      <rPr>
        <sz val="12"/>
        <rFont val="新細明體"/>
        <family val="1"/>
        <charset val="136"/>
      </rPr>
      <t>月</t>
    </r>
    <phoneticPr fontId="3" type="noConversion"/>
  </si>
  <si>
    <r>
      <t>11</t>
    </r>
    <r>
      <rPr>
        <sz val="12"/>
        <rFont val="新細明體"/>
        <family val="1"/>
        <charset val="136"/>
      </rPr>
      <t>月數量</t>
    </r>
    <phoneticPr fontId="3" type="noConversion"/>
  </si>
  <si>
    <r>
      <t>11</t>
    </r>
    <r>
      <rPr>
        <sz val="12"/>
        <rFont val="新細明體"/>
        <family val="1"/>
        <charset val="136"/>
      </rPr>
      <t>月金額</t>
    </r>
    <phoneticPr fontId="3" type="noConversion"/>
  </si>
  <si>
    <t>1-11月數量</t>
    <phoneticPr fontId="3" type="noConversion"/>
  </si>
  <si>
    <r>
      <t>1-11</t>
    </r>
    <r>
      <rPr>
        <sz val="12"/>
        <rFont val="新細明體"/>
        <family val="1"/>
        <charset val="136"/>
      </rPr>
      <t>月金額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</si>
  <si>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</si>
  <si>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</si>
  <si>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2023/2022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1-11</t>
    </r>
    <r>
      <rPr>
        <sz val="10"/>
        <rFont val="新細明體"/>
        <family val="1"/>
        <charset val="136"/>
      </rPr>
      <t>月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</si>
  <si>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11</t>
    </r>
    <r>
      <rPr>
        <b/>
        <sz val="14"/>
        <rFont val="新細明體"/>
        <family val="1"/>
        <charset val="136"/>
      </rPr>
      <t>月台灣自行車出口地區別統計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</si>
  <si>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</si>
  <si>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</si>
  <si>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t>2023年1-11月台灣折疊式自行車主要出口國家統計</t>
    <phoneticPr fontId="4" type="noConversion"/>
  </si>
  <si>
    <r>
      <t xml:space="preserve">     '2023/2022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</si>
  <si>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台灣電動自行車主要出口國家統計</t>
    </r>
    <phoneticPr fontId="10" type="noConversion"/>
  </si>
  <si>
    <t xml:space="preserve">                                                '2023/2022年1-11月台灣電動自行車主要出口國家比較        </t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</si>
  <si>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</si>
  <si>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</si>
  <si>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</si>
  <si>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11月出口量</t>
    <phoneticPr fontId="4" type="noConversion"/>
  </si>
  <si>
    <t>11月出口金額</t>
    <phoneticPr fontId="4" type="noConversion"/>
  </si>
  <si>
    <r>
      <t>1-11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</si>
  <si>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1-11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</si>
  <si>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11月進口量</t>
    <phoneticPr fontId="4" type="noConversion"/>
  </si>
  <si>
    <t>11月進口金額</t>
    <phoneticPr fontId="4" type="noConversion"/>
  </si>
  <si>
    <r>
      <t>1-11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</si>
  <si>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1-11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</si>
  <si>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2023/2022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1-11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</si>
  <si>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2023/2022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1-11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</si>
  <si>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2023</t>
    </r>
    <r>
      <rPr>
        <sz val="16"/>
        <rFont val="新細明體"/>
        <family val="1"/>
        <charset val="136"/>
      </rPr>
      <t>年</t>
    </r>
    <r>
      <rPr>
        <sz val="16"/>
        <rFont val="細明體-ExtB"/>
        <family val="1"/>
        <charset val="136"/>
      </rPr>
      <t>11</t>
    </r>
    <r>
      <rPr>
        <sz val="16"/>
        <rFont val="新細明體"/>
        <family val="1"/>
        <charset val="136"/>
      </rPr>
      <t>月台灣自行車主要零件進出口統計</t>
    </r>
    <phoneticPr fontId="4" type="noConversion"/>
  </si>
  <si>
    <r>
      <t>1</t>
    </r>
    <r>
      <rPr>
        <sz val="12"/>
        <rFont val="細明體"/>
        <family val="3"/>
        <charset val="136"/>
      </rPr>
      <t>1</t>
    </r>
    <r>
      <rPr>
        <sz val="12"/>
        <rFont val="新細明體"/>
        <family val="1"/>
        <charset val="136"/>
      </rPr>
      <t>月數量</t>
    </r>
    <phoneticPr fontId="3" type="noConversion"/>
  </si>
  <si>
    <r>
      <t>2023</t>
    </r>
    <r>
      <rPr>
        <sz val="12"/>
        <rFont val="新細明體"/>
        <family val="1"/>
        <charset val="136"/>
      </rPr>
      <t>年</t>
    </r>
    <r>
      <rPr>
        <sz val="12"/>
        <rFont val="細明體-ExtB"/>
        <family val="1"/>
        <charset val="136"/>
      </rPr>
      <t>11</t>
    </r>
    <r>
      <rPr>
        <sz val="12"/>
        <rFont val="新細明體"/>
        <family val="1"/>
        <charset val="136"/>
      </rPr>
      <t>月</t>
    </r>
    <phoneticPr fontId="3" type="noConversion"/>
  </si>
  <si>
    <t>1-11月數量</t>
    <phoneticPr fontId="3" type="noConversion"/>
  </si>
  <si>
    <r>
      <t>1</t>
    </r>
    <r>
      <rPr>
        <sz val="12"/>
        <rFont val="細明體"/>
        <family val="3"/>
        <charset val="136"/>
      </rPr>
      <t>1</t>
    </r>
    <r>
      <rPr>
        <sz val="12"/>
        <rFont val="新細明體"/>
        <family val="1"/>
        <charset val="136"/>
      </rPr>
      <t>月金額</t>
    </r>
    <phoneticPr fontId="3" type="noConversion"/>
  </si>
  <si>
    <r>
      <t>1-1</t>
    </r>
    <r>
      <rPr>
        <sz val="12"/>
        <rFont val="細明體"/>
        <family val="3"/>
        <charset val="136"/>
      </rPr>
      <t>1</t>
    </r>
    <r>
      <rPr>
        <sz val="12"/>
        <rFont val="新細明體"/>
        <family val="1"/>
        <charset val="136"/>
      </rPr>
      <t>月金額</t>
    </r>
    <phoneticPr fontId="3" type="noConversion"/>
  </si>
  <si>
    <t>美國</t>
  </si>
  <si>
    <t>英國</t>
  </si>
  <si>
    <t>柬埔寨</t>
  </si>
  <si>
    <t>瑞士</t>
  </si>
  <si>
    <t>哥斯大黎加</t>
  </si>
  <si>
    <t>中華民國</t>
  </si>
  <si>
    <t>越南</t>
  </si>
  <si>
    <t>緬甸</t>
  </si>
  <si>
    <t>馬來西亞</t>
  </si>
  <si>
    <t>多明尼加</t>
  </si>
  <si>
    <t>烏拉圭</t>
  </si>
  <si>
    <t>孟加拉</t>
  </si>
  <si>
    <t>泰國</t>
  </si>
  <si>
    <t>印尼</t>
  </si>
  <si>
    <t>阿拉伯聯合大公國</t>
  </si>
  <si>
    <t>宏都拉斯</t>
  </si>
  <si>
    <t>幾內亞</t>
  </si>
  <si>
    <t>印度</t>
  </si>
  <si>
    <t>哥倫比亞</t>
  </si>
  <si>
    <t>菲律賓</t>
  </si>
  <si>
    <t>土耳其</t>
  </si>
  <si>
    <t>香港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</si>
</sst>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33CC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ajor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rgb="FFCCCCFF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6"/>
      <name val="細明體-ExtB"/>
      <family val="1"/>
      <charset val="136"/>
    </font>
    <font>
      <sz val="14"/>
      <name val="細明體"/>
      <family val="3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gray125">
        <fgColor indexed="31"/>
        <bgColor rgb="FFCCCC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64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0" fontId="34" fillId="0" borderId="0" xfId="0" applyFont="1" applyAlignment="1"/>
    <xf numFmtId="10" fontId="35" fillId="0" borderId="0" xfId="0" applyNumberFormat="1" applyFont="1" applyAlignment="1"/>
    <xf numFmtId="10" fontId="35" fillId="0" borderId="12" xfId="0" applyNumberFormat="1" applyFont="1" applyBorder="1" applyAlignment="1">
      <alignment horizontal="center"/>
    </xf>
    <xf numFmtId="0" fontId="36" fillId="0" borderId="7" xfId="0" applyFont="1" applyBorder="1" applyAlignment="1">
      <alignment horizontal="left"/>
    </xf>
    <xf numFmtId="0" fontId="36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6" fillId="0" borderId="6" xfId="0" applyFont="1" applyBorder="1" applyAlignment="1">
      <alignment horizontal="left"/>
    </xf>
    <xf numFmtId="0" fontId="36" fillId="0" borderId="12" xfId="0" applyFont="1" applyBorder="1" applyAlignment="1">
      <alignment horizontal="centerContinuous"/>
    </xf>
    <xf numFmtId="0" fontId="37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9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8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76" fontId="34" fillId="0" borderId="0" xfId="0" applyNumberFormat="1" applyFont="1" applyAlignment="1"/>
    <xf numFmtId="10" fontId="35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5" fillId="0" borderId="0" xfId="0" applyNumberFormat="1" applyFont="1" applyAlignment="1">
      <alignment horizontal="center"/>
    </xf>
    <xf numFmtId="0" fontId="42" fillId="0" borderId="0" xfId="0" applyFont="1" applyAlignment="1">
      <alignment horizontal="centerContinuous"/>
    </xf>
    <xf numFmtId="0" fontId="43" fillId="0" borderId="0" xfId="0" applyFont="1" applyAlignment="1">
      <alignment horizontal="centerContinuous"/>
    </xf>
    <xf numFmtId="0" fontId="42" fillId="0" borderId="0" xfId="0" applyFont="1" applyAlignment="1"/>
    <xf numFmtId="0" fontId="43" fillId="0" borderId="0" xfId="0" applyFont="1" applyAlignment="1"/>
    <xf numFmtId="0" fontId="42" fillId="0" borderId="2" xfId="0" applyFont="1" applyBorder="1" applyAlignment="1"/>
    <xf numFmtId="0" fontId="43" fillId="0" borderId="2" xfId="0" applyFont="1" applyBorder="1" applyAlignment="1"/>
    <xf numFmtId="0" fontId="44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76" fontId="42" fillId="2" borderId="10" xfId="0" applyNumberFormat="1" applyFont="1" applyFill="1" applyBorder="1" applyAlignment="1"/>
    <xf numFmtId="10" fontId="43" fillId="2" borderId="0" xfId="3" applyNumberFormat="1" applyFont="1" applyFill="1" applyBorder="1" applyAlignment="1"/>
    <xf numFmtId="176" fontId="42" fillId="0" borderId="2" xfId="0" applyNumberFormat="1" applyFont="1" applyBorder="1" applyAlignment="1"/>
    <xf numFmtId="10" fontId="43" fillId="0" borderId="2" xfId="3" applyNumberFormat="1" applyFont="1" applyBorder="1" applyAlignment="1"/>
    <xf numFmtId="176" fontId="44" fillId="0" borderId="2" xfId="0" applyNumberFormat="1" applyFont="1" applyBorder="1" applyAlignment="1"/>
    <xf numFmtId="176" fontId="45" fillId="0" borderId="0" xfId="0" applyNumberFormat="1" applyFont="1" applyAlignment="1">
      <alignment horizontal="centerContinuous"/>
    </xf>
    <xf numFmtId="0" fontId="45" fillId="0" borderId="0" xfId="0" applyFont="1" applyAlignment="1"/>
    <xf numFmtId="176" fontId="45" fillId="0" borderId="0" xfId="0" applyNumberFormat="1" applyFont="1" applyAlignment="1"/>
    <xf numFmtId="0" fontId="45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5" fillId="0" borderId="10" xfId="0" quotePrefix="1" applyFont="1" applyBorder="1" applyAlignment="1">
      <alignment horizontal="center"/>
    </xf>
    <xf numFmtId="0" fontId="45" fillId="0" borderId="1" xfId="0" quotePrefix="1" applyFont="1" applyBorder="1" applyAlignment="1">
      <alignment horizontal="center"/>
    </xf>
    <xf numFmtId="176" fontId="45" fillId="0" borderId="3" xfId="0" applyNumberFormat="1" applyFont="1" applyBorder="1" applyAlignment="1">
      <alignment horizontal="center"/>
    </xf>
    <xf numFmtId="176" fontId="45" fillId="0" borderId="10" xfId="0" quotePrefix="1" applyNumberFormat="1" applyFont="1" applyBorder="1" applyAlignment="1">
      <alignment horizontal="center"/>
    </xf>
    <xf numFmtId="0" fontId="45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5" fillId="0" borderId="5" xfId="0" applyFont="1" applyBorder="1" applyAlignment="1"/>
    <xf numFmtId="178" fontId="8" fillId="0" borderId="11" xfId="2" applyNumberFormat="1" applyFont="1" applyBorder="1" applyAlignment="1"/>
    <xf numFmtId="0" fontId="45" fillId="3" borderId="5" xfId="0" applyFont="1" applyFill="1" applyBorder="1" applyAlignment="1">
      <alignment horizontal="left"/>
    </xf>
    <xf numFmtId="0" fontId="45" fillId="4" borderId="5" xfId="0" applyFont="1" applyFill="1" applyBorder="1" applyAlignment="1">
      <alignment horizontal="left"/>
    </xf>
    <xf numFmtId="0" fontId="45" fillId="0" borderId="5" xfId="0" quotePrefix="1" applyFont="1" applyBorder="1" applyAlignment="1">
      <alignment horizontal="left"/>
    </xf>
    <xf numFmtId="0" fontId="45" fillId="0" borderId="5" xfId="0" applyFont="1" applyBorder="1" applyAlignment="1">
      <alignment horizontal="left"/>
    </xf>
    <xf numFmtId="0" fontId="45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6" fillId="0" borderId="0" xfId="0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/>
    <xf numFmtId="176" fontId="50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5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5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1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3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2" fillId="0" borderId="10" xfId="4" applyNumberFormat="1" applyFont="1" applyBorder="1"/>
    <xf numFmtId="176" fontId="52" fillId="0" borderId="8" xfId="4" applyNumberFormat="1" applyFont="1" applyBorder="1"/>
    <xf numFmtId="176" fontId="52" fillId="0" borderId="9" xfId="4" applyNumberFormat="1" applyFont="1" applyBorder="1"/>
    <xf numFmtId="180" fontId="13" fillId="0" borderId="10" xfId="1" applyNumberFormat="1" applyFont="1" applyFill="1" applyBorder="1" applyAlignment="1"/>
    <xf numFmtId="180" fontId="52" fillId="0" borderId="10" xfId="1" applyNumberFormat="1" applyFont="1" applyFill="1" applyBorder="1" applyAlignment="1"/>
    <xf numFmtId="180" fontId="52" fillId="0" borderId="3" xfId="1" applyNumberFormat="1" applyFont="1" applyFill="1" applyBorder="1" applyAlignment="1"/>
    <xf numFmtId="176" fontId="13" fillId="0" borderId="10" xfId="4" applyNumberFormat="1" applyFont="1" applyBorder="1"/>
    <xf numFmtId="176" fontId="53" fillId="0" borderId="10" xfId="4" applyNumberFormat="1" applyFont="1" applyBorder="1"/>
    <xf numFmtId="176" fontId="54" fillId="0" borderId="10" xfId="4" applyNumberFormat="1" applyFont="1" applyBorder="1"/>
    <xf numFmtId="180" fontId="5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76" fontId="53" fillId="5" borderId="10" xfId="4" applyNumberFormat="1" applyFont="1" applyFill="1" applyBorder="1"/>
    <xf numFmtId="176" fontId="55" fillId="0" borderId="10" xfId="0" applyNumberFormat="1" applyFont="1" applyBorder="1" applyAlignment="1"/>
    <xf numFmtId="176" fontId="56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0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1" fillId="7" borderId="9" xfId="4" applyNumberFormat="1" applyFont="1" applyFill="1" applyBorder="1" applyAlignment="1">
      <alignment horizontal="right"/>
    </xf>
    <xf numFmtId="176" fontId="62" fillId="7" borderId="9" xfId="4" applyNumberFormat="1" applyFont="1" applyFill="1" applyBorder="1"/>
    <xf numFmtId="176" fontId="62" fillId="7" borderId="9" xfId="4" applyNumberFormat="1" applyFont="1" applyFill="1" applyBorder="1" applyAlignment="1">
      <alignment horizontal="right"/>
    </xf>
    <xf numFmtId="179" fontId="62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3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9" fillId="0" borderId="10" xfId="4" applyNumberFormat="1" applyFont="1" applyBorder="1" applyAlignment="1">
      <alignment horizontal="right"/>
    </xf>
    <xf numFmtId="176" fontId="66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7" fillId="0" borderId="9" xfId="0" applyNumberFormat="1" applyFont="1" applyBorder="1" applyAlignment="1">
      <alignment horizontal="center"/>
    </xf>
    <xf numFmtId="10" fontId="67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3" fillId="0" borderId="10" xfId="0" quotePrefix="1" applyFont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0" fontId="68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8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41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8" fillId="0" borderId="10" xfId="4" applyNumberFormat="1" applyFont="1" applyBorder="1" applyAlignment="1">
      <alignment horizontal="right"/>
    </xf>
    <xf numFmtId="176" fontId="71" fillId="7" borderId="10" xfId="4" applyNumberFormat="1" applyFont="1" applyFill="1" applyBorder="1" applyAlignment="1">
      <alignment horizontal="right"/>
    </xf>
    <xf numFmtId="176" fontId="63" fillId="0" borderId="10" xfId="0" applyNumberFormat="1" applyFont="1" applyBorder="1" applyAlignment="1">
      <alignment horizontal="center" vertical="center"/>
    </xf>
    <xf numFmtId="176" fontId="63" fillId="0" borderId="10" xfId="0" quotePrefix="1" applyNumberFormat="1" applyFont="1" applyBorder="1" applyAlignment="1">
      <alignment horizontal="center" vertical="center"/>
    </xf>
    <xf numFmtId="0" fontId="68" fillId="0" borderId="10" xfId="0" quotePrefix="1" applyFont="1" applyBorder="1" applyAlignment="1">
      <alignment horizontal="center"/>
    </xf>
    <xf numFmtId="178" fontId="63" fillId="0" borderId="11" xfId="2" applyNumberFormat="1" applyFont="1" applyBorder="1" applyAlignment="1"/>
    <xf numFmtId="176" fontId="63" fillId="0" borderId="0" xfId="0" applyNumberFormat="1" applyFont="1" applyAlignment="1"/>
    <xf numFmtId="178" fontId="63" fillId="4" borderId="11" xfId="2" applyNumberFormat="1" applyFont="1" applyFill="1" applyBorder="1" applyAlignment="1"/>
    <xf numFmtId="176" fontId="63" fillId="4" borderId="0" xfId="0" applyNumberFormat="1" applyFont="1" applyFill="1" applyAlignment="1"/>
    <xf numFmtId="176" fontId="8" fillId="4" borderId="0" xfId="0" applyNumberFormat="1" applyFont="1" applyFill="1" applyAlignment="1"/>
    <xf numFmtId="0" fontId="45" fillId="4" borderId="0" xfId="0" applyFont="1" applyFill="1" applyAlignment="1">
      <alignment horizontal="left"/>
    </xf>
    <xf numFmtId="178" fontId="63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5" fillId="0" borderId="0" xfId="0" applyFont="1" applyAlignment="1">
      <alignment horizontal="left"/>
    </xf>
    <xf numFmtId="178" fontId="63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5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5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3" fillId="0" borderId="0" xfId="0" applyFont="1" applyAlignment="1"/>
    <xf numFmtId="0" fontId="68" fillId="0" borderId="10" xfId="0" applyFont="1" applyBorder="1" applyAlignment="1">
      <alignment horizontal="right"/>
    </xf>
    <xf numFmtId="0" fontId="75" fillId="0" borderId="10" xfId="0" applyFont="1" applyBorder="1" applyAlignment="1">
      <alignment horizontal="right"/>
    </xf>
    <xf numFmtId="0" fontId="68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42" fillId="0" borderId="0" xfId="0" applyNumberFormat="1" applyFont="1" applyAlignment="1"/>
    <xf numFmtId="3" fontId="0" fillId="0" borderId="0" xfId="0" applyNumberFormat="1">
      <alignment vertical="center"/>
    </xf>
    <xf numFmtId="176" fontId="42" fillId="2" borderId="0" xfId="0" applyNumberFormat="1" applyFont="1" applyFill="1" applyAlignment="1"/>
    <xf numFmtId="181" fontId="7" fillId="0" borderId="10" xfId="3" applyNumberFormat="1" applyFont="1" applyBorder="1" applyAlignment="1"/>
    <xf numFmtId="176" fontId="52" fillId="0" borderId="3" xfId="4" applyNumberFormat="1" applyFont="1" applyBorder="1"/>
    <xf numFmtId="176" fontId="13" fillId="2" borderId="0" xfId="0" applyNumberFormat="1" applyFont="1" applyFill="1" applyAlignment="1"/>
    <xf numFmtId="176" fontId="52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7" fillId="0" borderId="9" xfId="0" applyNumberFormat="1" applyFont="1" applyBorder="1" applyAlignment="1">
      <alignment horizontal="center"/>
    </xf>
    <xf numFmtId="176" fontId="78" fillId="0" borderId="10" xfId="4" applyNumberFormat="1" applyFont="1" applyBorder="1"/>
    <xf numFmtId="180" fontId="78" fillId="0" borderId="0" xfId="1" applyNumberFormat="1" applyFont="1" applyFill="1" applyAlignment="1"/>
    <xf numFmtId="176" fontId="79" fillId="0" borderId="10" xfId="0" applyNumberFormat="1" applyFont="1" applyBorder="1" applyAlignment="1"/>
    <xf numFmtId="176" fontId="80" fillId="0" borderId="10" xfId="0" applyNumberFormat="1" applyFont="1" applyBorder="1" applyAlignment="1"/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1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43" fontId="13" fillId="0" borderId="6" xfId="0" applyNumberFormat="1" applyFont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2" fillId="0" borderId="0" xfId="0" applyFont="1" applyAlignment="1"/>
    <xf numFmtId="0" fontId="83" fillId="2" borderId="2" xfId="0" applyFont="1" applyFill="1" applyBorder="1" applyAlignment="1"/>
    <xf numFmtId="0" fontId="83" fillId="0" borderId="4" xfId="0" quotePrefix="1" applyFont="1" applyBorder="1" applyAlignment="1">
      <alignment horizontal="center"/>
    </xf>
    <xf numFmtId="0" fontId="83" fillId="0" borderId="9" xfId="0" quotePrefix="1" applyFont="1" applyBorder="1" applyAlignment="1">
      <alignment horizontal="center"/>
    </xf>
    <xf numFmtId="0" fontId="82" fillId="2" borderId="11" xfId="0" applyFont="1" applyFill="1" applyBorder="1" applyAlignment="1"/>
    <xf numFmtId="176" fontId="82" fillId="2" borderId="9" xfId="0" applyNumberFormat="1" applyFont="1" applyFill="1" applyBorder="1" applyAlignment="1"/>
    <xf numFmtId="176" fontId="82" fillId="0" borderId="9" xfId="0" applyNumberFormat="1" applyFont="1" applyBorder="1" applyAlignment="1"/>
    <xf numFmtId="176" fontId="82" fillId="0" borderId="10" xfId="0" applyNumberFormat="1" applyFont="1" applyBorder="1" applyAlignment="1"/>
    <xf numFmtId="176" fontId="82" fillId="2" borderId="10" xfId="0" applyNumberFormat="1" applyFont="1" applyFill="1" applyBorder="1" applyAlignment="1"/>
    <xf numFmtId="176" fontId="82" fillId="2" borderId="0" xfId="0" applyNumberFormat="1" applyFont="1" applyFill="1" applyAlignment="1"/>
    <xf numFmtId="0" fontId="83" fillId="0" borderId="0" xfId="0" applyFont="1" applyAlignment="1"/>
    <xf numFmtId="0" fontId="84" fillId="0" borderId="0" xfId="0" applyFont="1" applyAlignment="1">
      <alignment horizontal="centerContinuous"/>
    </xf>
    <xf numFmtId="176" fontId="85" fillId="10" borderId="5" xfId="0" applyNumberFormat="1" applyFont="1" applyFill="1" applyBorder="1" applyAlignment="1"/>
    <xf numFmtId="176" fontId="72" fillId="0" borderId="3" xfId="0" applyNumberFormat="1" applyFont="1" applyBorder="1" applyAlignment="1">
      <alignment horizontal="center"/>
    </xf>
    <xf numFmtId="176" fontId="72" fillId="0" borderId="10" xfId="0" applyNumberFormat="1" applyFont="1" applyBorder="1" applyAlignment="1">
      <alignment horizontal="center"/>
    </xf>
    <xf numFmtId="178" fontId="13" fillId="10" borderId="5" xfId="2" applyNumberFormat="1" applyFont="1" applyFill="1" applyBorder="1" applyAlignment="1"/>
    <xf numFmtId="181" fontId="23" fillId="10" borderId="5" xfId="3" applyNumberFormat="1" applyFont="1" applyFill="1" applyBorder="1" applyAlignment="1"/>
    <xf numFmtId="178" fontId="7" fillId="10" borderId="5" xfId="2" applyNumberFormat="1" applyFont="1" applyFill="1" applyBorder="1" applyAlignment="1"/>
    <xf numFmtId="176" fontId="13" fillId="10" borderId="5" xfId="0" applyNumberFormat="1" applyFont="1" applyFill="1" applyBorder="1" applyAlignment="1"/>
    <xf numFmtId="181" fontId="7" fillId="10" borderId="5" xfId="3" applyNumberFormat="1" applyFont="1" applyFill="1" applyBorder="1" applyAlignment="1"/>
    <xf numFmtId="0" fontId="45" fillId="10" borderId="5" xfId="0" applyFont="1" applyFill="1" applyBorder="1" applyAlignment="1">
      <alignment horizontal="left"/>
    </xf>
    <xf numFmtId="178" fontId="7" fillId="11" borderId="5" xfId="2" applyNumberFormat="1" applyFont="1" applyFill="1" applyBorder="1" applyAlignment="1"/>
    <xf numFmtId="0" fontId="8" fillId="10" borderId="0" xfId="0" applyFont="1" applyFill="1" applyAlignment="1"/>
    <xf numFmtId="10" fontId="0" fillId="2" borderId="1" xfId="3" applyNumberFormat="1" applyFont="1" applyFill="1" applyBorder="1" applyAlignment="1"/>
    <xf numFmtId="0" fontId="8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43" fontId="0" fillId="0" borderId="6" xfId="0" applyNumberFormat="1" applyFill="1" applyBorder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88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112%2011%20&#25972;&#36554;&#36914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112%201-11%20&#25722;&#30090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1-11&#25722;&#30090;&#36554;&#20986;&#21475;&#27604;&#36611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112%2011%20&#38651;&#36628;&#3655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112%201-11%20&#38651;&#36628;&#3655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1-11&#38651;&#36628;&#36554;&#20986;&#21475;&#27604;&#36611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112%2011%20&#38646;&#20214;&#20986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112%201-11%20&#38646;&#20214;&#20986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112%2011%20&#38646;&#20214;&#36914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112%201-11%20&#38646;&#20214;&#36914;&#2147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10\&#38646;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112%201-11%20&#25972;&#36554;&#36914;&#2147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10\2023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112%2011%20&#25972;&#36554;&#20986;&#2147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112%201-11%20&#25972;&#36554;&#20986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1-11&#25972;&#36554;&#20986;&#21475;&#27604;&#3661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9">
          <cell r="A9" t="str">
            <v>中文名稱</v>
          </cell>
          <cell r="B9" t="str">
            <v>2023年11月
進口金額($US)</v>
          </cell>
          <cell r="C9" t="str">
            <v>2023年11月
進口數量</v>
          </cell>
        </row>
        <row r="10">
          <cell r="A10" t="str">
            <v>總計</v>
          </cell>
          <cell r="B10">
            <v>2213681</v>
          </cell>
          <cell r="C10">
            <v>22964</v>
          </cell>
        </row>
        <row r="11">
          <cell r="A11" t="str">
            <v>中國大陸</v>
          </cell>
          <cell r="B11">
            <v>1437133</v>
          </cell>
          <cell r="C11">
            <v>22313</v>
          </cell>
        </row>
        <row r="12">
          <cell r="A12" t="str">
            <v>中華民國</v>
          </cell>
          <cell r="B12">
            <v>464093</v>
          </cell>
          <cell r="C12">
            <v>207</v>
          </cell>
        </row>
        <row r="13">
          <cell r="A13" t="str">
            <v>英國</v>
          </cell>
          <cell r="B13">
            <v>150388</v>
          </cell>
          <cell r="C13">
            <v>147</v>
          </cell>
        </row>
        <row r="14">
          <cell r="A14" t="str">
            <v>柬埔寨</v>
          </cell>
          <cell r="B14">
            <v>74946</v>
          </cell>
          <cell r="C14">
            <v>257</v>
          </cell>
        </row>
        <row r="15">
          <cell r="A15" t="str">
            <v>義大利</v>
          </cell>
          <cell r="B15">
            <v>38915</v>
          </cell>
          <cell r="C15">
            <v>5</v>
          </cell>
        </row>
        <row r="16">
          <cell r="A16" t="str">
            <v>德國</v>
          </cell>
          <cell r="B16">
            <v>22604</v>
          </cell>
          <cell r="C16">
            <v>4</v>
          </cell>
        </row>
        <row r="17">
          <cell r="A17" t="str">
            <v>美國</v>
          </cell>
          <cell r="B17">
            <v>15814</v>
          </cell>
          <cell r="C17">
            <v>4</v>
          </cell>
        </row>
        <row r="18">
          <cell r="A18" t="str">
            <v>南非</v>
          </cell>
          <cell r="B18">
            <v>4217</v>
          </cell>
          <cell r="C18">
            <v>1</v>
          </cell>
        </row>
        <row r="19">
          <cell r="A19" t="str">
            <v>日本</v>
          </cell>
          <cell r="B19">
            <v>3711</v>
          </cell>
          <cell r="C19">
            <v>24</v>
          </cell>
        </row>
        <row r="20">
          <cell r="A20" t="str">
            <v>越南</v>
          </cell>
          <cell r="B20">
            <v>1705</v>
          </cell>
          <cell r="C20">
            <v>1</v>
          </cell>
        </row>
        <row r="21">
          <cell r="A21" t="str">
            <v>法國</v>
          </cell>
          <cell r="B21">
            <v>155</v>
          </cell>
          <cell r="C21">
            <v>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6608776</v>
          </cell>
          <cell r="C10">
            <v>9449</v>
          </cell>
        </row>
        <row r="11">
          <cell r="A11" t="str">
            <v>中國大陸</v>
          </cell>
          <cell r="B11">
            <v>2056250</v>
          </cell>
          <cell r="C11">
            <v>3196</v>
          </cell>
        </row>
        <row r="12">
          <cell r="A12" t="str">
            <v>韓國</v>
          </cell>
          <cell r="B12">
            <v>1773882</v>
          </cell>
          <cell r="C12">
            <v>2095</v>
          </cell>
        </row>
        <row r="13">
          <cell r="A13" t="str">
            <v>日本</v>
          </cell>
          <cell r="B13">
            <v>973897</v>
          </cell>
          <cell r="C13">
            <v>1232</v>
          </cell>
        </row>
        <row r="14">
          <cell r="A14" t="str">
            <v>奧地利</v>
          </cell>
          <cell r="B14">
            <v>884253</v>
          </cell>
          <cell r="C14">
            <v>1500</v>
          </cell>
        </row>
        <row r="15">
          <cell r="A15" t="str">
            <v>俄羅斯</v>
          </cell>
          <cell r="B15">
            <v>366327</v>
          </cell>
          <cell r="C15">
            <v>820</v>
          </cell>
        </row>
        <row r="16">
          <cell r="A16" t="str">
            <v>香港</v>
          </cell>
          <cell r="B16">
            <v>337194</v>
          </cell>
          <cell r="C16">
            <v>340</v>
          </cell>
        </row>
        <row r="17">
          <cell r="A17" t="str">
            <v>義大利</v>
          </cell>
          <cell r="B17">
            <v>115083</v>
          </cell>
          <cell r="C17">
            <v>113</v>
          </cell>
        </row>
        <row r="18">
          <cell r="A18" t="str">
            <v>西班牙</v>
          </cell>
          <cell r="B18">
            <v>40131</v>
          </cell>
          <cell r="C18">
            <v>48</v>
          </cell>
        </row>
        <row r="19">
          <cell r="A19" t="str">
            <v>澳大利亞</v>
          </cell>
          <cell r="B19">
            <v>29985</v>
          </cell>
          <cell r="C19">
            <v>43</v>
          </cell>
        </row>
        <row r="20">
          <cell r="A20" t="str">
            <v>荷蘭</v>
          </cell>
          <cell r="B20">
            <v>14379</v>
          </cell>
          <cell r="C20">
            <v>33</v>
          </cell>
        </row>
        <row r="21">
          <cell r="A21" t="str">
            <v>美國</v>
          </cell>
          <cell r="B21">
            <v>12757</v>
          </cell>
          <cell r="C21">
            <v>14</v>
          </cell>
        </row>
        <row r="22">
          <cell r="A22" t="str">
            <v>菲律賓</v>
          </cell>
          <cell r="B22">
            <v>2204</v>
          </cell>
          <cell r="C22">
            <v>8</v>
          </cell>
        </row>
        <row r="23">
          <cell r="A23" t="str">
            <v>新加坡</v>
          </cell>
          <cell r="B23">
            <v>1582</v>
          </cell>
          <cell r="C23">
            <v>1</v>
          </cell>
        </row>
        <row r="24">
          <cell r="A24" t="str">
            <v>加拿大</v>
          </cell>
          <cell r="B24">
            <v>591</v>
          </cell>
          <cell r="C24">
            <v>1</v>
          </cell>
        </row>
        <row r="25">
          <cell r="A25" t="str">
            <v>泰國</v>
          </cell>
          <cell r="B25">
            <v>261</v>
          </cell>
          <cell r="C25">
            <v>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9">
          <cell r="A9" t="str">
            <v>中文名稱</v>
          </cell>
          <cell r="B9" t="str">
            <v>2022年01至11月
出口金額($US)</v>
          </cell>
          <cell r="C9" t="str">
            <v>2022年01至11月
出口數量</v>
          </cell>
        </row>
        <row r="10">
          <cell r="A10" t="str">
            <v>總計</v>
          </cell>
          <cell r="B10">
            <v>10143796</v>
          </cell>
          <cell r="C10">
            <v>14873</v>
          </cell>
        </row>
        <row r="11">
          <cell r="A11" t="str">
            <v>韓國</v>
          </cell>
          <cell r="B11">
            <v>2978947</v>
          </cell>
          <cell r="C11">
            <v>3204</v>
          </cell>
        </row>
        <row r="12">
          <cell r="A12" t="str">
            <v>中國大陸</v>
          </cell>
          <cell r="B12">
            <v>2367086</v>
          </cell>
          <cell r="C12">
            <v>2463</v>
          </cell>
        </row>
        <row r="13">
          <cell r="A13" t="str">
            <v>日本</v>
          </cell>
          <cell r="B13">
            <v>1446862</v>
          </cell>
          <cell r="C13">
            <v>2246</v>
          </cell>
        </row>
        <row r="14">
          <cell r="A14" t="str">
            <v>奧地利</v>
          </cell>
          <cell r="B14">
            <v>892558</v>
          </cell>
          <cell r="C14">
            <v>1380</v>
          </cell>
        </row>
        <row r="15">
          <cell r="A15" t="str">
            <v>香港</v>
          </cell>
          <cell r="B15">
            <v>625448</v>
          </cell>
          <cell r="C15">
            <v>642</v>
          </cell>
        </row>
        <row r="16">
          <cell r="A16" t="str">
            <v>美國</v>
          </cell>
          <cell r="B16">
            <v>455424</v>
          </cell>
          <cell r="C16">
            <v>403</v>
          </cell>
        </row>
        <row r="17">
          <cell r="A17" t="str">
            <v>英國</v>
          </cell>
          <cell r="B17">
            <v>302135</v>
          </cell>
          <cell r="C17">
            <v>1352</v>
          </cell>
        </row>
        <row r="18">
          <cell r="A18" t="str">
            <v>新加坡</v>
          </cell>
          <cell r="B18">
            <v>243657</v>
          </cell>
          <cell r="C18">
            <v>352</v>
          </cell>
        </row>
        <row r="19">
          <cell r="A19" t="str">
            <v>捷克</v>
          </cell>
          <cell r="B19">
            <v>227800</v>
          </cell>
          <cell r="C19">
            <v>1150</v>
          </cell>
        </row>
        <row r="20">
          <cell r="A20" t="str">
            <v>德國</v>
          </cell>
          <cell r="B20">
            <v>180089</v>
          </cell>
          <cell r="C20">
            <v>703</v>
          </cell>
        </row>
        <row r="21">
          <cell r="A21" t="str">
            <v>俄羅斯</v>
          </cell>
          <cell r="B21">
            <v>139662</v>
          </cell>
          <cell r="C21">
            <v>440</v>
          </cell>
        </row>
        <row r="22">
          <cell r="A22" t="str">
            <v>荷蘭</v>
          </cell>
          <cell r="B22">
            <v>116902</v>
          </cell>
          <cell r="C22">
            <v>329</v>
          </cell>
        </row>
        <row r="23">
          <cell r="A23" t="str">
            <v>馬來西亞</v>
          </cell>
          <cell r="B23">
            <v>99783</v>
          </cell>
          <cell r="C23">
            <v>78</v>
          </cell>
        </row>
        <row r="24">
          <cell r="A24" t="str">
            <v>澳大利亞</v>
          </cell>
          <cell r="B24">
            <v>43493</v>
          </cell>
          <cell r="C24">
            <v>44</v>
          </cell>
        </row>
        <row r="25">
          <cell r="A25" t="str">
            <v>加拿大</v>
          </cell>
          <cell r="B25">
            <v>10164</v>
          </cell>
          <cell r="C25">
            <v>22</v>
          </cell>
        </row>
        <row r="26">
          <cell r="A26" t="str">
            <v>菲律賓</v>
          </cell>
          <cell r="B26">
            <v>8532</v>
          </cell>
          <cell r="C26">
            <v>55</v>
          </cell>
        </row>
        <row r="27">
          <cell r="A27" t="str">
            <v>泰國</v>
          </cell>
          <cell r="B27">
            <v>3622</v>
          </cell>
          <cell r="C27">
            <v>9</v>
          </cell>
        </row>
        <row r="28">
          <cell r="A28" t="str">
            <v>印度</v>
          </cell>
          <cell r="B28">
            <v>1632</v>
          </cell>
          <cell r="C28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78049576</v>
          </cell>
          <cell r="C10">
            <v>38247</v>
          </cell>
        </row>
        <row r="11">
          <cell r="A11" t="str">
            <v>美國</v>
          </cell>
          <cell r="B11">
            <v>21946849</v>
          </cell>
          <cell r="C11">
            <v>8594</v>
          </cell>
        </row>
        <row r="12">
          <cell r="A12" t="str">
            <v>荷蘭</v>
          </cell>
          <cell r="B12">
            <v>19886293</v>
          </cell>
          <cell r="C12">
            <v>9657</v>
          </cell>
        </row>
        <row r="13">
          <cell r="A13" t="str">
            <v>德國</v>
          </cell>
          <cell r="B13">
            <v>11101117</v>
          </cell>
          <cell r="C13">
            <v>6662</v>
          </cell>
        </row>
        <row r="14">
          <cell r="A14" t="str">
            <v>瑞士</v>
          </cell>
          <cell r="B14">
            <v>5788745</v>
          </cell>
          <cell r="C14">
            <v>2538</v>
          </cell>
        </row>
        <row r="15">
          <cell r="A15" t="str">
            <v>澳大利亞</v>
          </cell>
          <cell r="B15">
            <v>4712932</v>
          </cell>
          <cell r="C15">
            <v>2181</v>
          </cell>
        </row>
        <row r="16">
          <cell r="A16" t="str">
            <v>加拿大</v>
          </cell>
          <cell r="B16">
            <v>3026665</v>
          </cell>
          <cell r="C16">
            <v>1351</v>
          </cell>
        </row>
        <row r="17">
          <cell r="A17" t="str">
            <v>紐西蘭</v>
          </cell>
          <cell r="B17">
            <v>2365798</v>
          </cell>
          <cell r="C17">
            <v>946</v>
          </cell>
        </row>
        <row r="18">
          <cell r="A18" t="str">
            <v>比利時</v>
          </cell>
          <cell r="B18">
            <v>2067876</v>
          </cell>
          <cell r="C18">
            <v>690</v>
          </cell>
        </row>
        <row r="19">
          <cell r="A19" t="str">
            <v>英國</v>
          </cell>
          <cell r="B19">
            <v>1716652</v>
          </cell>
          <cell r="C19">
            <v>1293</v>
          </cell>
        </row>
        <row r="20">
          <cell r="A20" t="str">
            <v>瑞典</v>
          </cell>
          <cell r="B20">
            <v>773363</v>
          </cell>
          <cell r="C20">
            <v>1908</v>
          </cell>
        </row>
        <row r="21">
          <cell r="A21" t="str">
            <v>南非</v>
          </cell>
          <cell r="B21">
            <v>752558</v>
          </cell>
          <cell r="C21">
            <v>264</v>
          </cell>
        </row>
        <row r="22">
          <cell r="A22" t="str">
            <v>挪威</v>
          </cell>
          <cell r="B22">
            <v>649178</v>
          </cell>
          <cell r="C22">
            <v>432</v>
          </cell>
        </row>
        <row r="23">
          <cell r="A23" t="str">
            <v>西班牙</v>
          </cell>
          <cell r="B23">
            <v>498015</v>
          </cell>
          <cell r="C23">
            <v>187</v>
          </cell>
        </row>
        <row r="24">
          <cell r="A24" t="str">
            <v>日本</v>
          </cell>
          <cell r="B24">
            <v>381054</v>
          </cell>
          <cell r="C24">
            <v>329</v>
          </cell>
        </row>
        <row r="25">
          <cell r="A25" t="str">
            <v>法國</v>
          </cell>
          <cell r="B25">
            <v>370915</v>
          </cell>
          <cell r="C25">
            <v>226</v>
          </cell>
        </row>
        <row r="26">
          <cell r="A26" t="str">
            <v>波蘭</v>
          </cell>
          <cell r="B26">
            <v>351286</v>
          </cell>
          <cell r="C26">
            <v>153</v>
          </cell>
        </row>
        <row r="27">
          <cell r="A27" t="str">
            <v>新加坡</v>
          </cell>
          <cell r="B27">
            <v>293210</v>
          </cell>
          <cell r="C27">
            <v>89</v>
          </cell>
        </row>
        <row r="28">
          <cell r="A28" t="str">
            <v>韓國</v>
          </cell>
          <cell r="B28">
            <v>261458</v>
          </cell>
          <cell r="C28">
            <v>85</v>
          </cell>
        </row>
        <row r="29">
          <cell r="A29" t="str">
            <v>義大利</v>
          </cell>
          <cell r="B29">
            <v>250853</v>
          </cell>
          <cell r="C29">
            <v>74</v>
          </cell>
        </row>
        <row r="30">
          <cell r="A30" t="str">
            <v>智利</v>
          </cell>
          <cell r="B30">
            <v>244403</v>
          </cell>
          <cell r="C30">
            <v>69</v>
          </cell>
        </row>
        <row r="31">
          <cell r="A31" t="str">
            <v>捷克</v>
          </cell>
          <cell r="B31">
            <v>217612</v>
          </cell>
          <cell r="C31">
            <v>250</v>
          </cell>
        </row>
        <row r="32">
          <cell r="A32" t="str">
            <v>墨西哥</v>
          </cell>
          <cell r="B32">
            <v>180589</v>
          </cell>
          <cell r="C32">
            <v>183</v>
          </cell>
        </row>
        <row r="33">
          <cell r="A33" t="str">
            <v>丹麥</v>
          </cell>
          <cell r="B33">
            <v>108217</v>
          </cell>
          <cell r="C33">
            <v>47</v>
          </cell>
        </row>
        <row r="34">
          <cell r="A34" t="str">
            <v>馬來西亞</v>
          </cell>
          <cell r="B34">
            <v>60372</v>
          </cell>
          <cell r="C34">
            <v>20</v>
          </cell>
        </row>
        <row r="35">
          <cell r="A35" t="str">
            <v>哥倫比亞</v>
          </cell>
          <cell r="B35">
            <v>26078</v>
          </cell>
          <cell r="C35">
            <v>10</v>
          </cell>
        </row>
        <row r="36">
          <cell r="A36" t="str">
            <v>烏拉圭</v>
          </cell>
          <cell r="B36">
            <v>15659</v>
          </cell>
          <cell r="C36">
            <v>8</v>
          </cell>
        </row>
        <row r="37">
          <cell r="A37" t="str">
            <v>芬蘭</v>
          </cell>
          <cell r="B37">
            <v>1829</v>
          </cell>
          <cell r="C37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1135185611</v>
          </cell>
          <cell r="C10">
            <v>648959</v>
          </cell>
        </row>
        <row r="11">
          <cell r="A11" t="str">
            <v>荷蘭</v>
          </cell>
          <cell r="B11">
            <v>384913681</v>
          </cell>
          <cell r="C11">
            <v>230921</v>
          </cell>
        </row>
        <row r="12">
          <cell r="A12" t="str">
            <v>美國</v>
          </cell>
          <cell r="B12">
            <v>287183771</v>
          </cell>
          <cell r="C12">
            <v>132353</v>
          </cell>
        </row>
        <row r="13">
          <cell r="A13" t="str">
            <v>德國</v>
          </cell>
          <cell r="B13">
            <v>78606931</v>
          </cell>
          <cell r="C13">
            <v>68474</v>
          </cell>
        </row>
        <row r="14">
          <cell r="A14" t="str">
            <v>英國</v>
          </cell>
          <cell r="B14">
            <v>65091651</v>
          </cell>
          <cell r="C14">
            <v>44702</v>
          </cell>
        </row>
        <row r="15">
          <cell r="A15" t="str">
            <v>希臘</v>
          </cell>
          <cell r="B15">
            <v>40089880</v>
          </cell>
          <cell r="C15">
            <v>16291</v>
          </cell>
        </row>
        <row r="16">
          <cell r="A16" t="str">
            <v>澳大利亞</v>
          </cell>
          <cell r="B16">
            <v>35333375</v>
          </cell>
          <cell r="C16">
            <v>15460</v>
          </cell>
        </row>
        <row r="17">
          <cell r="A17" t="str">
            <v>加拿大</v>
          </cell>
          <cell r="B17">
            <v>33723259</v>
          </cell>
          <cell r="C17">
            <v>15682</v>
          </cell>
        </row>
        <row r="18">
          <cell r="A18" t="str">
            <v>紐西蘭</v>
          </cell>
          <cell r="B18">
            <v>27421643</v>
          </cell>
          <cell r="C18">
            <v>11717</v>
          </cell>
        </row>
        <row r="19">
          <cell r="A19" t="str">
            <v>瑞士</v>
          </cell>
          <cell r="B19">
            <v>24861447</v>
          </cell>
          <cell r="C19">
            <v>12844</v>
          </cell>
        </row>
        <row r="20">
          <cell r="A20" t="str">
            <v>法國</v>
          </cell>
          <cell r="B20">
            <v>22597245</v>
          </cell>
          <cell r="C20">
            <v>16871</v>
          </cell>
        </row>
        <row r="21">
          <cell r="A21" t="str">
            <v>比利時</v>
          </cell>
          <cell r="B21">
            <v>20754476</v>
          </cell>
          <cell r="C21">
            <v>10080</v>
          </cell>
        </row>
        <row r="22">
          <cell r="A22" t="str">
            <v>義大利</v>
          </cell>
          <cell r="B22">
            <v>18400415</v>
          </cell>
          <cell r="C22">
            <v>8172</v>
          </cell>
        </row>
        <row r="23">
          <cell r="A23" t="str">
            <v>西班牙</v>
          </cell>
          <cell r="B23">
            <v>14647569</v>
          </cell>
          <cell r="C23">
            <v>8007</v>
          </cell>
        </row>
        <row r="24">
          <cell r="A24" t="str">
            <v>丹麥</v>
          </cell>
          <cell r="B24">
            <v>10441747</v>
          </cell>
          <cell r="C24">
            <v>7553</v>
          </cell>
        </row>
        <row r="25">
          <cell r="A25" t="str">
            <v>日本</v>
          </cell>
          <cell r="B25">
            <v>10144781</v>
          </cell>
          <cell r="C25">
            <v>8854</v>
          </cell>
        </row>
        <row r="26">
          <cell r="A26" t="str">
            <v>挪威</v>
          </cell>
          <cell r="B26">
            <v>8832224</v>
          </cell>
          <cell r="C26">
            <v>5451</v>
          </cell>
        </row>
        <row r="27">
          <cell r="A27" t="str">
            <v>南非</v>
          </cell>
          <cell r="B27">
            <v>7994173</v>
          </cell>
          <cell r="C27">
            <v>3001</v>
          </cell>
        </row>
        <row r="28">
          <cell r="A28" t="str">
            <v>奧地利</v>
          </cell>
          <cell r="B28">
            <v>6027913</v>
          </cell>
          <cell r="C28">
            <v>2970</v>
          </cell>
        </row>
        <row r="29">
          <cell r="A29" t="str">
            <v>韓國</v>
          </cell>
          <cell r="B29">
            <v>5883919</v>
          </cell>
          <cell r="C29">
            <v>2610</v>
          </cell>
        </row>
        <row r="30">
          <cell r="A30" t="str">
            <v>波蘭</v>
          </cell>
          <cell r="B30">
            <v>5616085</v>
          </cell>
          <cell r="C30">
            <v>2900</v>
          </cell>
        </row>
        <row r="31">
          <cell r="A31" t="str">
            <v>捷克</v>
          </cell>
          <cell r="B31">
            <v>4773014</v>
          </cell>
          <cell r="C31">
            <v>7942</v>
          </cell>
        </row>
        <row r="32">
          <cell r="A32" t="str">
            <v>瑞典</v>
          </cell>
          <cell r="B32">
            <v>3695527</v>
          </cell>
          <cell r="C32">
            <v>8076</v>
          </cell>
        </row>
        <row r="33">
          <cell r="A33" t="str">
            <v>巴拿馬</v>
          </cell>
          <cell r="B33">
            <v>3376286</v>
          </cell>
          <cell r="C33">
            <v>1194</v>
          </cell>
        </row>
        <row r="34">
          <cell r="A34" t="str">
            <v>智利</v>
          </cell>
          <cell r="B34">
            <v>2582185</v>
          </cell>
          <cell r="C34">
            <v>945</v>
          </cell>
        </row>
        <row r="35">
          <cell r="A35" t="str">
            <v>墨西哥</v>
          </cell>
          <cell r="B35">
            <v>2253501</v>
          </cell>
          <cell r="C35">
            <v>1116</v>
          </cell>
        </row>
        <row r="36">
          <cell r="A36" t="str">
            <v>芬蘭</v>
          </cell>
          <cell r="B36">
            <v>1675180</v>
          </cell>
          <cell r="C36">
            <v>1343</v>
          </cell>
        </row>
        <row r="37">
          <cell r="A37" t="str">
            <v>巴西</v>
          </cell>
          <cell r="B37">
            <v>1300542</v>
          </cell>
          <cell r="C37">
            <v>482</v>
          </cell>
        </row>
        <row r="38">
          <cell r="A38" t="str">
            <v>哥倫比亞</v>
          </cell>
          <cell r="B38">
            <v>1029870</v>
          </cell>
          <cell r="C38">
            <v>439</v>
          </cell>
        </row>
        <row r="39">
          <cell r="A39" t="str">
            <v>馬來西亞</v>
          </cell>
          <cell r="B39">
            <v>875259</v>
          </cell>
          <cell r="C39">
            <v>265</v>
          </cell>
        </row>
        <row r="40">
          <cell r="A40" t="str">
            <v>以色列</v>
          </cell>
          <cell r="B40">
            <v>711547</v>
          </cell>
          <cell r="C40">
            <v>237</v>
          </cell>
        </row>
        <row r="41">
          <cell r="A41" t="str">
            <v>新加坡</v>
          </cell>
          <cell r="B41">
            <v>680180</v>
          </cell>
          <cell r="C41">
            <v>220</v>
          </cell>
        </row>
        <row r="42">
          <cell r="A42" t="str">
            <v>秘魯</v>
          </cell>
          <cell r="B42">
            <v>479354</v>
          </cell>
          <cell r="C42">
            <v>163</v>
          </cell>
        </row>
        <row r="43">
          <cell r="A43" t="str">
            <v>中國大陸</v>
          </cell>
          <cell r="B43">
            <v>424751</v>
          </cell>
          <cell r="C43">
            <v>261</v>
          </cell>
        </row>
        <row r="44">
          <cell r="A44" t="str">
            <v>匈牙利</v>
          </cell>
          <cell r="B44">
            <v>404514</v>
          </cell>
          <cell r="C44">
            <v>236</v>
          </cell>
        </row>
        <row r="45">
          <cell r="A45" t="str">
            <v>阿拉伯聯合大公國</v>
          </cell>
          <cell r="B45">
            <v>342593</v>
          </cell>
          <cell r="C45">
            <v>304</v>
          </cell>
        </row>
        <row r="46">
          <cell r="A46" t="str">
            <v>多明尼加</v>
          </cell>
          <cell r="B46">
            <v>265382</v>
          </cell>
          <cell r="C46">
            <v>91</v>
          </cell>
        </row>
        <row r="47">
          <cell r="A47" t="str">
            <v>哥斯大黎加</v>
          </cell>
          <cell r="B47">
            <v>212579</v>
          </cell>
          <cell r="C47">
            <v>79</v>
          </cell>
        </row>
        <row r="48">
          <cell r="A48" t="str">
            <v>厄瓜多</v>
          </cell>
          <cell r="B48">
            <v>204894</v>
          </cell>
          <cell r="C48">
            <v>60</v>
          </cell>
        </row>
        <row r="49">
          <cell r="A49" t="str">
            <v>瓜地馬拉</v>
          </cell>
          <cell r="B49">
            <v>187137</v>
          </cell>
          <cell r="C49">
            <v>63</v>
          </cell>
        </row>
        <row r="50">
          <cell r="A50" t="str">
            <v>葡萄牙</v>
          </cell>
          <cell r="B50">
            <v>154188</v>
          </cell>
          <cell r="C50">
            <v>93</v>
          </cell>
        </row>
        <row r="51">
          <cell r="A51" t="str">
            <v>俄羅斯</v>
          </cell>
          <cell r="B51">
            <v>129938</v>
          </cell>
          <cell r="C51">
            <v>88</v>
          </cell>
        </row>
        <row r="52">
          <cell r="A52" t="str">
            <v>香港</v>
          </cell>
          <cell r="B52">
            <v>115354</v>
          </cell>
          <cell r="C52">
            <v>46</v>
          </cell>
        </row>
        <row r="53">
          <cell r="A53" t="str">
            <v>關島</v>
          </cell>
          <cell r="B53">
            <v>98292</v>
          </cell>
          <cell r="C53">
            <v>25</v>
          </cell>
        </row>
        <row r="54">
          <cell r="A54" t="str">
            <v>阿根廷</v>
          </cell>
          <cell r="B54">
            <v>89805</v>
          </cell>
          <cell r="C54">
            <v>31</v>
          </cell>
        </row>
        <row r="55">
          <cell r="A55" t="str">
            <v>越南</v>
          </cell>
          <cell r="B55">
            <v>78728</v>
          </cell>
          <cell r="C55">
            <v>32</v>
          </cell>
        </row>
        <row r="56">
          <cell r="A56" t="str">
            <v>波多黎各</v>
          </cell>
          <cell r="B56">
            <v>77654</v>
          </cell>
          <cell r="C56">
            <v>30</v>
          </cell>
        </row>
        <row r="57">
          <cell r="A57" t="str">
            <v>冰島</v>
          </cell>
          <cell r="B57">
            <v>68713</v>
          </cell>
          <cell r="C57">
            <v>35</v>
          </cell>
        </row>
        <row r="58">
          <cell r="A58" t="str">
            <v>哈薩克</v>
          </cell>
          <cell r="B58">
            <v>55194</v>
          </cell>
          <cell r="C58">
            <v>16</v>
          </cell>
        </row>
        <row r="59">
          <cell r="A59" t="str">
            <v>委內瑞拉</v>
          </cell>
          <cell r="B59">
            <v>53350</v>
          </cell>
          <cell r="C59">
            <v>16</v>
          </cell>
        </row>
        <row r="60">
          <cell r="A60" t="str">
            <v>留尼旺</v>
          </cell>
          <cell r="B60">
            <v>43052</v>
          </cell>
          <cell r="C60">
            <v>17</v>
          </cell>
        </row>
        <row r="61">
          <cell r="A61" t="str">
            <v>法屬玻里尼西亞</v>
          </cell>
          <cell r="B61">
            <v>37032</v>
          </cell>
          <cell r="C61">
            <v>12</v>
          </cell>
        </row>
        <row r="62">
          <cell r="A62" t="str">
            <v>薩爾瓦多</v>
          </cell>
          <cell r="B62">
            <v>36694</v>
          </cell>
          <cell r="C62">
            <v>11</v>
          </cell>
        </row>
        <row r="63">
          <cell r="A63" t="str">
            <v>烏拉圭</v>
          </cell>
          <cell r="B63">
            <v>36514</v>
          </cell>
          <cell r="C63">
            <v>18</v>
          </cell>
        </row>
        <row r="64">
          <cell r="A64" t="str">
            <v>斯洛維尼亞</v>
          </cell>
          <cell r="B64">
            <v>29418</v>
          </cell>
          <cell r="C64">
            <v>43</v>
          </cell>
        </row>
        <row r="65">
          <cell r="A65" t="str">
            <v>模里西斯</v>
          </cell>
          <cell r="B65">
            <v>28115</v>
          </cell>
          <cell r="C65">
            <v>11</v>
          </cell>
        </row>
        <row r="66">
          <cell r="A66" t="str">
            <v>菲律賓</v>
          </cell>
          <cell r="B66">
            <v>10097</v>
          </cell>
          <cell r="C66">
            <v>4</v>
          </cell>
        </row>
        <row r="67">
          <cell r="A67" t="str">
            <v>印尼</v>
          </cell>
          <cell r="B67">
            <v>2332</v>
          </cell>
          <cell r="C67">
            <v>1</v>
          </cell>
        </row>
        <row r="68">
          <cell r="A68" t="str">
            <v>泰國</v>
          </cell>
          <cell r="B68">
            <v>2320</v>
          </cell>
          <cell r="C68">
            <v>1</v>
          </cell>
        </row>
        <row r="69">
          <cell r="A69" t="str">
            <v>黎巴嫩</v>
          </cell>
          <cell r="B69">
            <v>1270</v>
          </cell>
          <cell r="C69">
            <v>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9">
          <cell r="A9" t="str">
            <v>中文名稱</v>
          </cell>
          <cell r="B9" t="str">
            <v>2022年01至11月
出口金額($US)</v>
          </cell>
          <cell r="C9" t="str">
            <v>2022年01至11月
出口數量</v>
          </cell>
        </row>
        <row r="10">
          <cell r="A10" t="str">
            <v>總計</v>
          </cell>
          <cell r="B10">
            <v>1422126912</v>
          </cell>
          <cell r="C10">
            <v>952334</v>
          </cell>
        </row>
        <row r="11">
          <cell r="A11" t="str">
            <v>荷蘭</v>
          </cell>
          <cell r="B11">
            <v>473370407</v>
          </cell>
          <cell r="C11">
            <v>341580</v>
          </cell>
        </row>
        <row r="12">
          <cell r="A12" t="str">
            <v>美國</v>
          </cell>
          <cell r="B12">
            <v>418071608</v>
          </cell>
          <cell r="C12">
            <v>230568</v>
          </cell>
        </row>
        <row r="13">
          <cell r="A13" t="str">
            <v>德國</v>
          </cell>
          <cell r="B13">
            <v>90173235</v>
          </cell>
          <cell r="C13">
            <v>103128</v>
          </cell>
        </row>
        <row r="14">
          <cell r="A14" t="str">
            <v>英國</v>
          </cell>
          <cell r="B14">
            <v>85717734</v>
          </cell>
          <cell r="C14">
            <v>55561</v>
          </cell>
        </row>
        <row r="15">
          <cell r="A15" t="str">
            <v>義大利</v>
          </cell>
          <cell r="B15">
            <v>58450334</v>
          </cell>
          <cell r="C15">
            <v>28304</v>
          </cell>
        </row>
        <row r="16">
          <cell r="A16" t="str">
            <v>澳大利亞</v>
          </cell>
          <cell r="B16">
            <v>46957672</v>
          </cell>
          <cell r="C16">
            <v>22824</v>
          </cell>
        </row>
        <row r="17">
          <cell r="A17" t="str">
            <v>法國</v>
          </cell>
          <cell r="B17">
            <v>36132312</v>
          </cell>
          <cell r="C17">
            <v>32607</v>
          </cell>
        </row>
        <row r="18">
          <cell r="A18" t="str">
            <v>加拿大</v>
          </cell>
          <cell r="B18">
            <v>33218225</v>
          </cell>
          <cell r="C18">
            <v>16172</v>
          </cell>
        </row>
        <row r="19">
          <cell r="A19" t="str">
            <v>紐西蘭</v>
          </cell>
          <cell r="B19">
            <v>30007289</v>
          </cell>
          <cell r="C19">
            <v>13059</v>
          </cell>
        </row>
        <row r="20">
          <cell r="A20" t="str">
            <v>丹麥</v>
          </cell>
          <cell r="B20">
            <v>17712904</v>
          </cell>
          <cell r="C20">
            <v>12923</v>
          </cell>
        </row>
        <row r="21">
          <cell r="A21" t="str">
            <v>瑞士</v>
          </cell>
          <cell r="B21">
            <v>16877885</v>
          </cell>
          <cell r="C21">
            <v>8096</v>
          </cell>
        </row>
        <row r="22">
          <cell r="A22" t="str">
            <v>西班牙</v>
          </cell>
          <cell r="B22">
            <v>16335517</v>
          </cell>
          <cell r="C22">
            <v>13830</v>
          </cell>
        </row>
        <row r="23">
          <cell r="A23" t="str">
            <v>日本</v>
          </cell>
          <cell r="B23">
            <v>9261312</v>
          </cell>
          <cell r="C23">
            <v>8626</v>
          </cell>
        </row>
        <row r="24">
          <cell r="A24" t="str">
            <v>南非</v>
          </cell>
          <cell r="B24">
            <v>8646995</v>
          </cell>
          <cell r="C24">
            <v>3383</v>
          </cell>
        </row>
        <row r="25">
          <cell r="A25" t="str">
            <v>智利</v>
          </cell>
          <cell r="B25">
            <v>8341052</v>
          </cell>
          <cell r="C25">
            <v>3264</v>
          </cell>
        </row>
        <row r="26">
          <cell r="A26" t="str">
            <v>比利時</v>
          </cell>
          <cell r="B26">
            <v>7802465</v>
          </cell>
          <cell r="C26">
            <v>5063</v>
          </cell>
        </row>
        <row r="27">
          <cell r="A27" t="str">
            <v>墨西哥</v>
          </cell>
          <cell r="B27">
            <v>7441059</v>
          </cell>
          <cell r="C27">
            <v>3219</v>
          </cell>
        </row>
        <row r="28">
          <cell r="A28" t="str">
            <v>挪威</v>
          </cell>
          <cell r="B28">
            <v>6610298</v>
          </cell>
          <cell r="C28">
            <v>3832</v>
          </cell>
        </row>
        <row r="29">
          <cell r="A29" t="str">
            <v>韓國</v>
          </cell>
          <cell r="B29">
            <v>6268859</v>
          </cell>
          <cell r="C29">
            <v>3192</v>
          </cell>
        </row>
        <row r="30">
          <cell r="A30" t="str">
            <v>捷克</v>
          </cell>
          <cell r="B30">
            <v>6029868</v>
          </cell>
          <cell r="C30">
            <v>16118</v>
          </cell>
        </row>
        <row r="31">
          <cell r="A31" t="str">
            <v>巴拿馬</v>
          </cell>
          <cell r="B31">
            <v>5372139</v>
          </cell>
          <cell r="C31">
            <v>2059</v>
          </cell>
        </row>
        <row r="32">
          <cell r="A32" t="str">
            <v>波蘭</v>
          </cell>
          <cell r="B32">
            <v>5223752</v>
          </cell>
          <cell r="C32">
            <v>3683</v>
          </cell>
        </row>
        <row r="33">
          <cell r="A33" t="str">
            <v>巴西</v>
          </cell>
          <cell r="B33">
            <v>4583055</v>
          </cell>
          <cell r="C33">
            <v>1827</v>
          </cell>
        </row>
        <row r="34">
          <cell r="A34" t="str">
            <v>瑞典</v>
          </cell>
          <cell r="B34">
            <v>4538182</v>
          </cell>
          <cell r="C34">
            <v>8958</v>
          </cell>
        </row>
        <row r="35">
          <cell r="A35" t="str">
            <v>哥倫比亞</v>
          </cell>
          <cell r="B35">
            <v>2889043</v>
          </cell>
          <cell r="C35">
            <v>1212</v>
          </cell>
        </row>
        <row r="36">
          <cell r="A36" t="str">
            <v>奧地利</v>
          </cell>
          <cell r="B36">
            <v>1836323</v>
          </cell>
          <cell r="C36">
            <v>848</v>
          </cell>
        </row>
        <row r="37">
          <cell r="A37" t="str">
            <v>以色列</v>
          </cell>
          <cell r="B37">
            <v>1777406</v>
          </cell>
          <cell r="C37">
            <v>607</v>
          </cell>
        </row>
        <row r="38">
          <cell r="A38" t="str">
            <v>芬蘭</v>
          </cell>
          <cell r="B38">
            <v>1577665</v>
          </cell>
          <cell r="C38">
            <v>1889</v>
          </cell>
        </row>
        <row r="39">
          <cell r="A39" t="str">
            <v>斯洛維尼亞</v>
          </cell>
          <cell r="B39">
            <v>1433816</v>
          </cell>
          <cell r="C39">
            <v>1658</v>
          </cell>
        </row>
        <row r="40">
          <cell r="A40" t="str">
            <v>希臘</v>
          </cell>
          <cell r="B40">
            <v>1010546</v>
          </cell>
          <cell r="C40">
            <v>576</v>
          </cell>
        </row>
        <row r="41">
          <cell r="A41" t="str">
            <v>馬來西亞</v>
          </cell>
          <cell r="B41">
            <v>919778</v>
          </cell>
          <cell r="C41">
            <v>281</v>
          </cell>
        </row>
        <row r="42">
          <cell r="A42" t="str">
            <v>秘魯</v>
          </cell>
          <cell r="B42">
            <v>875195</v>
          </cell>
          <cell r="C42">
            <v>315</v>
          </cell>
        </row>
        <row r="43">
          <cell r="A43" t="str">
            <v>新加坡</v>
          </cell>
          <cell r="B43">
            <v>720352</v>
          </cell>
          <cell r="C43">
            <v>205</v>
          </cell>
        </row>
        <row r="44">
          <cell r="A44" t="str">
            <v>厄瓜多</v>
          </cell>
          <cell r="B44">
            <v>654482</v>
          </cell>
          <cell r="C44">
            <v>217</v>
          </cell>
        </row>
        <row r="45">
          <cell r="A45" t="str">
            <v>香港</v>
          </cell>
          <cell r="B45">
            <v>652742</v>
          </cell>
          <cell r="C45">
            <v>460</v>
          </cell>
        </row>
        <row r="46">
          <cell r="A46" t="str">
            <v>菲律賓</v>
          </cell>
          <cell r="B46">
            <v>635410</v>
          </cell>
          <cell r="C46">
            <v>239</v>
          </cell>
        </row>
        <row r="47">
          <cell r="A47" t="str">
            <v>阿根廷</v>
          </cell>
          <cell r="B47">
            <v>556122</v>
          </cell>
          <cell r="C47">
            <v>227</v>
          </cell>
        </row>
        <row r="48">
          <cell r="A48" t="str">
            <v>留尼旺</v>
          </cell>
          <cell r="B48">
            <v>498119</v>
          </cell>
          <cell r="C48">
            <v>213</v>
          </cell>
        </row>
        <row r="49">
          <cell r="A49" t="str">
            <v>瓜地馬拉</v>
          </cell>
          <cell r="B49">
            <v>366855</v>
          </cell>
          <cell r="C49">
            <v>131</v>
          </cell>
        </row>
        <row r="50">
          <cell r="A50" t="str">
            <v>波多黎各</v>
          </cell>
          <cell r="B50">
            <v>344840</v>
          </cell>
          <cell r="C50">
            <v>139</v>
          </cell>
        </row>
        <row r="51">
          <cell r="A51" t="str">
            <v>匈牙利</v>
          </cell>
          <cell r="B51">
            <v>336084</v>
          </cell>
          <cell r="C51">
            <v>209</v>
          </cell>
        </row>
        <row r="52">
          <cell r="A52" t="str">
            <v>泰國</v>
          </cell>
          <cell r="B52">
            <v>322908</v>
          </cell>
          <cell r="C52">
            <v>230</v>
          </cell>
        </row>
        <row r="53">
          <cell r="A53" t="str">
            <v>哥斯大黎加</v>
          </cell>
          <cell r="B53">
            <v>283866</v>
          </cell>
          <cell r="C53">
            <v>98</v>
          </cell>
        </row>
        <row r="54">
          <cell r="A54" t="str">
            <v>黎巴嫩</v>
          </cell>
          <cell r="B54">
            <v>276751</v>
          </cell>
          <cell r="C54">
            <v>235</v>
          </cell>
        </row>
        <row r="55">
          <cell r="A55" t="str">
            <v>多明尼加</v>
          </cell>
          <cell r="B55">
            <v>257460</v>
          </cell>
          <cell r="C55">
            <v>113</v>
          </cell>
        </row>
        <row r="56">
          <cell r="A56" t="str">
            <v>烏拉圭</v>
          </cell>
          <cell r="B56">
            <v>108297</v>
          </cell>
          <cell r="C56">
            <v>68</v>
          </cell>
        </row>
        <row r="57">
          <cell r="A57" t="str">
            <v>委內瑞拉</v>
          </cell>
          <cell r="B57">
            <v>104331</v>
          </cell>
          <cell r="C57">
            <v>40</v>
          </cell>
        </row>
        <row r="58">
          <cell r="A58" t="str">
            <v>阿拉伯聯合大公國</v>
          </cell>
          <cell r="B58">
            <v>94128</v>
          </cell>
          <cell r="C58">
            <v>43</v>
          </cell>
        </row>
        <row r="59">
          <cell r="A59" t="str">
            <v>葡萄牙</v>
          </cell>
          <cell r="B59">
            <v>90734</v>
          </cell>
          <cell r="C59">
            <v>28</v>
          </cell>
        </row>
        <row r="60">
          <cell r="A60" t="str">
            <v>中國大陸</v>
          </cell>
          <cell r="B60">
            <v>82290</v>
          </cell>
          <cell r="C60">
            <v>66</v>
          </cell>
        </row>
        <row r="61">
          <cell r="A61" t="str">
            <v>印尼</v>
          </cell>
          <cell r="B61">
            <v>61716</v>
          </cell>
          <cell r="C61">
            <v>20</v>
          </cell>
        </row>
        <row r="62">
          <cell r="A62" t="str">
            <v>關島</v>
          </cell>
          <cell r="B62">
            <v>45959</v>
          </cell>
          <cell r="C62">
            <v>12</v>
          </cell>
        </row>
        <row r="63">
          <cell r="A63" t="str">
            <v>汶萊</v>
          </cell>
          <cell r="B63">
            <v>45264</v>
          </cell>
          <cell r="C63">
            <v>19</v>
          </cell>
        </row>
        <row r="64">
          <cell r="A64" t="str">
            <v>冰島</v>
          </cell>
          <cell r="B64">
            <v>31562</v>
          </cell>
          <cell r="C64">
            <v>15</v>
          </cell>
        </row>
        <row r="65">
          <cell r="A65" t="str">
            <v>巴拉圭</v>
          </cell>
          <cell r="B65">
            <v>24883</v>
          </cell>
          <cell r="C65">
            <v>11</v>
          </cell>
        </row>
        <row r="66">
          <cell r="A66" t="str">
            <v>尼泊爾</v>
          </cell>
          <cell r="B66">
            <v>23917</v>
          </cell>
          <cell r="C66">
            <v>10</v>
          </cell>
        </row>
        <row r="67">
          <cell r="A67" t="str">
            <v>波士尼亞及赫塞哥維納</v>
          </cell>
          <cell r="B67">
            <v>22124</v>
          </cell>
          <cell r="C67">
            <v>15</v>
          </cell>
        </row>
        <row r="68">
          <cell r="A68" t="str">
            <v>薩爾瓦多</v>
          </cell>
          <cell r="B68">
            <v>21786</v>
          </cell>
          <cell r="C68">
            <v>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38141008</v>
          </cell>
          <cell r="D3">
            <v>544871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10575339</v>
          </cell>
          <cell r="D4">
            <v>254694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5248715</v>
          </cell>
          <cell r="D5">
            <v>48055</v>
          </cell>
          <cell r="E5">
            <v>54981</v>
          </cell>
        </row>
        <row r="6">
          <cell r="A6">
            <v>87149620002</v>
          </cell>
          <cell r="B6" t="str">
            <v>曲柄齒輪及其零件</v>
          </cell>
          <cell r="C6">
            <v>4936800</v>
          </cell>
          <cell r="D6">
            <v>90923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4351469</v>
          </cell>
          <cell r="D7">
            <v>34933</v>
          </cell>
          <cell r="E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3510415</v>
          </cell>
          <cell r="D8">
            <v>87421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2866629</v>
          </cell>
          <cell r="D9">
            <v>69510</v>
          </cell>
          <cell r="E9">
            <v>0</v>
          </cell>
        </row>
        <row r="10">
          <cell r="A10">
            <v>87149200108</v>
          </cell>
          <cell r="B10" t="str">
            <v>輪圈</v>
          </cell>
          <cell r="C10">
            <v>2495991</v>
          </cell>
          <cell r="D10">
            <v>130893</v>
          </cell>
          <cell r="E10">
            <v>228074</v>
          </cell>
        </row>
        <row r="11">
          <cell r="A11">
            <v>87149990157</v>
          </cell>
          <cell r="B11" t="str">
            <v>腳踏車用座管及上下管</v>
          </cell>
          <cell r="C11">
            <v>2279772</v>
          </cell>
          <cell r="D11">
            <v>55292</v>
          </cell>
          <cell r="E11">
            <v>0</v>
          </cell>
        </row>
        <row r="12">
          <cell r="A12">
            <v>87149310007</v>
          </cell>
          <cell r="B12" t="str">
            <v>輪轂，但倒煞車輪轂及輪轂煞車除外</v>
          </cell>
          <cell r="C12">
            <v>2198756</v>
          </cell>
          <cell r="D12">
            <v>31372</v>
          </cell>
          <cell r="E12">
            <v>0</v>
          </cell>
        </row>
        <row r="13">
          <cell r="A13">
            <v>87149610004</v>
          </cell>
          <cell r="B13" t="str">
            <v>踏板及其零件</v>
          </cell>
          <cell r="C13">
            <v>2088958</v>
          </cell>
          <cell r="D13">
            <v>76114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1691591</v>
          </cell>
          <cell r="D14">
            <v>99283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1612464</v>
          </cell>
          <cell r="D15">
            <v>38444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858295</v>
          </cell>
          <cell r="D16">
            <v>67922</v>
          </cell>
          <cell r="E16">
            <v>10795446</v>
          </cell>
        </row>
        <row r="17">
          <cell r="A17">
            <v>87149990139</v>
          </cell>
          <cell r="B17" t="str">
            <v>腳踏車用軸心</v>
          </cell>
          <cell r="C17">
            <v>421582</v>
          </cell>
          <cell r="D17">
            <v>27803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350511</v>
          </cell>
          <cell r="D18">
            <v>14105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47784</v>
          </cell>
          <cell r="D19">
            <v>1350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649975654</v>
          </cell>
          <cell r="D3">
            <v>9959783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172042646</v>
          </cell>
          <cell r="D4">
            <v>3379412</v>
          </cell>
          <cell r="E4">
            <v>0</v>
          </cell>
        </row>
        <row r="5">
          <cell r="A5">
            <v>87149990111</v>
          </cell>
          <cell r="B5" t="str">
            <v>腳踏車用變速器</v>
          </cell>
          <cell r="C5">
            <v>94259642</v>
          </cell>
          <cell r="D5">
            <v>825334</v>
          </cell>
          <cell r="E5">
            <v>0</v>
          </cell>
        </row>
        <row r="6">
          <cell r="A6">
            <v>87149320906</v>
          </cell>
          <cell r="B6" t="str">
            <v>其他飛輪之鏈輪</v>
          </cell>
          <cell r="C6">
            <v>90263899</v>
          </cell>
          <cell r="D6">
            <v>1818072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86544229</v>
          </cell>
          <cell r="D7">
            <v>1627775</v>
          </cell>
          <cell r="E7">
            <v>0</v>
          </cell>
        </row>
        <row r="8">
          <cell r="A8">
            <v>87149200304</v>
          </cell>
          <cell r="B8" t="str">
            <v>輪圈及輪幅</v>
          </cell>
          <cell r="C8">
            <v>76171795</v>
          </cell>
          <cell r="D8">
            <v>636902</v>
          </cell>
          <cell r="E8">
            <v>536103</v>
          </cell>
        </row>
        <row r="9">
          <cell r="A9">
            <v>87149990157</v>
          </cell>
          <cell r="B9" t="str">
            <v>腳踏車用座管及上下管</v>
          </cell>
          <cell r="C9">
            <v>53807272</v>
          </cell>
          <cell r="D9">
            <v>1216781</v>
          </cell>
          <cell r="E9">
            <v>0</v>
          </cell>
        </row>
        <row r="10">
          <cell r="A10">
            <v>87149990166</v>
          </cell>
          <cell r="B10" t="str">
            <v>腳踏車用把手</v>
          </cell>
          <cell r="C10">
            <v>46572891</v>
          </cell>
          <cell r="D10">
            <v>1338072</v>
          </cell>
          <cell r="E10">
            <v>0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43843951</v>
          </cell>
          <cell r="D11">
            <v>809473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41414219</v>
          </cell>
          <cell r="D12">
            <v>1662750</v>
          </cell>
          <cell r="E12">
            <v>0</v>
          </cell>
        </row>
        <row r="13">
          <cell r="A13">
            <v>87149200108</v>
          </cell>
          <cell r="B13" t="str">
            <v>輪圈</v>
          </cell>
          <cell r="C13">
            <v>32908249</v>
          </cell>
          <cell r="D13">
            <v>1501988</v>
          </cell>
          <cell r="E13">
            <v>2798912</v>
          </cell>
        </row>
        <row r="14">
          <cell r="A14">
            <v>87149500007</v>
          </cell>
          <cell r="B14" t="str">
            <v>腳踏車車座</v>
          </cell>
          <cell r="C14">
            <v>30390630</v>
          </cell>
          <cell r="D14">
            <v>1225596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26366998</v>
          </cell>
          <cell r="D15">
            <v>679609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9519018</v>
          </cell>
          <cell r="D16">
            <v>731170</v>
          </cell>
          <cell r="E16">
            <v>103983279</v>
          </cell>
        </row>
        <row r="17">
          <cell r="A17">
            <v>87149410006</v>
          </cell>
          <cell r="B17" t="str">
            <v>鋼?煞車器及其零件</v>
          </cell>
          <cell r="C17">
            <v>4556666</v>
          </cell>
          <cell r="D17">
            <v>170671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3664320</v>
          </cell>
          <cell r="D18">
            <v>198861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706049</v>
          </cell>
          <cell r="D19">
            <v>19883</v>
          </cell>
          <cell r="E19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25355381</v>
          </cell>
          <cell r="D3">
            <v>312121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8248782</v>
          </cell>
          <cell r="D4">
            <v>107574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4254378</v>
          </cell>
          <cell r="D5">
            <v>38827</v>
          </cell>
          <cell r="E5">
            <v>82708</v>
          </cell>
        </row>
        <row r="6">
          <cell r="A6">
            <v>87149990111</v>
          </cell>
          <cell r="B6" t="str">
            <v>腳踏車用變速器</v>
          </cell>
          <cell r="C6">
            <v>3586028</v>
          </cell>
          <cell r="D6">
            <v>33370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3072141</v>
          </cell>
          <cell r="D7">
            <v>79746</v>
          </cell>
          <cell r="E7">
            <v>0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2292110</v>
          </cell>
          <cell r="D8">
            <v>47568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1980768</v>
          </cell>
          <cell r="D9">
            <v>28017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1338096</v>
          </cell>
          <cell r="D10">
            <v>27642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1052016</v>
          </cell>
          <cell r="D11">
            <v>23268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818377</v>
          </cell>
          <cell r="D12">
            <v>25098</v>
          </cell>
          <cell r="E12">
            <v>72873</v>
          </cell>
        </row>
        <row r="13">
          <cell r="A13">
            <v>87149200206</v>
          </cell>
          <cell r="B13" t="str">
            <v>輪幅</v>
          </cell>
          <cell r="C13">
            <v>699802</v>
          </cell>
          <cell r="D13">
            <v>10374</v>
          </cell>
          <cell r="E13">
            <v>1623851</v>
          </cell>
        </row>
        <row r="14">
          <cell r="A14">
            <v>87149500007</v>
          </cell>
          <cell r="B14" t="str">
            <v>腳踏車車座</v>
          </cell>
          <cell r="C14">
            <v>593677</v>
          </cell>
          <cell r="D14">
            <v>31392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301458</v>
          </cell>
          <cell r="D15">
            <v>11903</v>
          </cell>
          <cell r="E15">
            <v>0</v>
          </cell>
        </row>
        <row r="16">
          <cell r="A16">
            <v>87149410006</v>
          </cell>
          <cell r="B16" t="str">
            <v>鋼?煞車器及其零件</v>
          </cell>
          <cell r="C16">
            <v>201985</v>
          </cell>
          <cell r="D16">
            <v>2801</v>
          </cell>
          <cell r="E16">
            <v>0</v>
          </cell>
        </row>
        <row r="17">
          <cell r="A17">
            <v>87149610004</v>
          </cell>
          <cell r="B17" t="str">
            <v>踏板及其零件</v>
          </cell>
          <cell r="C17">
            <v>182370</v>
          </cell>
          <cell r="D17">
            <v>21740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119612</v>
          </cell>
          <cell r="D18">
            <v>2255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51535</v>
          </cell>
          <cell r="D19">
            <v>3094</v>
          </cell>
          <cell r="E19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358189512</v>
          </cell>
          <cell r="D3">
            <v>5335768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104212031</v>
          </cell>
          <cell r="D4">
            <v>1399838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55415667</v>
          </cell>
          <cell r="D5">
            <v>768147</v>
          </cell>
          <cell r="E5">
            <v>1464506</v>
          </cell>
        </row>
        <row r="6">
          <cell r="A6">
            <v>87149990111</v>
          </cell>
          <cell r="B6" t="str">
            <v>腳踏車用變速器</v>
          </cell>
          <cell r="C6">
            <v>53554344</v>
          </cell>
          <cell r="D6">
            <v>530207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37236031</v>
          </cell>
          <cell r="D7">
            <v>976204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36785663</v>
          </cell>
          <cell r="D8">
            <v>1116069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21103567</v>
          </cell>
          <cell r="D9">
            <v>370466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16864853</v>
          </cell>
          <cell r="D10">
            <v>426562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12906082</v>
          </cell>
          <cell r="D11">
            <v>331730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9682694</v>
          </cell>
          <cell r="D12">
            <v>570344</v>
          </cell>
          <cell r="E12">
            <v>0</v>
          </cell>
        </row>
        <row r="13">
          <cell r="A13">
            <v>87149200304</v>
          </cell>
          <cell r="B13" t="str">
            <v>輪圈及輪幅</v>
          </cell>
          <cell r="C13">
            <v>8033472</v>
          </cell>
          <cell r="D13">
            <v>205168</v>
          </cell>
          <cell r="E13">
            <v>853802</v>
          </cell>
        </row>
        <row r="14">
          <cell r="A14">
            <v>87149200206</v>
          </cell>
          <cell r="B14" t="str">
            <v>輪幅</v>
          </cell>
          <cell r="C14">
            <v>7609302</v>
          </cell>
          <cell r="D14">
            <v>95141</v>
          </cell>
          <cell r="E14">
            <v>16165208</v>
          </cell>
        </row>
        <row r="15">
          <cell r="A15">
            <v>87149320103</v>
          </cell>
          <cell r="B15" t="str">
            <v>裝有棘輪機構之單一鏈輪　</v>
          </cell>
          <cell r="C15">
            <v>4320284</v>
          </cell>
          <cell r="D15">
            <v>81525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4188418</v>
          </cell>
          <cell r="D16">
            <v>141507</v>
          </cell>
          <cell r="E16">
            <v>0</v>
          </cell>
        </row>
        <row r="17">
          <cell r="A17">
            <v>87149610004</v>
          </cell>
          <cell r="B17" t="str">
            <v>踏板及其零件</v>
          </cell>
          <cell r="C17">
            <v>3941801</v>
          </cell>
          <cell r="D17">
            <v>227350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3177712</v>
          </cell>
          <cell r="D18">
            <v>55898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1271624</v>
          </cell>
          <cell r="D19">
            <v>92766</v>
          </cell>
          <cell r="E19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同"/>
      <sheetName val="進同"/>
      <sheetName val="進"/>
      <sheetName val="出"/>
    </sheetNames>
    <sheetDataSet>
      <sheetData sheetId="0" refreshError="1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968078077</v>
          </cell>
          <cell r="F11">
            <v>611834646</v>
          </cell>
          <cell r="G11">
            <v>17494822</v>
          </cell>
          <cell r="H11">
            <v>9414912</v>
          </cell>
          <cell r="I11">
            <v>0</v>
          </cell>
          <cell r="J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370551843</v>
          </cell>
          <cell r="F12">
            <v>161467307</v>
          </cell>
          <cell r="G12">
            <v>8744383</v>
          </cell>
          <cell r="H12">
            <v>3124718</v>
          </cell>
          <cell r="I12">
            <v>0</v>
          </cell>
          <cell r="J12">
            <v>0</v>
          </cell>
        </row>
        <row r="13">
          <cell r="B13">
            <v>87149990111</v>
          </cell>
          <cell r="C13" t="str">
            <v>腳踏車用變速器</v>
          </cell>
          <cell r="D13" t="str">
            <v>Derailer of bicycles</v>
          </cell>
          <cell r="E13">
            <v>157457666</v>
          </cell>
          <cell r="F13">
            <v>89908173</v>
          </cell>
          <cell r="G13">
            <v>1951501</v>
          </cell>
          <cell r="H13">
            <v>790401</v>
          </cell>
          <cell r="I13">
            <v>0</v>
          </cell>
          <cell r="J13">
            <v>0</v>
          </cell>
        </row>
        <row r="14">
          <cell r="B14">
            <v>87149320906</v>
          </cell>
          <cell r="C14" t="str">
            <v>其他飛輪之鏈輪</v>
          </cell>
          <cell r="D14" t="str">
            <v>Other free-wheel sprocket-wheels</v>
          </cell>
          <cell r="E14">
            <v>102081271</v>
          </cell>
          <cell r="F14">
            <v>86753484</v>
          </cell>
          <cell r="G14">
            <v>2509933</v>
          </cell>
          <cell r="H14">
            <v>1730651</v>
          </cell>
          <cell r="I14">
            <v>0</v>
          </cell>
          <cell r="J14">
            <v>0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135209720</v>
          </cell>
          <cell r="F15">
            <v>81607429</v>
          </cell>
          <cell r="G15">
            <v>3300508</v>
          </cell>
          <cell r="H15">
            <v>1536852</v>
          </cell>
          <cell r="I15">
            <v>0</v>
          </cell>
          <cell r="J15">
            <v>0</v>
          </cell>
        </row>
        <row r="16">
          <cell r="B16">
            <v>87149200304</v>
          </cell>
          <cell r="C16" t="str">
            <v>輪圈及輪幅</v>
          </cell>
          <cell r="D16" t="str">
            <v>Wheel rims and spokes</v>
          </cell>
          <cell r="E16">
            <v>86893062</v>
          </cell>
          <cell r="F16">
            <v>70923080</v>
          </cell>
          <cell r="G16">
            <v>958458</v>
          </cell>
          <cell r="H16">
            <v>588847</v>
          </cell>
          <cell r="I16">
            <v>697604</v>
          </cell>
          <cell r="J16">
            <v>481122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104567048</v>
          </cell>
          <cell r="F17">
            <v>51527500</v>
          </cell>
          <cell r="G17">
            <v>2380779</v>
          </cell>
          <cell r="H17">
            <v>1161489</v>
          </cell>
          <cell r="I17">
            <v>0</v>
          </cell>
          <cell r="J17">
            <v>0</v>
          </cell>
        </row>
        <row r="18">
          <cell r="B18">
            <v>87149990166</v>
          </cell>
          <cell r="C18" t="str">
            <v>腳踏車用把手</v>
          </cell>
          <cell r="D18" t="str">
            <v>Handle-bar of bicycles</v>
          </cell>
          <cell r="E18">
            <v>67585450</v>
          </cell>
          <cell r="F18">
            <v>43706262</v>
          </cell>
          <cell r="G18">
            <v>2252842</v>
          </cell>
          <cell r="H18">
            <v>1268562</v>
          </cell>
          <cell r="I18">
            <v>0</v>
          </cell>
          <cell r="J18">
            <v>0</v>
          </cell>
        </row>
        <row r="19">
          <cell r="B19">
            <v>87149310007</v>
          </cell>
          <cell r="C19" t="str">
            <v>輪轂，但倒煞車輪轂及輪轂煞車除外</v>
          </cell>
          <cell r="D19" t="str">
            <v>Hubs, other than coaster braking hubs and hub brakes</v>
          </cell>
          <cell r="E19">
            <v>82954413</v>
          </cell>
          <cell r="F19">
            <v>41645195</v>
          </cell>
          <cell r="G19">
            <v>1515594</v>
          </cell>
          <cell r="H19">
            <v>778101</v>
          </cell>
          <cell r="I19">
            <v>0</v>
          </cell>
          <cell r="J19">
            <v>0</v>
          </cell>
        </row>
        <row r="20">
          <cell r="B20">
            <v>87149610004</v>
          </cell>
          <cell r="C20" t="str">
            <v>踏板及其零件</v>
          </cell>
          <cell r="D20" t="str">
            <v>Pedals and parts thereof</v>
          </cell>
          <cell r="E20">
            <v>87817502</v>
          </cell>
          <cell r="F20">
            <v>39325261</v>
          </cell>
          <cell r="G20">
            <v>3903489</v>
          </cell>
          <cell r="H20">
            <v>1586636</v>
          </cell>
          <cell r="I20">
            <v>0</v>
          </cell>
          <cell r="J20">
            <v>0</v>
          </cell>
        </row>
        <row r="21">
          <cell r="B21">
            <v>87149200108</v>
          </cell>
          <cell r="C21" t="str">
            <v>輪圈</v>
          </cell>
          <cell r="D21" t="str">
            <v>Wheel rims</v>
          </cell>
          <cell r="E21">
            <v>46193311</v>
          </cell>
          <cell r="F21">
            <v>30412258</v>
          </cell>
          <cell r="G21">
            <v>2189508</v>
          </cell>
          <cell r="H21">
            <v>1371095</v>
          </cell>
          <cell r="I21">
            <v>4055679</v>
          </cell>
          <cell r="J21">
            <v>2570838</v>
          </cell>
        </row>
        <row r="22">
          <cell r="B22">
            <v>87149500007</v>
          </cell>
          <cell r="C22" t="str">
            <v>腳踏車車座</v>
          </cell>
          <cell r="D22" t="str">
            <v>Saddles of cycles</v>
          </cell>
          <cell r="E22">
            <v>51287487</v>
          </cell>
          <cell r="F22">
            <v>28699039</v>
          </cell>
          <cell r="G22">
            <v>2215304</v>
          </cell>
          <cell r="H22">
            <v>1126313</v>
          </cell>
          <cell r="I22">
            <v>0</v>
          </cell>
          <cell r="J22">
            <v>0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44605067</v>
          </cell>
          <cell r="F23">
            <v>24754534</v>
          </cell>
          <cell r="G23">
            <v>1319920</v>
          </cell>
          <cell r="H23">
            <v>641165</v>
          </cell>
          <cell r="I23">
            <v>0</v>
          </cell>
          <cell r="J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17581148</v>
          </cell>
          <cell r="F24">
            <v>8660723</v>
          </cell>
          <cell r="G24">
            <v>1680331</v>
          </cell>
          <cell r="H24">
            <v>663248</v>
          </cell>
          <cell r="I24">
            <v>225623693</v>
          </cell>
          <cell r="J24">
            <v>93187833</v>
          </cell>
        </row>
        <row r="25">
          <cell r="B25">
            <v>87149410006</v>
          </cell>
          <cell r="C25" t="str">
            <v>鋼?煞車器及其零件</v>
          </cell>
          <cell r="D25" t="str">
            <v>Caliper brake, and parts thereof</v>
          </cell>
          <cell r="E25">
            <v>8020440</v>
          </cell>
          <cell r="F25">
            <v>4206155</v>
          </cell>
          <cell r="G25">
            <v>324183</v>
          </cell>
          <cell r="H25">
            <v>156566</v>
          </cell>
          <cell r="I25">
            <v>0</v>
          </cell>
          <cell r="J25">
            <v>0</v>
          </cell>
        </row>
        <row r="26">
          <cell r="B26">
            <v>87149990139</v>
          </cell>
          <cell r="C26" t="str">
            <v>腳踏車用軸心</v>
          </cell>
          <cell r="D26" t="str">
            <v>Axle of bicycles</v>
          </cell>
          <cell r="E26">
            <v>6881445</v>
          </cell>
          <cell r="F26">
            <v>3242738</v>
          </cell>
          <cell r="G26">
            <v>291409</v>
          </cell>
          <cell r="H26">
            <v>171058</v>
          </cell>
          <cell r="I26">
            <v>0</v>
          </cell>
          <cell r="J26">
            <v>0</v>
          </cell>
        </row>
        <row r="27">
          <cell r="B27">
            <v>87149910001</v>
          </cell>
          <cell r="C27" t="str">
            <v>邊車零件</v>
          </cell>
          <cell r="D27" t="str">
            <v>Parts for side cars</v>
          </cell>
          <cell r="E27">
            <v>2641909</v>
          </cell>
          <cell r="F27">
            <v>2834564</v>
          </cell>
          <cell r="G27">
            <v>116396</v>
          </cell>
          <cell r="H27">
            <v>59482</v>
          </cell>
          <cell r="I27">
            <v>0</v>
          </cell>
          <cell r="J27">
            <v>0</v>
          </cell>
        </row>
        <row r="28">
          <cell r="B28">
            <v>87149420004</v>
          </cell>
          <cell r="C28" t="str">
            <v>倒煞車輪轂及其零件</v>
          </cell>
          <cell r="D28" t="str">
            <v>Coaster braking hub and parts thereof</v>
          </cell>
          <cell r="E28">
            <v>3534688</v>
          </cell>
          <cell r="F28">
            <v>2380060</v>
          </cell>
          <cell r="G28">
            <v>108526</v>
          </cell>
          <cell r="H28">
            <v>61018</v>
          </cell>
          <cell r="I28">
            <v>0</v>
          </cell>
          <cell r="J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2762230</v>
          </cell>
          <cell r="F29">
            <v>756610</v>
          </cell>
          <cell r="G29">
            <v>116290</v>
          </cell>
          <cell r="H29">
            <v>37992</v>
          </cell>
          <cell r="I29">
            <v>0</v>
          </cell>
          <cell r="J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1051845</v>
          </cell>
          <cell r="F30">
            <v>658265</v>
          </cell>
          <cell r="G30">
            <v>34233</v>
          </cell>
          <cell r="H30">
            <v>18533</v>
          </cell>
          <cell r="I30">
            <v>0</v>
          </cell>
          <cell r="J30">
            <v>0</v>
          </cell>
        </row>
        <row r="31">
          <cell r="B31">
            <v>87149320005</v>
          </cell>
          <cell r="C31" t="str">
            <v>飛輪之鏈輪</v>
          </cell>
          <cell r="D31" t="str">
            <v>Free-wheel sprocket-wheels</v>
          </cell>
          <cell r="E31">
            <v>44576629</v>
          </cell>
          <cell r="F31">
            <v>0</v>
          </cell>
          <cell r="G31">
            <v>1079441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87149990120</v>
          </cell>
          <cell r="C32" t="str">
            <v>腳踏車用飛輪</v>
          </cell>
          <cell r="D32" t="str">
            <v>Free wheel of bicycles</v>
          </cell>
          <cell r="E32">
            <v>8946776</v>
          </cell>
          <cell r="F32">
            <v>0</v>
          </cell>
          <cell r="G32">
            <v>324138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85121010001</v>
          </cell>
          <cell r="C33" t="str">
            <v>腳踏車用電氣照明設備</v>
          </cell>
          <cell r="D33" t="str">
            <v>Electrical lighting equipment of a kind used on bicycles</v>
          </cell>
          <cell r="E33">
            <v>24112808</v>
          </cell>
          <cell r="F33">
            <v>8873877</v>
          </cell>
          <cell r="G33">
            <v>192427</v>
          </cell>
          <cell r="H33">
            <v>76715</v>
          </cell>
          <cell r="I33">
            <v>1685981</v>
          </cell>
          <cell r="J33">
            <v>650529</v>
          </cell>
        </row>
        <row r="34">
          <cell r="B34">
            <v>85121020009</v>
          </cell>
          <cell r="C34" t="str">
            <v>腳踏車用視覺信號設備</v>
          </cell>
          <cell r="D34" t="str">
            <v>Electrical visual signalling equipment of a kind use on bicycles</v>
          </cell>
          <cell r="E34">
            <v>10199720</v>
          </cell>
          <cell r="F34">
            <v>5550778</v>
          </cell>
          <cell r="G34">
            <v>71393</v>
          </cell>
          <cell r="H34">
            <v>31639</v>
          </cell>
          <cell r="I34">
            <v>709174</v>
          </cell>
          <cell r="J34">
            <v>368819</v>
          </cell>
        </row>
        <row r="35">
          <cell r="B35">
            <v>73151100209</v>
          </cell>
          <cell r="C35" t="str">
            <v>腳踏車用滾子鏈</v>
          </cell>
          <cell r="D35" t="str">
            <v>Roller chain of bicycles</v>
          </cell>
          <cell r="E35">
            <v>54244124</v>
          </cell>
          <cell r="F35">
            <v>28211644</v>
          </cell>
          <cell r="G35">
            <v>2389919</v>
          </cell>
          <cell r="H35">
            <v>1063764</v>
          </cell>
          <cell r="I35">
            <v>0</v>
          </cell>
          <cell r="J35">
            <v>0</v>
          </cell>
        </row>
        <row r="36">
          <cell r="B36">
            <v>40115000008</v>
          </cell>
          <cell r="C36" t="str">
            <v>新橡膠氣胎，腳踏車用</v>
          </cell>
          <cell r="D36" t="str">
            <v>New pneumatic tyres, of rubber, of a kind used on bicycles</v>
          </cell>
          <cell r="E36">
            <v>128075112</v>
          </cell>
          <cell r="F36">
            <v>65461514</v>
          </cell>
          <cell r="G36">
            <v>7366405</v>
          </cell>
          <cell r="H36">
            <v>3695172</v>
          </cell>
          <cell r="I36">
            <v>10205275</v>
          </cell>
          <cell r="J36">
            <v>5017641</v>
          </cell>
        </row>
        <row r="37">
          <cell r="B37">
            <v>40132000003</v>
          </cell>
          <cell r="C37" t="str">
            <v>橡膠內胎，腳踏車用</v>
          </cell>
          <cell r="D37" t="str">
            <v>Inner tubes, of rubber, of a kind used on bicycles</v>
          </cell>
          <cell r="E37">
            <v>20058551</v>
          </cell>
          <cell r="F37">
            <v>5100818</v>
          </cell>
          <cell r="G37">
            <v>1872269</v>
          </cell>
          <cell r="H37">
            <v>499900</v>
          </cell>
          <cell r="I37">
            <v>10135470</v>
          </cell>
          <cell r="J37">
            <v>2737440</v>
          </cell>
        </row>
      </sheetData>
      <sheetData sheetId="1" refreshError="1"/>
      <sheetData sheetId="2" refreshError="1"/>
      <sheetData sheetId="3" refreshError="1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38267367</v>
          </cell>
          <cell r="F11">
            <v>612593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9828151</v>
          </cell>
          <cell r="F12">
            <v>230253</v>
          </cell>
          <cell r="G12">
            <v>0</v>
          </cell>
        </row>
        <row r="13">
          <cell r="B13">
            <v>87149620002</v>
          </cell>
          <cell r="C13" t="str">
            <v>曲柄齒輪及其零件</v>
          </cell>
          <cell r="D13" t="str">
            <v>Crank-gear and parts thereof</v>
          </cell>
          <cell r="E13">
            <v>6030680</v>
          </cell>
          <cell r="F13">
            <v>121440</v>
          </cell>
          <cell r="G13">
            <v>0</v>
          </cell>
        </row>
        <row r="14">
          <cell r="B14">
            <v>87149990111</v>
          </cell>
          <cell r="C14" t="str">
            <v>腳踏車用變速器</v>
          </cell>
          <cell r="D14" t="str">
            <v>Derailer of bicycles</v>
          </cell>
          <cell r="E14">
            <v>4988356</v>
          </cell>
          <cell r="F14">
            <v>44537</v>
          </cell>
          <cell r="G14">
            <v>0</v>
          </cell>
        </row>
        <row r="15">
          <cell r="B15">
            <v>87149200304</v>
          </cell>
          <cell r="C15" t="str">
            <v>輪圈及輪幅</v>
          </cell>
          <cell r="D15" t="str">
            <v>Wheel rims and spokes</v>
          </cell>
          <cell r="E15">
            <v>4128462</v>
          </cell>
          <cell r="F15">
            <v>35337</v>
          </cell>
          <cell r="G15">
            <v>27273</v>
          </cell>
        </row>
        <row r="16">
          <cell r="B16">
            <v>87149320906</v>
          </cell>
          <cell r="C16" t="str">
            <v>其他飛輪之鏈輪</v>
          </cell>
          <cell r="D16" t="str">
            <v>Other free-wheel sprocket-wheels</v>
          </cell>
          <cell r="E16">
            <v>3935605</v>
          </cell>
          <cell r="F16">
            <v>95818</v>
          </cell>
          <cell r="G16">
            <v>0</v>
          </cell>
        </row>
        <row r="17">
          <cell r="B17">
            <v>87149990166</v>
          </cell>
          <cell r="C17" t="str">
            <v>腳踏車用把手</v>
          </cell>
          <cell r="D17" t="str">
            <v>Handle-bar of bicycles</v>
          </cell>
          <cell r="E17">
            <v>3248039</v>
          </cell>
          <cell r="F17">
            <v>90968</v>
          </cell>
          <cell r="G17">
            <v>0</v>
          </cell>
        </row>
        <row r="18">
          <cell r="B18">
            <v>87149990157</v>
          </cell>
          <cell r="C18" t="str">
            <v>腳踏車用座管及上下管</v>
          </cell>
          <cell r="D18" t="str">
            <v>Seat tube, top tube and down tube of bicycles</v>
          </cell>
          <cell r="E18">
            <v>3121195</v>
          </cell>
          <cell r="F18">
            <v>73574</v>
          </cell>
          <cell r="G18">
            <v>0</v>
          </cell>
        </row>
        <row r="19">
          <cell r="B19">
            <v>87149610004</v>
          </cell>
          <cell r="C19" t="str">
            <v>踏板及其零件</v>
          </cell>
          <cell r="D19" t="str">
            <v>Pedals and parts thereof</v>
          </cell>
          <cell r="E19">
            <v>2562846</v>
          </cell>
          <cell r="F19">
            <v>78336</v>
          </cell>
          <cell r="G19">
            <v>0</v>
          </cell>
        </row>
        <row r="20">
          <cell r="B20">
            <v>87149200108</v>
          </cell>
          <cell r="C20" t="str">
            <v>輪圈</v>
          </cell>
          <cell r="D20" t="str">
            <v>Wheel rims</v>
          </cell>
          <cell r="E20">
            <v>2387274</v>
          </cell>
          <cell r="F20">
            <v>117518</v>
          </cell>
          <cell r="G20">
            <v>238837</v>
          </cell>
        </row>
        <row r="21">
          <cell r="B21">
            <v>87149310007</v>
          </cell>
          <cell r="C21" t="str">
            <v>輪轂，但倒煞車輪轂及輪轂煞車除外</v>
          </cell>
          <cell r="D21" t="str">
            <v>Hubs, other than coaster braking hubs and hub brakes</v>
          </cell>
          <cell r="E21">
            <v>2280041</v>
          </cell>
          <cell r="F21">
            <v>57737</v>
          </cell>
          <cell r="G21">
            <v>0</v>
          </cell>
        </row>
        <row r="22">
          <cell r="B22">
            <v>87149500007</v>
          </cell>
          <cell r="C22" t="str">
            <v>腳踏車車座</v>
          </cell>
          <cell r="D22" t="str">
            <v>Saddles of cycles</v>
          </cell>
          <cell r="E22">
            <v>1756945</v>
          </cell>
          <cell r="F22">
            <v>61206</v>
          </cell>
          <cell r="G22">
            <v>0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1614527</v>
          </cell>
          <cell r="F23">
            <v>38487</v>
          </cell>
          <cell r="G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707480</v>
          </cell>
          <cell r="F24">
            <v>53789</v>
          </cell>
          <cell r="G24">
            <v>6937809</v>
          </cell>
        </row>
        <row r="25">
          <cell r="B25">
            <v>87149910001</v>
          </cell>
          <cell r="C25" t="str">
            <v>邊車零件</v>
          </cell>
          <cell r="D25" t="str">
            <v>Parts for side cars</v>
          </cell>
          <cell r="E25">
            <v>379081</v>
          </cell>
          <cell r="F25">
            <v>4108</v>
          </cell>
          <cell r="G25">
            <v>0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320980</v>
          </cell>
          <cell r="F26">
            <v>5286</v>
          </cell>
          <cell r="G26">
            <v>0</v>
          </cell>
        </row>
        <row r="27">
          <cell r="B27">
            <v>87149410006</v>
          </cell>
          <cell r="C27" t="str">
            <v>鋼?煞車器及其零件</v>
          </cell>
          <cell r="D27" t="str">
            <v>Caliper brake, and parts thereof</v>
          </cell>
          <cell r="E27">
            <v>213003</v>
          </cell>
          <cell r="F27">
            <v>8798</v>
          </cell>
          <cell r="G27">
            <v>0</v>
          </cell>
        </row>
        <row r="28">
          <cell r="B28">
            <v>87149990139</v>
          </cell>
          <cell r="C28" t="str">
            <v>腳踏車用軸心</v>
          </cell>
          <cell r="D28" t="str">
            <v>Axle of bicycles</v>
          </cell>
          <cell r="E28">
            <v>207232</v>
          </cell>
          <cell r="F28">
            <v>7787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51365</v>
          </cell>
          <cell r="F29">
            <v>2034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19429</v>
          </cell>
          <cell r="F30">
            <v>278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471662</v>
          </cell>
          <cell r="F31">
            <v>3474</v>
          </cell>
          <cell r="G31">
            <v>30633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457323</v>
          </cell>
          <cell r="F32">
            <v>2601</v>
          </cell>
          <cell r="G32">
            <v>26232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1848763</v>
          </cell>
          <cell r="F33">
            <v>68216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3455429</v>
          </cell>
          <cell r="F34">
            <v>199418</v>
          </cell>
          <cell r="G34">
            <v>275257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202975</v>
          </cell>
          <cell r="F35">
            <v>18551</v>
          </cell>
          <cell r="G35">
            <v>103542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9">
          <cell r="A9" t="str">
            <v>中文名稱</v>
          </cell>
          <cell r="B9" t="str">
            <v>2023年01至11月
進口金額($US)</v>
          </cell>
          <cell r="C9" t="str">
            <v>2023年01至11月
進口數量</v>
          </cell>
        </row>
        <row r="10">
          <cell r="A10" t="str">
            <v>總計</v>
          </cell>
          <cell r="B10">
            <v>24868810</v>
          </cell>
          <cell r="C10">
            <v>185772</v>
          </cell>
        </row>
        <row r="11">
          <cell r="A11" t="str">
            <v>中國大陸</v>
          </cell>
          <cell r="B11">
            <v>16362311</v>
          </cell>
          <cell r="C11">
            <v>177366</v>
          </cell>
        </row>
        <row r="12">
          <cell r="A12" t="str">
            <v>越南</v>
          </cell>
          <cell r="B12">
            <v>2777719</v>
          </cell>
          <cell r="C12">
            <v>3427</v>
          </cell>
        </row>
        <row r="13">
          <cell r="A13" t="str">
            <v>中華民國</v>
          </cell>
          <cell r="B13">
            <v>1480355</v>
          </cell>
          <cell r="C13">
            <v>868</v>
          </cell>
        </row>
        <row r="14">
          <cell r="A14" t="str">
            <v>柬埔寨</v>
          </cell>
          <cell r="B14">
            <v>1448463</v>
          </cell>
          <cell r="C14">
            <v>2006</v>
          </cell>
        </row>
        <row r="15">
          <cell r="A15" t="str">
            <v>英國</v>
          </cell>
          <cell r="B15">
            <v>1248561</v>
          </cell>
          <cell r="C15">
            <v>1027</v>
          </cell>
        </row>
        <row r="16">
          <cell r="A16" t="str">
            <v>德國</v>
          </cell>
          <cell r="B16">
            <v>450564</v>
          </cell>
          <cell r="C16">
            <v>82</v>
          </cell>
        </row>
        <row r="17">
          <cell r="A17" t="str">
            <v>義大利</v>
          </cell>
          <cell r="B17">
            <v>334997</v>
          </cell>
          <cell r="C17">
            <v>59</v>
          </cell>
        </row>
        <row r="18">
          <cell r="A18" t="str">
            <v>美國</v>
          </cell>
          <cell r="B18">
            <v>286723</v>
          </cell>
          <cell r="C18">
            <v>75</v>
          </cell>
        </row>
        <row r="19">
          <cell r="A19" t="str">
            <v>比利時</v>
          </cell>
          <cell r="B19">
            <v>215498</v>
          </cell>
          <cell r="C19">
            <v>122</v>
          </cell>
        </row>
        <row r="20">
          <cell r="A20" t="str">
            <v>印尼</v>
          </cell>
          <cell r="B20">
            <v>86137</v>
          </cell>
          <cell r="C20">
            <v>313</v>
          </cell>
        </row>
        <row r="21">
          <cell r="A21" t="str">
            <v>韓國</v>
          </cell>
          <cell r="B21">
            <v>54195</v>
          </cell>
          <cell r="C21">
            <v>117</v>
          </cell>
        </row>
        <row r="22">
          <cell r="A22" t="str">
            <v>法國</v>
          </cell>
          <cell r="B22">
            <v>49440</v>
          </cell>
          <cell r="C22">
            <v>99</v>
          </cell>
        </row>
        <row r="23">
          <cell r="A23" t="str">
            <v>日本</v>
          </cell>
          <cell r="B23">
            <v>40758</v>
          </cell>
          <cell r="C23">
            <v>188</v>
          </cell>
        </row>
        <row r="24">
          <cell r="A24" t="str">
            <v>西班牙</v>
          </cell>
          <cell r="B24">
            <v>10236</v>
          </cell>
          <cell r="C24">
            <v>4</v>
          </cell>
        </row>
        <row r="25">
          <cell r="A25" t="str">
            <v>奧地利</v>
          </cell>
          <cell r="B25">
            <v>5928</v>
          </cell>
          <cell r="C25">
            <v>2</v>
          </cell>
        </row>
        <row r="26">
          <cell r="A26" t="str">
            <v>南非</v>
          </cell>
          <cell r="B26">
            <v>4217</v>
          </cell>
          <cell r="C26">
            <v>1</v>
          </cell>
        </row>
        <row r="27">
          <cell r="A27" t="str">
            <v>葡萄牙</v>
          </cell>
          <cell r="B27">
            <v>3163</v>
          </cell>
          <cell r="C27">
            <v>1</v>
          </cell>
        </row>
        <row r="28">
          <cell r="A28" t="str">
            <v>澳大利亞</v>
          </cell>
          <cell r="B28">
            <v>3105</v>
          </cell>
          <cell r="C28">
            <v>1</v>
          </cell>
        </row>
        <row r="29">
          <cell r="A29" t="str">
            <v>斯洛伐克</v>
          </cell>
          <cell r="B29">
            <v>2647</v>
          </cell>
          <cell r="C29">
            <v>2</v>
          </cell>
        </row>
        <row r="30">
          <cell r="A30" t="str">
            <v>捷克</v>
          </cell>
          <cell r="B30">
            <v>2615</v>
          </cell>
          <cell r="C30">
            <v>3</v>
          </cell>
        </row>
        <row r="31">
          <cell r="A31" t="str">
            <v>加拿大</v>
          </cell>
          <cell r="B31">
            <v>379</v>
          </cell>
          <cell r="C31">
            <v>1</v>
          </cell>
        </row>
        <row r="32">
          <cell r="A32" t="str">
            <v>瑞士</v>
          </cell>
          <cell r="B32">
            <v>260</v>
          </cell>
          <cell r="C32">
            <v>1</v>
          </cell>
        </row>
        <row r="33">
          <cell r="A33" t="str">
            <v>丹麥</v>
          </cell>
          <cell r="B33">
            <v>220</v>
          </cell>
          <cell r="C33">
            <v>1</v>
          </cell>
        </row>
        <row r="34">
          <cell r="A34" t="str">
            <v>馬來西亞</v>
          </cell>
          <cell r="B34">
            <v>188</v>
          </cell>
          <cell r="C34">
            <v>1</v>
          </cell>
        </row>
        <row r="35">
          <cell r="A35" t="str">
            <v>孟加拉</v>
          </cell>
          <cell r="B35">
            <v>131</v>
          </cell>
          <cell r="C35">
            <v>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出同"/>
      <sheetName val="電出"/>
      <sheetName val="折"/>
      <sheetName val="折出同"/>
      <sheetName val="出同"/>
      <sheetName val="進同"/>
      <sheetName val="出"/>
      <sheetName val="進"/>
      <sheetName val="折同"/>
      <sheetName val="電"/>
    </sheetNames>
    <sheetDataSet>
      <sheetData sheetId="0">
        <row r="2">
          <cell r="B2" t="str">
            <v>總計</v>
          </cell>
        </row>
        <row r="3">
          <cell r="C3" t="str">
            <v>荷蘭</v>
          </cell>
          <cell r="D3">
            <v>0</v>
          </cell>
          <cell r="E3">
            <v>427434154</v>
          </cell>
          <cell r="F3">
            <v>365027388</v>
          </cell>
          <cell r="G3">
            <v>310169</v>
          </cell>
        </row>
        <row r="4">
          <cell r="C4" t="str">
            <v>美國</v>
          </cell>
          <cell r="D4">
            <v>0</v>
          </cell>
          <cell r="E4">
            <v>382000486</v>
          </cell>
          <cell r="F4">
            <v>265236922</v>
          </cell>
          <cell r="G4">
            <v>212358</v>
          </cell>
        </row>
        <row r="5">
          <cell r="C5" t="str">
            <v>德國</v>
          </cell>
          <cell r="D5">
            <v>0</v>
          </cell>
          <cell r="E5">
            <v>83416045</v>
          </cell>
          <cell r="F5">
            <v>67505814</v>
          </cell>
          <cell r="G5">
            <v>95144</v>
          </cell>
        </row>
        <row r="6">
          <cell r="C6" t="str">
            <v>英國</v>
          </cell>
          <cell r="D6">
            <v>0</v>
          </cell>
          <cell r="E6">
            <v>75179662</v>
          </cell>
          <cell r="F6">
            <v>63374999</v>
          </cell>
          <cell r="G6">
            <v>48714</v>
          </cell>
        </row>
        <row r="7">
          <cell r="C7" t="str">
            <v>希臘</v>
          </cell>
          <cell r="D7">
            <v>0</v>
          </cell>
          <cell r="E7">
            <v>0</v>
          </cell>
          <cell r="F7">
            <v>40089880</v>
          </cell>
          <cell r="G7">
            <v>0</v>
          </cell>
        </row>
        <row r="8">
          <cell r="C8" t="str">
            <v>加拿大</v>
          </cell>
          <cell r="D8">
            <v>0</v>
          </cell>
          <cell r="E8">
            <v>31670297</v>
          </cell>
          <cell r="F8">
            <v>30696594</v>
          </cell>
          <cell r="G8">
            <v>15389</v>
          </cell>
        </row>
        <row r="9">
          <cell r="C9" t="str">
            <v>澳大利亞</v>
          </cell>
          <cell r="D9">
            <v>0</v>
          </cell>
          <cell r="E9">
            <v>42712600</v>
          </cell>
          <cell r="F9">
            <v>30620443</v>
          </cell>
          <cell r="G9">
            <v>20256</v>
          </cell>
        </row>
        <row r="10">
          <cell r="C10" t="str">
            <v>紐西蘭</v>
          </cell>
          <cell r="D10">
            <v>0</v>
          </cell>
          <cell r="E10">
            <v>27691972</v>
          </cell>
          <cell r="F10">
            <v>25055845</v>
          </cell>
          <cell r="G10">
            <v>12074</v>
          </cell>
        </row>
        <row r="11">
          <cell r="C11" t="str">
            <v>法國</v>
          </cell>
          <cell r="D11">
            <v>0</v>
          </cell>
          <cell r="E11">
            <v>29070196</v>
          </cell>
          <cell r="F11">
            <v>22226330</v>
          </cell>
          <cell r="G11">
            <v>26236</v>
          </cell>
        </row>
        <row r="12">
          <cell r="C12" t="str">
            <v>瑞士</v>
          </cell>
          <cell r="D12">
            <v>0</v>
          </cell>
          <cell r="E12">
            <v>15696497</v>
          </cell>
          <cell r="F12">
            <v>19072702</v>
          </cell>
          <cell r="G12">
            <v>7554</v>
          </cell>
        </row>
        <row r="13">
          <cell r="C13" t="str">
            <v>比利時</v>
          </cell>
          <cell r="D13">
            <v>0</v>
          </cell>
          <cell r="E13">
            <v>6416526</v>
          </cell>
          <cell r="F13">
            <v>18686600</v>
          </cell>
          <cell r="G13">
            <v>4359</v>
          </cell>
        </row>
        <row r="14">
          <cell r="C14" t="str">
            <v>義大利</v>
          </cell>
          <cell r="D14">
            <v>0</v>
          </cell>
          <cell r="E14">
            <v>56726543</v>
          </cell>
          <cell r="F14">
            <v>18149562</v>
          </cell>
          <cell r="G14">
            <v>27294</v>
          </cell>
        </row>
        <row r="15">
          <cell r="C15" t="str">
            <v>西班牙</v>
          </cell>
          <cell r="D15">
            <v>0</v>
          </cell>
          <cell r="E15">
            <v>15403659</v>
          </cell>
          <cell r="F15">
            <v>14149554</v>
          </cell>
          <cell r="G15">
            <v>12988</v>
          </cell>
        </row>
        <row r="16">
          <cell r="C16" t="str">
            <v>丹麥</v>
          </cell>
          <cell r="D16">
            <v>0</v>
          </cell>
          <cell r="E16">
            <v>12872822</v>
          </cell>
          <cell r="F16">
            <v>10333530</v>
          </cell>
          <cell r="G16">
            <v>9002</v>
          </cell>
        </row>
        <row r="17">
          <cell r="C17" t="str">
            <v>日本</v>
          </cell>
          <cell r="D17">
            <v>0</v>
          </cell>
          <cell r="E17">
            <v>8719315</v>
          </cell>
          <cell r="F17">
            <v>9763727</v>
          </cell>
          <cell r="G17">
            <v>8215</v>
          </cell>
        </row>
        <row r="18">
          <cell r="C18" t="str">
            <v>挪威</v>
          </cell>
          <cell r="D18">
            <v>0</v>
          </cell>
          <cell r="E18">
            <v>6246958</v>
          </cell>
          <cell r="F18">
            <v>8183046</v>
          </cell>
          <cell r="G18">
            <v>3626</v>
          </cell>
        </row>
        <row r="19">
          <cell r="C19" t="str">
            <v>南非</v>
          </cell>
          <cell r="D19">
            <v>0</v>
          </cell>
          <cell r="E19">
            <v>6868934</v>
          </cell>
          <cell r="F19">
            <v>7241615</v>
          </cell>
          <cell r="G19">
            <v>2682</v>
          </cell>
        </row>
        <row r="20">
          <cell r="C20" t="str">
            <v>奧地利</v>
          </cell>
          <cell r="D20">
            <v>0</v>
          </cell>
          <cell r="E20">
            <v>1836323</v>
          </cell>
          <cell r="F20">
            <v>6027913</v>
          </cell>
          <cell r="G20">
            <v>848</v>
          </cell>
        </row>
        <row r="21">
          <cell r="C21" t="str">
            <v>韓國</v>
          </cell>
          <cell r="D21">
            <v>0</v>
          </cell>
          <cell r="E21">
            <v>5800090</v>
          </cell>
          <cell r="F21">
            <v>5622461</v>
          </cell>
          <cell r="G21">
            <v>2958</v>
          </cell>
        </row>
        <row r="22">
          <cell r="C22" t="str">
            <v>波蘭</v>
          </cell>
          <cell r="D22">
            <v>0</v>
          </cell>
          <cell r="E22">
            <v>4481756</v>
          </cell>
          <cell r="F22">
            <v>5264799</v>
          </cell>
          <cell r="G22">
            <v>3202</v>
          </cell>
        </row>
        <row r="23">
          <cell r="C23" t="str">
            <v>捷克</v>
          </cell>
          <cell r="D23">
            <v>0</v>
          </cell>
          <cell r="E23">
            <v>5568819</v>
          </cell>
          <cell r="F23">
            <v>4555402</v>
          </cell>
          <cell r="G23">
            <v>15129</v>
          </cell>
        </row>
        <row r="24">
          <cell r="C24" t="str">
            <v>巴拿馬</v>
          </cell>
          <cell r="D24">
            <v>0</v>
          </cell>
          <cell r="E24">
            <v>4763570</v>
          </cell>
          <cell r="F24">
            <v>3376286</v>
          </cell>
          <cell r="G24">
            <v>1807</v>
          </cell>
        </row>
        <row r="25">
          <cell r="C25" t="str">
            <v>瑞典</v>
          </cell>
          <cell r="D25">
            <v>0</v>
          </cell>
          <cell r="E25">
            <v>3945338</v>
          </cell>
          <cell r="F25">
            <v>2922164</v>
          </cell>
          <cell r="G25">
            <v>7465</v>
          </cell>
        </row>
        <row r="26">
          <cell r="C26" t="str">
            <v>智利</v>
          </cell>
          <cell r="D26">
            <v>0</v>
          </cell>
          <cell r="E26">
            <v>7222597</v>
          </cell>
          <cell r="F26">
            <v>2337782</v>
          </cell>
          <cell r="G26">
            <v>2770</v>
          </cell>
        </row>
        <row r="27">
          <cell r="C27" t="str">
            <v>墨西哥</v>
          </cell>
          <cell r="D27">
            <v>0</v>
          </cell>
          <cell r="E27">
            <v>6542063</v>
          </cell>
          <cell r="F27">
            <v>2072912</v>
          </cell>
          <cell r="G27">
            <v>2809</v>
          </cell>
        </row>
        <row r="28">
          <cell r="C28" t="str">
            <v>芬蘭</v>
          </cell>
          <cell r="D28">
            <v>0</v>
          </cell>
          <cell r="E28">
            <v>1577665</v>
          </cell>
          <cell r="F28">
            <v>1673351</v>
          </cell>
          <cell r="G28">
            <v>1889</v>
          </cell>
        </row>
        <row r="29">
          <cell r="C29" t="str">
            <v>巴西</v>
          </cell>
          <cell r="D29">
            <v>0</v>
          </cell>
          <cell r="E29">
            <v>3839740</v>
          </cell>
          <cell r="F29">
            <v>1300542</v>
          </cell>
          <cell r="G29">
            <v>1540</v>
          </cell>
        </row>
        <row r="30">
          <cell r="C30" t="str">
            <v>哥倫比亞</v>
          </cell>
          <cell r="D30">
            <v>0</v>
          </cell>
          <cell r="E30">
            <v>2717135</v>
          </cell>
          <cell r="F30">
            <v>1003792</v>
          </cell>
          <cell r="G30">
            <v>1136</v>
          </cell>
        </row>
        <row r="31">
          <cell r="C31" t="str">
            <v>馬來西亞</v>
          </cell>
          <cell r="D31">
            <v>0</v>
          </cell>
          <cell r="E31">
            <v>919778</v>
          </cell>
          <cell r="F31">
            <v>814887</v>
          </cell>
          <cell r="G31">
            <v>281</v>
          </cell>
        </row>
        <row r="32">
          <cell r="C32" t="str">
            <v>以色列</v>
          </cell>
          <cell r="D32">
            <v>0</v>
          </cell>
          <cell r="E32">
            <v>1777406</v>
          </cell>
          <cell r="F32">
            <v>711547</v>
          </cell>
          <cell r="G32">
            <v>607</v>
          </cell>
        </row>
        <row r="33">
          <cell r="C33" t="str">
            <v>秘魯</v>
          </cell>
          <cell r="D33">
            <v>0</v>
          </cell>
          <cell r="E33">
            <v>841359</v>
          </cell>
          <cell r="F33">
            <v>479354</v>
          </cell>
          <cell r="G33">
            <v>303</v>
          </cell>
        </row>
        <row r="34">
          <cell r="C34" t="str">
            <v>中國大陸</v>
          </cell>
          <cell r="D34">
            <v>0</v>
          </cell>
          <cell r="E34">
            <v>80030</v>
          </cell>
          <cell r="F34">
            <v>424751</v>
          </cell>
          <cell r="G34">
            <v>61</v>
          </cell>
        </row>
        <row r="35">
          <cell r="C35" t="str">
            <v>匈牙利</v>
          </cell>
          <cell r="D35">
            <v>0</v>
          </cell>
          <cell r="E35">
            <v>214144</v>
          </cell>
          <cell r="F35">
            <v>404514</v>
          </cell>
          <cell r="G35">
            <v>127</v>
          </cell>
        </row>
        <row r="36">
          <cell r="C36" t="str">
            <v>新加坡</v>
          </cell>
          <cell r="D36">
            <v>0</v>
          </cell>
          <cell r="E36">
            <v>649071</v>
          </cell>
          <cell r="F36">
            <v>386970</v>
          </cell>
          <cell r="G36">
            <v>190</v>
          </cell>
        </row>
        <row r="37">
          <cell r="C37" t="str">
            <v>阿拉伯聯合大公國</v>
          </cell>
          <cell r="D37">
            <v>0</v>
          </cell>
          <cell r="E37">
            <v>54454</v>
          </cell>
          <cell r="F37">
            <v>342593</v>
          </cell>
          <cell r="G37">
            <v>30</v>
          </cell>
        </row>
        <row r="38">
          <cell r="C38" t="str">
            <v>多明尼加</v>
          </cell>
          <cell r="D38">
            <v>0</v>
          </cell>
          <cell r="E38">
            <v>257460</v>
          </cell>
          <cell r="F38">
            <v>265382</v>
          </cell>
          <cell r="G38">
            <v>113</v>
          </cell>
        </row>
        <row r="39">
          <cell r="C39" t="str">
            <v>哥斯大黎加</v>
          </cell>
          <cell r="D39">
            <v>0</v>
          </cell>
          <cell r="E39">
            <v>281041</v>
          </cell>
          <cell r="F39">
            <v>212579</v>
          </cell>
          <cell r="G39">
            <v>97</v>
          </cell>
        </row>
        <row r="40">
          <cell r="C40" t="str">
            <v>厄瓜多</v>
          </cell>
          <cell r="D40">
            <v>0</v>
          </cell>
          <cell r="E40">
            <v>550025</v>
          </cell>
          <cell r="F40">
            <v>204894</v>
          </cell>
          <cell r="G40">
            <v>177</v>
          </cell>
        </row>
        <row r="41">
          <cell r="C41" t="str">
            <v>瓜地馬拉</v>
          </cell>
          <cell r="D41">
            <v>0</v>
          </cell>
          <cell r="E41">
            <v>366855</v>
          </cell>
          <cell r="F41">
            <v>187137</v>
          </cell>
          <cell r="G41">
            <v>131</v>
          </cell>
        </row>
        <row r="42">
          <cell r="C42" t="str">
            <v>葡萄牙</v>
          </cell>
          <cell r="D42">
            <v>0</v>
          </cell>
          <cell r="E42">
            <v>90734</v>
          </cell>
          <cell r="F42">
            <v>154188</v>
          </cell>
          <cell r="G42">
            <v>28</v>
          </cell>
        </row>
        <row r="43">
          <cell r="C43" t="str">
            <v>俄羅斯</v>
          </cell>
          <cell r="D43">
            <v>0</v>
          </cell>
          <cell r="E43">
            <v>0</v>
          </cell>
          <cell r="F43">
            <v>129938</v>
          </cell>
          <cell r="G43">
            <v>0</v>
          </cell>
        </row>
        <row r="44">
          <cell r="C44" t="str">
            <v>香港</v>
          </cell>
          <cell r="D44">
            <v>0</v>
          </cell>
          <cell r="E44">
            <v>652742</v>
          </cell>
          <cell r="F44">
            <v>115354</v>
          </cell>
          <cell r="G44">
            <v>460</v>
          </cell>
        </row>
        <row r="45">
          <cell r="C45" t="str">
            <v>關島</v>
          </cell>
          <cell r="D45">
            <v>0</v>
          </cell>
          <cell r="E45">
            <v>45959</v>
          </cell>
          <cell r="F45">
            <v>98292</v>
          </cell>
          <cell r="G45">
            <v>12</v>
          </cell>
        </row>
        <row r="46">
          <cell r="C46" t="str">
            <v>阿根廷</v>
          </cell>
          <cell r="D46">
            <v>0</v>
          </cell>
          <cell r="E46">
            <v>556122</v>
          </cell>
          <cell r="F46">
            <v>89805</v>
          </cell>
          <cell r="G46">
            <v>227</v>
          </cell>
        </row>
        <row r="47">
          <cell r="C47" t="str">
            <v>越南</v>
          </cell>
          <cell r="D47">
            <v>0</v>
          </cell>
          <cell r="E47">
            <v>0</v>
          </cell>
          <cell r="F47">
            <v>78728</v>
          </cell>
          <cell r="G47">
            <v>0</v>
          </cell>
        </row>
        <row r="48">
          <cell r="C48" t="str">
            <v>波多黎各</v>
          </cell>
          <cell r="D48">
            <v>0</v>
          </cell>
          <cell r="E48">
            <v>241262</v>
          </cell>
          <cell r="F48">
            <v>77654</v>
          </cell>
          <cell r="G48">
            <v>102</v>
          </cell>
        </row>
        <row r="49">
          <cell r="C49" t="str">
            <v>冰島</v>
          </cell>
          <cell r="D49">
            <v>0</v>
          </cell>
          <cell r="E49">
            <v>31562</v>
          </cell>
          <cell r="F49">
            <v>68713</v>
          </cell>
          <cell r="G49">
            <v>15</v>
          </cell>
        </row>
        <row r="50">
          <cell r="C50" t="str">
            <v>哈薩克</v>
          </cell>
          <cell r="D50">
            <v>0</v>
          </cell>
          <cell r="E50">
            <v>0</v>
          </cell>
          <cell r="F50">
            <v>55194</v>
          </cell>
          <cell r="G50">
            <v>0</v>
          </cell>
        </row>
        <row r="51">
          <cell r="C51" t="str">
            <v>委內瑞拉</v>
          </cell>
          <cell r="D51">
            <v>0</v>
          </cell>
          <cell r="E51">
            <v>0</v>
          </cell>
          <cell r="F51">
            <v>53350</v>
          </cell>
          <cell r="G51">
            <v>0</v>
          </cell>
        </row>
        <row r="52">
          <cell r="C52" t="str">
            <v>留尼旺</v>
          </cell>
          <cell r="D52">
            <v>0</v>
          </cell>
          <cell r="E52">
            <v>498119</v>
          </cell>
          <cell r="F52">
            <v>43052</v>
          </cell>
          <cell r="G52">
            <v>213</v>
          </cell>
        </row>
        <row r="53">
          <cell r="C53" t="str">
            <v>法屬玻里尼西亞</v>
          </cell>
          <cell r="D53">
            <v>0</v>
          </cell>
          <cell r="E53">
            <v>0</v>
          </cell>
          <cell r="F53">
            <v>37032</v>
          </cell>
          <cell r="G53">
            <v>0</v>
          </cell>
        </row>
        <row r="54">
          <cell r="C54" t="str">
            <v>薩爾瓦多</v>
          </cell>
          <cell r="D54">
            <v>0</v>
          </cell>
          <cell r="E54">
            <v>21786</v>
          </cell>
          <cell r="F54">
            <v>36694</v>
          </cell>
          <cell r="G54">
            <v>9</v>
          </cell>
        </row>
        <row r="55">
          <cell r="C55" t="str">
            <v>斯洛維尼亞</v>
          </cell>
          <cell r="D55">
            <v>0</v>
          </cell>
          <cell r="E55">
            <v>1199980</v>
          </cell>
          <cell r="F55">
            <v>29418</v>
          </cell>
          <cell r="G55">
            <v>1548</v>
          </cell>
        </row>
        <row r="56">
          <cell r="C56" t="str">
            <v>模里西斯</v>
          </cell>
          <cell r="D56">
            <v>0</v>
          </cell>
          <cell r="E56">
            <v>0</v>
          </cell>
          <cell r="F56">
            <v>28115</v>
          </cell>
          <cell r="G56">
            <v>0</v>
          </cell>
        </row>
        <row r="57">
          <cell r="C57" t="str">
            <v>烏拉圭</v>
          </cell>
          <cell r="D57">
            <v>0</v>
          </cell>
          <cell r="E57">
            <v>108297</v>
          </cell>
          <cell r="F57">
            <v>20855</v>
          </cell>
          <cell r="G57">
            <v>68</v>
          </cell>
        </row>
        <row r="58">
          <cell r="C58" t="str">
            <v>菲律賓</v>
          </cell>
          <cell r="D58">
            <v>0</v>
          </cell>
          <cell r="E58">
            <v>627626</v>
          </cell>
          <cell r="F58">
            <v>10097</v>
          </cell>
          <cell r="G58">
            <v>236</v>
          </cell>
        </row>
        <row r="59">
          <cell r="C59" t="str">
            <v>印尼</v>
          </cell>
          <cell r="D59">
            <v>0</v>
          </cell>
          <cell r="E59">
            <v>61716</v>
          </cell>
          <cell r="F59">
            <v>2332</v>
          </cell>
          <cell r="G59">
            <v>20</v>
          </cell>
        </row>
        <row r="60">
          <cell r="C60" t="str">
            <v>泰國</v>
          </cell>
          <cell r="D60">
            <v>0</v>
          </cell>
          <cell r="E60">
            <v>322908</v>
          </cell>
          <cell r="F60">
            <v>2320</v>
          </cell>
          <cell r="G60">
            <v>230</v>
          </cell>
        </row>
        <row r="61">
          <cell r="C61" t="str">
            <v>黎巴嫩</v>
          </cell>
          <cell r="D61">
            <v>0</v>
          </cell>
          <cell r="E61">
            <v>276751</v>
          </cell>
          <cell r="F61">
            <v>1270</v>
          </cell>
          <cell r="G61">
            <v>235</v>
          </cell>
        </row>
        <row r="62">
          <cell r="C62" t="str">
            <v>波士尼亞及赫塞哥維納</v>
          </cell>
          <cell r="D62">
            <v>0</v>
          </cell>
          <cell r="E62">
            <v>22124</v>
          </cell>
          <cell r="F62">
            <v>0</v>
          </cell>
          <cell r="G62">
            <v>15</v>
          </cell>
        </row>
        <row r="63">
          <cell r="C63" t="str">
            <v>汶萊</v>
          </cell>
          <cell r="D63">
            <v>0</v>
          </cell>
          <cell r="E63">
            <v>45264</v>
          </cell>
          <cell r="F63">
            <v>0</v>
          </cell>
          <cell r="G63">
            <v>19</v>
          </cell>
        </row>
        <row r="64">
          <cell r="C64" t="str">
            <v>巴拉圭</v>
          </cell>
          <cell r="D64">
            <v>0</v>
          </cell>
          <cell r="E64">
            <v>24883</v>
          </cell>
          <cell r="F64">
            <v>0</v>
          </cell>
          <cell r="G64">
            <v>11</v>
          </cell>
        </row>
      </sheetData>
      <sheetData sheetId="1">
        <row r="2">
          <cell r="B2" t="str">
            <v>總計</v>
          </cell>
        </row>
        <row r="3">
          <cell r="C3" t="str">
            <v>美國</v>
          </cell>
          <cell r="D3">
            <v>0</v>
          </cell>
          <cell r="E3">
            <v>23132620</v>
          </cell>
          <cell r="F3">
            <v>10442</v>
          </cell>
        </row>
        <row r="4">
          <cell r="C4" t="str">
            <v>荷蘭</v>
          </cell>
          <cell r="D4">
            <v>0</v>
          </cell>
          <cell r="E4">
            <v>17265705</v>
          </cell>
          <cell r="F4">
            <v>8392</v>
          </cell>
        </row>
        <row r="5">
          <cell r="C5" t="str">
            <v>英國</v>
          </cell>
          <cell r="D5">
            <v>0</v>
          </cell>
          <cell r="E5">
            <v>4156331</v>
          </cell>
          <cell r="F5">
            <v>2138</v>
          </cell>
        </row>
        <row r="6">
          <cell r="C6" t="str">
            <v>瑞士</v>
          </cell>
          <cell r="D6">
            <v>0</v>
          </cell>
          <cell r="E6">
            <v>2957820</v>
          </cell>
          <cell r="F6">
            <v>1509</v>
          </cell>
        </row>
        <row r="7">
          <cell r="C7" t="str">
            <v>加拿大</v>
          </cell>
          <cell r="D7">
            <v>0</v>
          </cell>
          <cell r="E7">
            <v>2456611</v>
          </cell>
          <cell r="F7">
            <v>938</v>
          </cell>
        </row>
        <row r="8">
          <cell r="C8" t="str">
            <v>澳大利亞</v>
          </cell>
          <cell r="D8">
            <v>0</v>
          </cell>
          <cell r="E8">
            <v>2287181</v>
          </cell>
          <cell r="F8">
            <v>1086</v>
          </cell>
        </row>
        <row r="9">
          <cell r="C9" t="str">
            <v>德國</v>
          </cell>
          <cell r="D9">
            <v>0</v>
          </cell>
          <cell r="E9">
            <v>1632031</v>
          </cell>
          <cell r="F9">
            <v>892</v>
          </cell>
        </row>
        <row r="10">
          <cell r="C10" t="str">
            <v>日本</v>
          </cell>
          <cell r="D10">
            <v>0</v>
          </cell>
          <cell r="E10">
            <v>989262</v>
          </cell>
          <cell r="F10">
            <v>961</v>
          </cell>
        </row>
        <row r="11">
          <cell r="C11" t="str">
            <v>紐西蘭</v>
          </cell>
          <cell r="D11">
            <v>0</v>
          </cell>
          <cell r="E11">
            <v>970982</v>
          </cell>
          <cell r="F11">
            <v>522</v>
          </cell>
        </row>
        <row r="12">
          <cell r="C12" t="str">
            <v>韓國</v>
          </cell>
          <cell r="D12">
            <v>0</v>
          </cell>
          <cell r="E12">
            <v>708907</v>
          </cell>
          <cell r="F12">
            <v>357</v>
          </cell>
        </row>
        <row r="13">
          <cell r="C13" t="str">
            <v>西班牙</v>
          </cell>
          <cell r="D13">
            <v>0</v>
          </cell>
          <cell r="E13">
            <v>495252</v>
          </cell>
          <cell r="F13">
            <v>415</v>
          </cell>
        </row>
        <row r="14">
          <cell r="C14" t="str">
            <v>法國</v>
          </cell>
          <cell r="D14">
            <v>0</v>
          </cell>
          <cell r="E14">
            <v>368746</v>
          </cell>
          <cell r="F14">
            <v>233</v>
          </cell>
        </row>
        <row r="15">
          <cell r="C15" t="str">
            <v>捷克</v>
          </cell>
          <cell r="D15">
            <v>0</v>
          </cell>
          <cell r="E15">
            <v>263128</v>
          </cell>
          <cell r="F15">
            <v>486</v>
          </cell>
        </row>
        <row r="16">
          <cell r="C16" t="str">
            <v>挪威</v>
          </cell>
          <cell r="D16">
            <v>0</v>
          </cell>
          <cell r="E16">
            <v>123526</v>
          </cell>
          <cell r="F16">
            <v>93</v>
          </cell>
        </row>
        <row r="17">
          <cell r="C17" t="str">
            <v>波蘭</v>
          </cell>
          <cell r="D17">
            <v>0</v>
          </cell>
          <cell r="E17">
            <v>112881</v>
          </cell>
          <cell r="F17">
            <v>52</v>
          </cell>
        </row>
        <row r="18">
          <cell r="C18" t="str">
            <v>丹麥</v>
          </cell>
          <cell r="D18">
            <v>0</v>
          </cell>
          <cell r="E18">
            <v>91186</v>
          </cell>
          <cell r="F18">
            <v>43</v>
          </cell>
        </row>
        <row r="19">
          <cell r="C19" t="str">
            <v>義大利</v>
          </cell>
          <cell r="D19">
            <v>0</v>
          </cell>
          <cell r="E19">
            <v>84389</v>
          </cell>
          <cell r="F19">
            <v>71</v>
          </cell>
        </row>
        <row r="20">
          <cell r="C20" t="str">
            <v>波多黎各</v>
          </cell>
          <cell r="D20">
            <v>0</v>
          </cell>
          <cell r="E20">
            <v>77654</v>
          </cell>
          <cell r="F20">
            <v>30</v>
          </cell>
        </row>
        <row r="21">
          <cell r="C21" t="str">
            <v>多明尼加</v>
          </cell>
          <cell r="D21">
            <v>0</v>
          </cell>
          <cell r="E21">
            <v>69863</v>
          </cell>
          <cell r="F21">
            <v>26</v>
          </cell>
        </row>
        <row r="22">
          <cell r="C22" t="str">
            <v>馬來西亞</v>
          </cell>
          <cell r="D22">
            <v>0</v>
          </cell>
          <cell r="E22">
            <v>69149</v>
          </cell>
          <cell r="F22">
            <v>21</v>
          </cell>
        </row>
        <row r="23">
          <cell r="C23" t="str">
            <v>墨西哥</v>
          </cell>
          <cell r="D23">
            <v>0</v>
          </cell>
          <cell r="E23">
            <v>43638</v>
          </cell>
          <cell r="F23">
            <v>15</v>
          </cell>
        </row>
        <row r="24">
          <cell r="C24" t="str">
            <v>厄瓜多</v>
          </cell>
          <cell r="D24">
            <v>0</v>
          </cell>
          <cell r="E24">
            <v>37058</v>
          </cell>
          <cell r="F24">
            <v>12</v>
          </cell>
        </row>
      </sheetData>
      <sheetData sheetId="2">
        <row r="2">
          <cell r="B2" t="str">
            <v>總計</v>
          </cell>
        </row>
        <row r="3">
          <cell r="C3" t="str">
            <v>美國</v>
          </cell>
          <cell r="D3">
            <v>0</v>
          </cell>
          <cell r="E3">
            <v>1428</v>
          </cell>
          <cell r="F3">
            <v>2</v>
          </cell>
        </row>
        <row r="4">
          <cell r="C4" t="str">
            <v>菲律賓</v>
          </cell>
          <cell r="D4">
            <v>0</v>
          </cell>
          <cell r="E4">
            <v>217</v>
          </cell>
          <cell r="F4">
            <v>2</v>
          </cell>
        </row>
        <row r="5">
          <cell r="C5" t="str">
            <v>日本</v>
          </cell>
          <cell r="D5">
            <v>0</v>
          </cell>
          <cell r="E5">
            <v>93</v>
          </cell>
          <cell r="F5">
            <v>1</v>
          </cell>
        </row>
      </sheetData>
      <sheetData sheetId="3">
        <row r="2">
          <cell r="B2" t="str">
            <v>總計</v>
          </cell>
          <cell r="C2" t="str">
            <v>全球</v>
          </cell>
          <cell r="D2">
            <v>0</v>
          </cell>
          <cell r="E2">
            <v>9241505</v>
          </cell>
          <cell r="F2">
            <v>6540001</v>
          </cell>
          <cell r="G2">
            <v>13368</v>
          </cell>
          <cell r="H2">
            <v>9374</v>
          </cell>
        </row>
        <row r="3">
          <cell r="C3" t="str">
            <v>中國大陸</v>
          </cell>
          <cell r="D3">
            <v>0</v>
          </cell>
          <cell r="E3">
            <v>1863319</v>
          </cell>
          <cell r="F3">
            <v>2056250</v>
          </cell>
          <cell r="G3">
            <v>1952</v>
          </cell>
          <cell r="H3">
            <v>3196</v>
          </cell>
        </row>
        <row r="4">
          <cell r="C4" t="str">
            <v>韓國</v>
          </cell>
          <cell r="D4">
            <v>0</v>
          </cell>
          <cell r="E4">
            <v>2978947</v>
          </cell>
          <cell r="F4">
            <v>1773882</v>
          </cell>
          <cell r="G4">
            <v>3204</v>
          </cell>
          <cell r="H4">
            <v>2095</v>
          </cell>
        </row>
        <row r="5">
          <cell r="C5" t="str">
            <v>日本</v>
          </cell>
          <cell r="D5">
            <v>0</v>
          </cell>
          <cell r="E5">
            <v>1249059</v>
          </cell>
          <cell r="F5">
            <v>942176</v>
          </cell>
          <cell r="G5">
            <v>1964</v>
          </cell>
          <cell r="H5">
            <v>1196</v>
          </cell>
        </row>
        <row r="6">
          <cell r="C6" t="str">
            <v>奧地利</v>
          </cell>
          <cell r="D6">
            <v>0</v>
          </cell>
          <cell r="E6">
            <v>892558</v>
          </cell>
          <cell r="F6">
            <v>884253</v>
          </cell>
          <cell r="G6">
            <v>1380</v>
          </cell>
          <cell r="H6">
            <v>1500</v>
          </cell>
        </row>
        <row r="7">
          <cell r="C7" t="str">
            <v>俄羅斯</v>
          </cell>
          <cell r="D7">
            <v>0</v>
          </cell>
          <cell r="E7">
            <v>139662</v>
          </cell>
          <cell r="F7">
            <v>366327</v>
          </cell>
          <cell r="G7">
            <v>440</v>
          </cell>
          <cell r="H7">
            <v>820</v>
          </cell>
        </row>
        <row r="8">
          <cell r="C8" t="str">
            <v>香港</v>
          </cell>
          <cell r="D8">
            <v>0</v>
          </cell>
          <cell r="E8">
            <v>625448</v>
          </cell>
          <cell r="F8">
            <v>308636</v>
          </cell>
          <cell r="G8">
            <v>642</v>
          </cell>
          <cell r="H8">
            <v>310</v>
          </cell>
        </row>
        <row r="9">
          <cell r="C9" t="str">
            <v>義大利</v>
          </cell>
          <cell r="D9">
            <v>0</v>
          </cell>
          <cell r="E9">
            <v>0</v>
          </cell>
          <cell r="F9">
            <v>115083</v>
          </cell>
          <cell r="G9">
            <v>0</v>
          </cell>
          <cell r="H9">
            <v>113</v>
          </cell>
        </row>
        <row r="10">
          <cell r="C10" t="str">
            <v>西班牙</v>
          </cell>
          <cell r="D10">
            <v>0</v>
          </cell>
          <cell r="E10">
            <v>0</v>
          </cell>
          <cell r="F10">
            <v>40131</v>
          </cell>
          <cell r="G10">
            <v>0</v>
          </cell>
          <cell r="H10">
            <v>48</v>
          </cell>
        </row>
        <row r="11">
          <cell r="C11" t="str">
            <v>澳大利亞</v>
          </cell>
          <cell r="D11">
            <v>0</v>
          </cell>
          <cell r="E11">
            <v>43493</v>
          </cell>
          <cell r="F11">
            <v>29985</v>
          </cell>
          <cell r="G11">
            <v>44</v>
          </cell>
          <cell r="H11">
            <v>43</v>
          </cell>
        </row>
        <row r="12">
          <cell r="C12" t="str">
            <v>荷蘭</v>
          </cell>
          <cell r="D12">
            <v>0</v>
          </cell>
          <cell r="E12">
            <v>116902</v>
          </cell>
          <cell r="F12">
            <v>14379</v>
          </cell>
          <cell r="G12">
            <v>329</v>
          </cell>
          <cell r="H12">
            <v>33</v>
          </cell>
        </row>
        <row r="13">
          <cell r="C13" t="str">
            <v>美國</v>
          </cell>
          <cell r="D13">
            <v>0</v>
          </cell>
          <cell r="E13">
            <v>455424</v>
          </cell>
          <cell r="F13">
            <v>4261</v>
          </cell>
          <cell r="G13">
            <v>403</v>
          </cell>
          <cell r="H13">
            <v>5</v>
          </cell>
        </row>
        <row r="14">
          <cell r="C14" t="str">
            <v>菲律賓</v>
          </cell>
          <cell r="D14">
            <v>0</v>
          </cell>
          <cell r="E14">
            <v>8187</v>
          </cell>
          <cell r="F14">
            <v>2204</v>
          </cell>
          <cell r="G14">
            <v>54</v>
          </cell>
          <cell r="H14">
            <v>8</v>
          </cell>
        </row>
        <row r="15">
          <cell r="C15" t="str">
            <v>新加坡</v>
          </cell>
          <cell r="D15">
            <v>0</v>
          </cell>
          <cell r="E15">
            <v>171027</v>
          </cell>
          <cell r="F15">
            <v>1582</v>
          </cell>
          <cell r="G15">
            <v>292</v>
          </cell>
          <cell r="H15">
            <v>1</v>
          </cell>
        </row>
        <row r="16">
          <cell r="C16" t="str">
            <v>加拿大</v>
          </cell>
          <cell r="D16">
            <v>0</v>
          </cell>
          <cell r="E16">
            <v>10164</v>
          </cell>
          <cell r="F16">
            <v>591</v>
          </cell>
          <cell r="G16">
            <v>22</v>
          </cell>
          <cell r="H16">
            <v>1</v>
          </cell>
        </row>
        <row r="17">
          <cell r="C17" t="str">
            <v>泰國</v>
          </cell>
          <cell r="D17">
            <v>0</v>
          </cell>
          <cell r="E17">
            <v>3622</v>
          </cell>
          <cell r="F17">
            <v>261</v>
          </cell>
          <cell r="G17">
            <v>9</v>
          </cell>
          <cell r="H17">
            <v>5</v>
          </cell>
        </row>
        <row r="18">
          <cell r="C18" t="str">
            <v>馬來西亞</v>
          </cell>
          <cell r="D18">
            <v>0</v>
          </cell>
          <cell r="E18">
            <v>99783</v>
          </cell>
          <cell r="F18">
            <v>0</v>
          </cell>
          <cell r="G18">
            <v>78</v>
          </cell>
          <cell r="H18">
            <v>0</v>
          </cell>
        </row>
        <row r="19">
          <cell r="C19" t="str">
            <v>捷克</v>
          </cell>
          <cell r="D19">
            <v>0</v>
          </cell>
          <cell r="E19">
            <v>227800</v>
          </cell>
          <cell r="F19">
            <v>0</v>
          </cell>
          <cell r="G19">
            <v>1150</v>
          </cell>
          <cell r="H19">
            <v>0</v>
          </cell>
        </row>
        <row r="20">
          <cell r="C20" t="str">
            <v>德國</v>
          </cell>
          <cell r="D20">
            <v>0</v>
          </cell>
          <cell r="E20">
            <v>53975</v>
          </cell>
          <cell r="F20">
            <v>0</v>
          </cell>
          <cell r="G20">
            <v>53</v>
          </cell>
          <cell r="H20">
            <v>0</v>
          </cell>
        </row>
        <row r="21">
          <cell r="C21" t="str">
            <v>英國</v>
          </cell>
          <cell r="D21">
            <v>0</v>
          </cell>
          <cell r="E21">
            <v>302135</v>
          </cell>
          <cell r="F21">
            <v>0</v>
          </cell>
          <cell r="G21">
            <v>1352</v>
          </cell>
          <cell r="H21">
            <v>0</v>
          </cell>
        </row>
      </sheetData>
      <sheetData sheetId="4">
        <row r="2">
          <cell r="B2" t="str">
            <v>總計</v>
          </cell>
        </row>
        <row r="3">
          <cell r="C3" t="str">
            <v>美國</v>
          </cell>
          <cell r="D3" t="str">
            <v>United States</v>
          </cell>
          <cell r="E3">
            <v>547874361</v>
          </cell>
          <cell r="F3">
            <v>410020837</v>
          </cell>
          <cell r="G3">
            <v>690641</v>
          </cell>
          <cell r="H3">
            <v>402426</v>
          </cell>
        </row>
        <row r="4">
          <cell r="C4" t="str">
            <v>荷蘭</v>
          </cell>
          <cell r="D4" t="str">
            <v>Netherlands</v>
          </cell>
          <cell r="E4">
            <v>123624173</v>
          </cell>
          <cell r="F4">
            <v>146430778</v>
          </cell>
          <cell r="G4">
            <v>118627</v>
          </cell>
          <cell r="H4">
            <v>106806</v>
          </cell>
        </row>
        <row r="5">
          <cell r="C5" t="str">
            <v>中國大陸</v>
          </cell>
          <cell r="D5" t="str">
            <v>China</v>
          </cell>
          <cell r="E5">
            <v>34279576</v>
          </cell>
          <cell r="F5">
            <v>108068517</v>
          </cell>
          <cell r="G5">
            <v>38634</v>
          </cell>
          <cell r="H5">
            <v>105147</v>
          </cell>
        </row>
        <row r="6">
          <cell r="C6" t="str">
            <v>英國</v>
          </cell>
          <cell r="D6" t="str">
            <v>United Kingdom</v>
          </cell>
          <cell r="E6">
            <v>75794293</v>
          </cell>
          <cell r="F6">
            <v>64592739</v>
          </cell>
          <cell r="G6">
            <v>116468</v>
          </cell>
          <cell r="H6">
            <v>71102</v>
          </cell>
        </row>
        <row r="7">
          <cell r="C7" t="str">
            <v>澳大利亞</v>
          </cell>
          <cell r="D7" t="str">
            <v>Australia</v>
          </cell>
          <cell r="E7">
            <v>76325380</v>
          </cell>
          <cell r="F7">
            <v>56561951</v>
          </cell>
          <cell r="G7">
            <v>79742</v>
          </cell>
          <cell r="H7">
            <v>41478</v>
          </cell>
        </row>
        <row r="8">
          <cell r="C8" t="str">
            <v>德國</v>
          </cell>
          <cell r="D8" t="str">
            <v>Germany</v>
          </cell>
          <cell r="E8">
            <v>27574062</v>
          </cell>
          <cell r="F8">
            <v>49109621</v>
          </cell>
          <cell r="G8">
            <v>72164</v>
          </cell>
          <cell r="H8">
            <v>81162</v>
          </cell>
        </row>
        <row r="9">
          <cell r="C9" t="str">
            <v>加拿大</v>
          </cell>
          <cell r="D9" t="str">
            <v>Canada</v>
          </cell>
          <cell r="E9">
            <v>53766088</v>
          </cell>
          <cell r="F9">
            <v>44631806</v>
          </cell>
          <cell r="G9">
            <v>47332</v>
          </cell>
          <cell r="H9">
            <v>33958</v>
          </cell>
        </row>
        <row r="10">
          <cell r="C10" t="str">
            <v>比利時</v>
          </cell>
          <cell r="D10" t="str">
            <v>Belgium</v>
          </cell>
          <cell r="E10">
            <v>39697351</v>
          </cell>
          <cell r="F10">
            <v>42640458</v>
          </cell>
          <cell r="G10">
            <v>55532</v>
          </cell>
          <cell r="H10">
            <v>30922</v>
          </cell>
        </row>
        <row r="11">
          <cell r="C11" t="str">
            <v>日本</v>
          </cell>
          <cell r="D11" t="str">
            <v>Japan</v>
          </cell>
          <cell r="E11">
            <v>36229178</v>
          </cell>
          <cell r="F11">
            <v>39765571</v>
          </cell>
          <cell r="G11">
            <v>53792</v>
          </cell>
          <cell r="H11">
            <v>50360</v>
          </cell>
        </row>
        <row r="12">
          <cell r="C12" t="str">
            <v>韓國</v>
          </cell>
          <cell r="D12" t="str">
            <v>Republic of Korea</v>
          </cell>
          <cell r="E12">
            <v>39285958</v>
          </cell>
          <cell r="F12">
            <v>34837863</v>
          </cell>
          <cell r="G12">
            <v>31462</v>
          </cell>
          <cell r="H12">
            <v>24777</v>
          </cell>
        </row>
        <row r="13">
          <cell r="C13" t="str">
            <v>法國</v>
          </cell>
          <cell r="D13" t="str">
            <v>France</v>
          </cell>
          <cell r="E13">
            <v>24525629</v>
          </cell>
          <cell r="F13">
            <v>29533251</v>
          </cell>
          <cell r="G13">
            <v>29838</v>
          </cell>
          <cell r="H13">
            <v>34250</v>
          </cell>
        </row>
        <row r="14">
          <cell r="C14" t="str">
            <v>義大利</v>
          </cell>
          <cell r="D14" t="str">
            <v>Italy</v>
          </cell>
          <cell r="E14">
            <v>20148443</v>
          </cell>
          <cell r="F14">
            <v>17645091</v>
          </cell>
          <cell r="G14">
            <v>18964</v>
          </cell>
          <cell r="H14">
            <v>11864</v>
          </cell>
        </row>
        <row r="15">
          <cell r="C15" t="str">
            <v>瑞士</v>
          </cell>
          <cell r="D15" t="str">
            <v>Switzerland</v>
          </cell>
          <cell r="E15">
            <v>28378884</v>
          </cell>
          <cell r="F15">
            <v>14465439</v>
          </cell>
          <cell r="G15">
            <v>18163</v>
          </cell>
          <cell r="H15">
            <v>11862</v>
          </cell>
        </row>
        <row r="16">
          <cell r="C16" t="str">
            <v>西班牙</v>
          </cell>
          <cell r="D16" t="str">
            <v>Spain</v>
          </cell>
          <cell r="E16">
            <v>4677263</v>
          </cell>
          <cell r="F16">
            <v>11834509</v>
          </cell>
          <cell r="G16">
            <v>10514</v>
          </cell>
          <cell r="H16">
            <v>10238</v>
          </cell>
        </row>
        <row r="17">
          <cell r="C17" t="str">
            <v>紐西蘭</v>
          </cell>
          <cell r="D17" t="str">
            <v>New Zealand</v>
          </cell>
          <cell r="E17">
            <v>21576375</v>
          </cell>
          <cell r="F17">
            <v>11138743</v>
          </cell>
          <cell r="G17">
            <v>18826</v>
          </cell>
          <cell r="H17">
            <v>8455</v>
          </cell>
        </row>
        <row r="18">
          <cell r="C18" t="str">
            <v>墨西哥</v>
          </cell>
          <cell r="D18" t="str">
            <v>Mexico</v>
          </cell>
          <cell r="E18">
            <v>12421960</v>
          </cell>
          <cell r="F18">
            <v>10717887</v>
          </cell>
          <cell r="G18">
            <v>16375</v>
          </cell>
          <cell r="H18">
            <v>7974</v>
          </cell>
        </row>
        <row r="19">
          <cell r="C19" t="str">
            <v>巴拿馬</v>
          </cell>
          <cell r="D19" t="str">
            <v>Panama</v>
          </cell>
          <cell r="E19">
            <v>6254932</v>
          </cell>
          <cell r="F19">
            <v>9434557</v>
          </cell>
          <cell r="G19">
            <v>3773</v>
          </cell>
          <cell r="H19">
            <v>4177</v>
          </cell>
        </row>
        <row r="20">
          <cell r="C20" t="str">
            <v>挪威</v>
          </cell>
          <cell r="D20" t="str">
            <v>Norway</v>
          </cell>
          <cell r="E20">
            <v>7972931</v>
          </cell>
          <cell r="F20">
            <v>9207775</v>
          </cell>
          <cell r="G20">
            <v>16729</v>
          </cell>
          <cell r="H20">
            <v>19147</v>
          </cell>
        </row>
        <row r="21">
          <cell r="C21" t="str">
            <v>南非</v>
          </cell>
          <cell r="D21" t="str">
            <v>South Africa</v>
          </cell>
          <cell r="E21">
            <v>8643879</v>
          </cell>
          <cell r="F21">
            <v>7725091</v>
          </cell>
          <cell r="G21">
            <v>5472</v>
          </cell>
          <cell r="H21">
            <v>3865</v>
          </cell>
        </row>
        <row r="22">
          <cell r="C22" t="str">
            <v>波蘭</v>
          </cell>
          <cell r="D22" t="str">
            <v>Poland</v>
          </cell>
          <cell r="E22">
            <v>8910307</v>
          </cell>
          <cell r="F22">
            <v>7400739</v>
          </cell>
          <cell r="G22">
            <v>26537</v>
          </cell>
          <cell r="H22">
            <v>12246</v>
          </cell>
        </row>
        <row r="23">
          <cell r="C23" t="str">
            <v>新加坡</v>
          </cell>
          <cell r="D23" t="str">
            <v>Singapore</v>
          </cell>
          <cell r="E23">
            <v>9954929</v>
          </cell>
          <cell r="F23">
            <v>6065447</v>
          </cell>
          <cell r="G23">
            <v>7340</v>
          </cell>
          <cell r="H23">
            <v>3567</v>
          </cell>
        </row>
        <row r="24">
          <cell r="C24" t="str">
            <v>巴西</v>
          </cell>
          <cell r="D24" t="str">
            <v>Brazil</v>
          </cell>
          <cell r="E24">
            <v>5723476</v>
          </cell>
          <cell r="F24">
            <v>5253517</v>
          </cell>
          <cell r="G24">
            <v>4088</v>
          </cell>
          <cell r="H24">
            <v>3465</v>
          </cell>
        </row>
        <row r="25">
          <cell r="C25" t="str">
            <v>丹麥</v>
          </cell>
          <cell r="D25" t="str">
            <v>Denmark</v>
          </cell>
          <cell r="E25">
            <v>6776457</v>
          </cell>
          <cell r="F25">
            <v>5121594</v>
          </cell>
          <cell r="G25">
            <v>21491</v>
          </cell>
          <cell r="H25">
            <v>14297</v>
          </cell>
        </row>
        <row r="26">
          <cell r="C26" t="str">
            <v>哥倫比亞</v>
          </cell>
          <cell r="D26" t="str">
            <v>Colombia</v>
          </cell>
          <cell r="E26">
            <v>10696399</v>
          </cell>
          <cell r="F26">
            <v>5093233</v>
          </cell>
          <cell r="G26">
            <v>7515</v>
          </cell>
          <cell r="H26">
            <v>3139</v>
          </cell>
        </row>
        <row r="27">
          <cell r="C27" t="str">
            <v>瑞典</v>
          </cell>
          <cell r="D27" t="str">
            <v>Sweden</v>
          </cell>
          <cell r="E27">
            <v>7185210</v>
          </cell>
          <cell r="F27">
            <v>4660471</v>
          </cell>
          <cell r="G27">
            <v>32821</v>
          </cell>
          <cell r="H27">
            <v>21098</v>
          </cell>
        </row>
        <row r="28">
          <cell r="C28" t="str">
            <v>以色列</v>
          </cell>
          <cell r="D28" t="str">
            <v>Israel</v>
          </cell>
          <cell r="E28">
            <v>5595657</v>
          </cell>
          <cell r="F28">
            <v>4643062</v>
          </cell>
          <cell r="G28">
            <v>4894</v>
          </cell>
          <cell r="H28">
            <v>3763</v>
          </cell>
        </row>
        <row r="29">
          <cell r="C29" t="str">
            <v>香港</v>
          </cell>
          <cell r="D29" t="str">
            <v>Hong Kong</v>
          </cell>
          <cell r="E29">
            <v>5817894</v>
          </cell>
          <cell r="F29">
            <v>4262172</v>
          </cell>
          <cell r="G29">
            <v>6946</v>
          </cell>
          <cell r="H29">
            <v>4084</v>
          </cell>
        </row>
        <row r="30">
          <cell r="C30" t="str">
            <v>馬來西亞</v>
          </cell>
          <cell r="D30" t="str">
            <v>Malaysia</v>
          </cell>
          <cell r="E30">
            <v>6927099</v>
          </cell>
          <cell r="F30">
            <v>4219477</v>
          </cell>
          <cell r="G30">
            <v>4524</v>
          </cell>
          <cell r="H30">
            <v>2160</v>
          </cell>
        </row>
        <row r="31">
          <cell r="C31" t="str">
            <v>智利</v>
          </cell>
          <cell r="D31" t="str">
            <v>Chile</v>
          </cell>
          <cell r="E31">
            <v>9582944</v>
          </cell>
          <cell r="F31">
            <v>3928333</v>
          </cell>
          <cell r="G31">
            <v>9919</v>
          </cell>
          <cell r="H31">
            <v>2565</v>
          </cell>
        </row>
        <row r="32">
          <cell r="C32" t="str">
            <v>捷克</v>
          </cell>
          <cell r="D32" t="str">
            <v>Czech Republic</v>
          </cell>
          <cell r="E32">
            <v>4814120</v>
          </cell>
          <cell r="F32">
            <v>3625352</v>
          </cell>
          <cell r="G32">
            <v>17054</v>
          </cell>
          <cell r="H32">
            <v>7336</v>
          </cell>
        </row>
        <row r="33">
          <cell r="C33" t="str">
            <v>菲律賓</v>
          </cell>
          <cell r="D33" t="str">
            <v>Philippines</v>
          </cell>
          <cell r="E33">
            <v>3298297</v>
          </cell>
          <cell r="F33">
            <v>2276235</v>
          </cell>
          <cell r="G33">
            <v>3947</v>
          </cell>
          <cell r="H33">
            <v>3024</v>
          </cell>
        </row>
        <row r="34">
          <cell r="C34" t="str">
            <v>俄羅斯</v>
          </cell>
          <cell r="D34" t="str">
            <v>Russian Federation</v>
          </cell>
          <cell r="E34">
            <v>1298227</v>
          </cell>
          <cell r="F34">
            <v>2253138</v>
          </cell>
          <cell r="G34">
            <v>4688</v>
          </cell>
          <cell r="H34">
            <v>4747</v>
          </cell>
        </row>
        <row r="35">
          <cell r="C35" t="str">
            <v>阿拉伯聯合大公國</v>
          </cell>
          <cell r="D35" t="str">
            <v>United Arab Emirates</v>
          </cell>
          <cell r="E35">
            <v>3376499</v>
          </cell>
          <cell r="F35">
            <v>2161286</v>
          </cell>
          <cell r="G35">
            <v>2665</v>
          </cell>
          <cell r="H35">
            <v>2086</v>
          </cell>
        </row>
        <row r="36">
          <cell r="C36" t="str">
            <v>泰國</v>
          </cell>
          <cell r="D36" t="str">
            <v>Thailand</v>
          </cell>
          <cell r="E36">
            <v>5590087</v>
          </cell>
          <cell r="F36">
            <v>2101850</v>
          </cell>
          <cell r="G36">
            <v>4219</v>
          </cell>
          <cell r="H36">
            <v>1846</v>
          </cell>
        </row>
        <row r="37">
          <cell r="C37" t="str">
            <v>哥斯大黎加</v>
          </cell>
          <cell r="D37" t="str">
            <v>Costa Rica</v>
          </cell>
          <cell r="E37">
            <v>3263935</v>
          </cell>
          <cell r="F37">
            <v>2043942</v>
          </cell>
          <cell r="G37">
            <v>2406</v>
          </cell>
          <cell r="H37">
            <v>1623</v>
          </cell>
        </row>
        <row r="38">
          <cell r="C38" t="str">
            <v>印度</v>
          </cell>
          <cell r="D38" t="str">
            <v>India</v>
          </cell>
          <cell r="E38">
            <v>1553638</v>
          </cell>
          <cell r="F38">
            <v>1678570</v>
          </cell>
          <cell r="G38">
            <v>1977</v>
          </cell>
          <cell r="H38">
            <v>2014</v>
          </cell>
        </row>
        <row r="39">
          <cell r="C39" t="str">
            <v>秘魯</v>
          </cell>
          <cell r="D39" t="str">
            <v>Peru</v>
          </cell>
          <cell r="E39">
            <v>1432201</v>
          </cell>
          <cell r="F39">
            <v>1475654</v>
          </cell>
          <cell r="G39">
            <v>1186</v>
          </cell>
          <cell r="H39">
            <v>755</v>
          </cell>
        </row>
        <row r="40">
          <cell r="C40" t="str">
            <v>斯洛維尼亞</v>
          </cell>
          <cell r="D40" t="str">
            <v>Slovenia</v>
          </cell>
          <cell r="E40">
            <v>732932</v>
          </cell>
          <cell r="F40">
            <v>1389730</v>
          </cell>
          <cell r="G40">
            <v>2204</v>
          </cell>
          <cell r="H40">
            <v>1279</v>
          </cell>
        </row>
        <row r="41">
          <cell r="C41" t="str">
            <v>厄瓜多</v>
          </cell>
          <cell r="D41" t="str">
            <v>Ecuador</v>
          </cell>
          <cell r="E41">
            <v>3026233</v>
          </cell>
          <cell r="F41">
            <v>1205997</v>
          </cell>
          <cell r="G41">
            <v>2223</v>
          </cell>
          <cell r="H41">
            <v>970</v>
          </cell>
        </row>
        <row r="42">
          <cell r="C42" t="str">
            <v>奧地利</v>
          </cell>
          <cell r="D42" t="str">
            <v>Austria</v>
          </cell>
          <cell r="E42">
            <v>1735748</v>
          </cell>
          <cell r="F42">
            <v>1159739</v>
          </cell>
          <cell r="G42">
            <v>4254</v>
          </cell>
          <cell r="H42">
            <v>1650</v>
          </cell>
        </row>
        <row r="43">
          <cell r="C43" t="str">
            <v>阿根廷</v>
          </cell>
          <cell r="D43" t="str">
            <v>Argentina</v>
          </cell>
          <cell r="E43">
            <v>1783508</v>
          </cell>
          <cell r="F43">
            <v>1091590</v>
          </cell>
          <cell r="G43">
            <v>2410</v>
          </cell>
          <cell r="H43">
            <v>659</v>
          </cell>
        </row>
        <row r="44">
          <cell r="C44" t="str">
            <v>芬蘭</v>
          </cell>
          <cell r="D44" t="str">
            <v>Finland</v>
          </cell>
          <cell r="E44">
            <v>1182825</v>
          </cell>
          <cell r="F44">
            <v>1070806</v>
          </cell>
          <cell r="G44">
            <v>2792</v>
          </cell>
          <cell r="H44">
            <v>1936</v>
          </cell>
        </row>
        <row r="45">
          <cell r="C45" t="str">
            <v>瓜地馬拉</v>
          </cell>
          <cell r="D45" t="str">
            <v>Guatemala</v>
          </cell>
          <cell r="E45">
            <v>1024165</v>
          </cell>
          <cell r="F45">
            <v>999062</v>
          </cell>
          <cell r="G45">
            <v>775</v>
          </cell>
          <cell r="H45">
            <v>748</v>
          </cell>
        </row>
        <row r="46">
          <cell r="C46" t="str">
            <v>印尼</v>
          </cell>
          <cell r="D46" t="str">
            <v>Indonesia</v>
          </cell>
          <cell r="E46">
            <v>2147199</v>
          </cell>
          <cell r="F46">
            <v>849307</v>
          </cell>
          <cell r="G46">
            <v>1745</v>
          </cell>
          <cell r="H46">
            <v>436</v>
          </cell>
        </row>
        <row r="47">
          <cell r="C47" t="str">
            <v>匈牙利</v>
          </cell>
          <cell r="D47" t="str">
            <v>Hungary</v>
          </cell>
          <cell r="E47">
            <v>927903</v>
          </cell>
          <cell r="F47">
            <v>738884</v>
          </cell>
          <cell r="G47">
            <v>5631</v>
          </cell>
          <cell r="H47">
            <v>1598</v>
          </cell>
        </row>
        <row r="48">
          <cell r="C48" t="str">
            <v>越南</v>
          </cell>
          <cell r="D48" t="str">
            <v>Viet Nam</v>
          </cell>
          <cell r="E48">
            <v>1608558</v>
          </cell>
          <cell r="F48">
            <v>730168</v>
          </cell>
          <cell r="G48">
            <v>961</v>
          </cell>
          <cell r="H48">
            <v>465</v>
          </cell>
        </row>
        <row r="49">
          <cell r="C49" t="str">
            <v>愛沙尼亞</v>
          </cell>
          <cell r="D49" t="str">
            <v>Estonia</v>
          </cell>
          <cell r="E49">
            <v>370578</v>
          </cell>
          <cell r="F49">
            <v>527674</v>
          </cell>
          <cell r="G49">
            <v>1521</v>
          </cell>
          <cell r="H49">
            <v>1147</v>
          </cell>
        </row>
        <row r="50">
          <cell r="C50" t="str">
            <v>希臘</v>
          </cell>
          <cell r="D50" t="str">
            <v>Greece</v>
          </cell>
          <cell r="E50">
            <v>556897</v>
          </cell>
          <cell r="F50">
            <v>445459</v>
          </cell>
          <cell r="G50">
            <v>3696</v>
          </cell>
          <cell r="H50">
            <v>1895</v>
          </cell>
        </row>
        <row r="51">
          <cell r="C51" t="str">
            <v>盧森堡</v>
          </cell>
          <cell r="D51" t="str">
            <v>Luxembourg</v>
          </cell>
          <cell r="E51">
            <v>435469</v>
          </cell>
          <cell r="F51">
            <v>388156</v>
          </cell>
          <cell r="G51">
            <v>177</v>
          </cell>
          <cell r="H51">
            <v>148</v>
          </cell>
        </row>
        <row r="52">
          <cell r="C52" t="str">
            <v>烏拉圭</v>
          </cell>
          <cell r="D52" t="str">
            <v>Uruguay</v>
          </cell>
          <cell r="E52">
            <v>503081</v>
          </cell>
          <cell r="F52">
            <v>385233</v>
          </cell>
          <cell r="G52">
            <v>581</v>
          </cell>
          <cell r="H52">
            <v>302</v>
          </cell>
        </row>
        <row r="53">
          <cell r="C53" t="str">
            <v>關島</v>
          </cell>
          <cell r="D53" t="str">
            <v>Guam</v>
          </cell>
          <cell r="E53">
            <v>932642</v>
          </cell>
          <cell r="F53">
            <v>384168</v>
          </cell>
          <cell r="G53">
            <v>438</v>
          </cell>
          <cell r="H53">
            <v>169</v>
          </cell>
        </row>
        <row r="54">
          <cell r="C54" t="str">
            <v>多明尼加</v>
          </cell>
          <cell r="D54" t="str">
            <v>Dominican Republic</v>
          </cell>
          <cell r="E54">
            <v>341092</v>
          </cell>
          <cell r="F54">
            <v>320674</v>
          </cell>
          <cell r="G54">
            <v>292</v>
          </cell>
          <cell r="H54">
            <v>209</v>
          </cell>
        </row>
        <row r="55">
          <cell r="C55" t="str">
            <v>巴拉圭</v>
          </cell>
          <cell r="D55" t="str">
            <v>Paraguay</v>
          </cell>
          <cell r="E55">
            <v>106762</v>
          </cell>
          <cell r="F55">
            <v>259714</v>
          </cell>
          <cell r="G55">
            <v>77</v>
          </cell>
          <cell r="H55">
            <v>164</v>
          </cell>
        </row>
        <row r="56">
          <cell r="C56" t="str">
            <v>薩爾瓦多</v>
          </cell>
          <cell r="D56" t="str">
            <v>El Salvador</v>
          </cell>
          <cell r="E56">
            <v>416536</v>
          </cell>
          <cell r="F56">
            <v>255138</v>
          </cell>
          <cell r="G56">
            <v>456</v>
          </cell>
          <cell r="H56">
            <v>226</v>
          </cell>
        </row>
        <row r="57">
          <cell r="C57" t="str">
            <v>哈薩克</v>
          </cell>
          <cell r="D57" t="str">
            <v>Kazakhstan</v>
          </cell>
          <cell r="E57">
            <v>387599</v>
          </cell>
          <cell r="F57">
            <v>237072</v>
          </cell>
          <cell r="G57">
            <v>465</v>
          </cell>
          <cell r="H57">
            <v>290</v>
          </cell>
        </row>
        <row r="58">
          <cell r="C58" t="str">
            <v>波多黎各</v>
          </cell>
          <cell r="D58" t="str">
            <v>Puerto Rico</v>
          </cell>
          <cell r="E58">
            <v>115469</v>
          </cell>
          <cell r="F58">
            <v>221461</v>
          </cell>
          <cell r="G58">
            <v>96</v>
          </cell>
          <cell r="H58">
            <v>296</v>
          </cell>
        </row>
        <row r="59">
          <cell r="C59" t="str">
            <v>葡萄牙</v>
          </cell>
          <cell r="D59" t="str">
            <v>Portugal</v>
          </cell>
          <cell r="E59">
            <v>54691</v>
          </cell>
          <cell r="F59">
            <v>175126</v>
          </cell>
          <cell r="G59">
            <v>24</v>
          </cell>
          <cell r="H59">
            <v>85</v>
          </cell>
        </row>
        <row r="60">
          <cell r="C60" t="str">
            <v>立陶宛</v>
          </cell>
          <cell r="D60" t="str">
            <v>Lithuania</v>
          </cell>
          <cell r="E60">
            <v>261981</v>
          </cell>
          <cell r="F60">
            <v>165765</v>
          </cell>
          <cell r="G60">
            <v>1009</v>
          </cell>
          <cell r="H60">
            <v>409</v>
          </cell>
        </row>
        <row r="61">
          <cell r="C61" t="str">
            <v>克羅埃西亞</v>
          </cell>
          <cell r="D61" t="str">
            <v>Croatia</v>
          </cell>
          <cell r="E61">
            <v>219725</v>
          </cell>
          <cell r="F61">
            <v>148696</v>
          </cell>
          <cell r="G61">
            <v>1015</v>
          </cell>
          <cell r="H61">
            <v>578</v>
          </cell>
        </row>
        <row r="62">
          <cell r="C62" t="str">
            <v>委內瑞拉</v>
          </cell>
          <cell r="D62" t="str">
            <v>Venezuela</v>
          </cell>
          <cell r="E62">
            <v>85071</v>
          </cell>
          <cell r="F62">
            <v>128634</v>
          </cell>
          <cell r="G62">
            <v>246</v>
          </cell>
          <cell r="H62">
            <v>57</v>
          </cell>
        </row>
        <row r="63">
          <cell r="C63" t="str">
            <v>黎巴嫩</v>
          </cell>
          <cell r="D63" t="str">
            <v>Lebanon</v>
          </cell>
          <cell r="E63">
            <v>45217</v>
          </cell>
          <cell r="F63">
            <v>116762</v>
          </cell>
          <cell r="G63">
            <v>32</v>
          </cell>
          <cell r="H63">
            <v>87</v>
          </cell>
        </row>
        <row r="64">
          <cell r="C64" t="str">
            <v>拉脫維亞</v>
          </cell>
          <cell r="D64" t="str">
            <v>Latvia</v>
          </cell>
          <cell r="E64">
            <v>518142</v>
          </cell>
          <cell r="F64">
            <v>114645</v>
          </cell>
          <cell r="G64">
            <v>2067</v>
          </cell>
          <cell r="H64">
            <v>427</v>
          </cell>
        </row>
        <row r="65">
          <cell r="C65" t="str">
            <v>冰島</v>
          </cell>
          <cell r="D65" t="str">
            <v>Iceland</v>
          </cell>
          <cell r="E65">
            <v>62400</v>
          </cell>
          <cell r="F65">
            <v>106525</v>
          </cell>
          <cell r="G65">
            <v>55</v>
          </cell>
          <cell r="H65">
            <v>220</v>
          </cell>
        </row>
        <row r="66">
          <cell r="C66" t="str">
            <v>卡達</v>
          </cell>
          <cell r="D66" t="str">
            <v>Qatar</v>
          </cell>
          <cell r="E66">
            <v>153234</v>
          </cell>
          <cell r="F66">
            <v>105263</v>
          </cell>
          <cell r="G66">
            <v>149</v>
          </cell>
          <cell r="H66">
            <v>103</v>
          </cell>
        </row>
        <row r="67">
          <cell r="C67" t="str">
            <v>模里西斯</v>
          </cell>
          <cell r="D67" t="str">
            <v>Mauritius</v>
          </cell>
          <cell r="E67">
            <v>37366</v>
          </cell>
          <cell r="F67">
            <v>95908</v>
          </cell>
          <cell r="G67">
            <v>56</v>
          </cell>
          <cell r="H67">
            <v>46</v>
          </cell>
        </row>
        <row r="68">
          <cell r="C68" t="str">
            <v>沙烏地阿拉伯</v>
          </cell>
          <cell r="D68" t="str">
            <v>Saudi Arabia</v>
          </cell>
          <cell r="E68">
            <v>304636</v>
          </cell>
          <cell r="F68">
            <v>69265</v>
          </cell>
          <cell r="G68">
            <v>612</v>
          </cell>
          <cell r="H68">
            <v>51</v>
          </cell>
        </row>
        <row r="69">
          <cell r="C69" t="str">
            <v>蒙古</v>
          </cell>
          <cell r="D69" t="str">
            <v>Mongolia</v>
          </cell>
          <cell r="E69">
            <v>0</v>
          </cell>
          <cell r="F69">
            <v>67418</v>
          </cell>
          <cell r="G69">
            <v>0</v>
          </cell>
          <cell r="H69">
            <v>61</v>
          </cell>
        </row>
        <row r="70">
          <cell r="C70" t="str">
            <v>留尼旺</v>
          </cell>
          <cell r="D70" t="str">
            <v>Reunion</v>
          </cell>
          <cell r="E70">
            <v>365002</v>
          </cell>
          <cell r="F70">
            <v>62772</v>
          </cell>
          <cell r="G70">
            <v>375</v>
          </cell>
          <cell r="H70">
            <v>39</v>
          </cell>
        </row>
        <row r="71">
          <cell r="C71" t="str">
            <v>保加利亞</v>
          </cell>
          <cell r="D71" t="str">
            <v>Bulgaria</v>
          </cell>
          <cell r="E71">
            <v>71607</v>
          </cell>
          <cell r="F71">
            <v>61429</v>
          </cell>
          <cell r="G71">
            <v>390</v>
          </cell>
          <cell r="H71">
            <v>395</v>
          </cell>
        </row>
        <row r="72">
          <cell r="C72" t="str">
            <v>法屬玻里尼西亞</v>
          </cell>
          <cell r="D72" t="str">
            <v>French Polynesia</v>
          </cell>
          <cell r="E72">
            <v>6699</v>
          </cell>
          <cell r="F72">
            <v>60689</v>
          </cell>
          <cell r="G72">
            <v>10</v>
          </cell>
          <cell r="H72">
            <v>274</v>
          </cell>
        </row>
        <row r="73">
          <cell r="C73" t="str">
            <v>土耳其</v>
          </cell>
          <cell r="D73" t="str">
            <v>Turkiye</v>
          </cell>
          <cell r="E73">
            <v>450743</v>
          </cell>
          <cell r="F73">
            <v>53066</v>
          </cell>
          <cell r="G73">
            <v>312</v>
          </cell>
          <cell r="H73">
            <v>33</v>
          </cell>
        </row>
        <row r="74">
          <cell r="C74" t="str">
            <v>烏克蘭</v>
          </cell>
          <cell r="D74" t="str">
            <v>Ukraine</v>
          </cell>
          <cell r="E74">
            <v>48470</v>
          </cell>
          <cell r="F74">
            <v>44021</v>
          </cell>
          <cell r="G74">
            <v>223</v>
          </cell>
          <cell r="H74">
            <v>119</v>
          </cell>
        </row>
        <row r="75">
          <cell r="C75" t="str">
            <v>賽普勒斯</v>
          </cell>
          <cell r="D75" t="str">
            <v>Cyprus</v>
          </cell>
          <cell r="E75">
            <v>138272</v>
          </cell>
          <cell r="F75">
            <v>33789</v>
          </cell>
          <cell r="G75">
            <v>755</v>
          </cell>
          <cell r="H75">
            <v>210</v>
          </cell>
        </row>
        <row r="76">
          <cell r="C76" t="str">
            <v>白俄羅斯</v>
          </cell>
          <cell r="D76" t="str">
            <v>Belarus</v>
          </cell>
          <cell r="E76">
            <v>0</v>
          </cell>
          <cell r="F76">
            <v>24874</v>
          </cell>
          <cell r="G76">
            <v>0</v>
          </cell>
          <cell r="H76">
            <v>120</v>
          </cell>
        </row>
        <row r="77">
          <cell r="C77" t="str">
            <v>北馬里亞納群島</v>
          </cell>
          <cell r="D77" t="str">
            <v>Northern Mariana Islands</v>
          </cell>
          <cell r="E77">
            <v>0</v>
          </cell>
          <cell r="F77">
            <v>24830</v>
          </cell>
          <cell r="G77">
            <v>0</v>
          </cell>
          <cell r="H77">
            <v>44</v>
          </cell>
        </row>
        <row r="78">
          <cell r="C78" t="str">
            <v>巴基斯坦</v>
          </cell>
          <cell r="D78" t="str">
            <v>Pakistan</v>
          </cell>
          <cell r="E78">
            <v>0</v>
          </cell>
          <cell r="F78">
            <v>18496</v>
          </cell>
          <cell r="G78">
            <v>0</v>
          </cell>
          <cell r="H78">
            <v>12</v>
          </cell>
        </row>
        <row r="79">
          <cell r="C79" t="str">
            <v>東加</v>
          </cell>
          <cell r="D79" t="str">
            <v>Tonga</v>
          </cell>
          <cell r="E79">
            <v>2176</v>
          </cell>
          <cell r="F79">
            <v>18294</v>
          </cell>
          <cell r="G79">
            <v>20</v>
          </cell>
          <cell r="H79">
            <v>160</v>
          </cell>
        </row>
        <row r="80">
          <cell r="C80" t="str">
            <v>尼泊爾</v>
          </cell>
          <cell r="D80" t="str">
            <v>Nepal</v>
          </cell>
          <cell r="E80">
            <v>276664</v>
          </cell>
          <cell r="F80">
            <v>15555</v>
          </cell>
          <cell r="G80">
            <v>197</v>
          </cell>
          <cell r="H80">
            <v>13</v>
          </cell>
        </row>
        <row r="81">
          <cell r="C81" t="str">
            <v>巴林</v>
          </cell>
          <cell r="D81" t="str">
            <v>Bahrain</v>
          </cell>
          <cell r="E81">
            <v>57936</v>
          </cell>
          <cell r="F81">
            <v>15239</v>
          </cell>
          <cell r="G81">
            <v>50</v>
          </cell>
          <cell r="H81">
            <v>20</v>
          </cell>
        </row>
        <row r="82">
          <cell r="C82" t="str">
            <v>汶萊</v>
          </cell>
          <cell r="D82" t="str">
            <v>Brunei Darussalam</v>
          </cell>
          <cell r="E82">
            <v>25774</v>
          </cell>
          <cell r="F82">
            <v>15140</v>
          </cell>
          <cell r="G82">
            <v>18</v>
          </cell>
          <cell r="H82">
            <v>10</v>
          </cell>
        </row>
        <row r="83">
          <cell r="C83" t="str">
            <v>馬紹爾群島共和國</v>
          </cell>
          <cell r="D83" t="str">
            <v>Marshall Islands</v>
          </cell>
          <cell r="E83">
            <v>324</v>
          </cell>
          <cell r="F83">
            <v>10177</v>
          </cell>
          <cell r="G83">
            <v>2</v>
          </cell>
          <cell r="H83">
            <v>70</v>
          </cell>
        </row>
        <row r="84">
          <cell r="C84" t="str">
            <v>肯亞</v>
          </cell>
          <cell r="D84" t="str">
            <v>Kenya</v>
          </cell>
          <cell r="E84">
            <v>123295</v>
          </cell>
          <cell r="F84">
            <v>8076</v>
          </cell>
          <cell r="G84">
            <v>96</v>
          </cell>
          <cell r="H84">
            <v>3</v>
          </cell>
        </row>
        <row r="85">
          <cell r="C85" t="str">
            <v>羅馬尼亞</v>
          </cell>
          <cell r="D85" t="str">
            <v>Romania</v>
          </cell>
          <cell r="E85">
            <v>16956</v>
          </cell>
          <cell r="F85">
            <v>6811</v>
          </cell>
          <cell r="G85">
            <v>142</v>
          </cell>
          <cell r="H85">
            <v>53</v>
          </cell>
        </row>
        <row r="86">
          <cell r="C86" t="str">
            <v>新克里多亞</v>
          </cell>
          <cell r="D86" t="str">
            <v>New Caledonia</v>
          </cell>
          <cell r="E86">
            <v>3721</v>
          </cell>
          <cell r="F86">
            <v>6438</v>
          </cell>
          <cell r="G86">
            <v>2</v>
          </cell>
          <cell r="H86">
            <v>2</v>
          </cell>
        </row>
        <row r="87">
          <cell r="C87" t="str">
            <v>斯洛伐克</v>
          </cell>
          <cell r="D87" t="str">
            <v>Slovakia</v>
          </cell>
          <cell r="E87">
            <v>77364</v>
          </cell>
          <cell r="F87">
            <v>6219</v>
          </cell>
          <cell r="G87">
            <v>470</v>
          </cell>
          <cell r="H87">
            <v>50</v>
          </cell>
        </row>
        <row r="88">
          <cell r="C88" t="str">
            <v>尼加拉瓜</v>
          </cell>
          <cell r="D88" t="str">
            <v>Nicaragua</v>
          </cell>
          <cell r="E88">
            <v>0</v>
          </cell>
          <cell r="F88">
            <v>5430</v>
          </cell>
          <cell r="G88">
            <v>0</v>
          </cell>
          <cell r="H88">
            <v>2</v>
          </cell>
        </row>
        <row r="89">
          <cell r="C89" t="str">
            <v>馬爾他</v>
          </cell>
          <cell r="D89" t="str">
            <v>Malta</v>
          </cell>
          <cell r="E89">
            <v>9005</v>
          </cell>
          <cell r="F89">
            <v>4265</v>
          </cell>
          <cell r="G89">
            <v>52</v>
          </cell>
          <cell r="H89">
            <v>22</v>
          </cell>
        </row>
        <row r="90">
          <cell r="C90" t="str">
            <v>多哥</v>
          </cell>
          <cell r="D90" t="str">
            <v>Togo</v>
          </cell>
          <cell r="E90">
            <v>0</v>
          </cell>
          <cell r="F90">
            <v>1290</v>
          </cell>
          <cell r="G90">
            <v>0</v>
          </cell>
          <cell r="H90">
            <v>165</v>
          </cell>
        </row>
        <row r="91">
          <cell r="C91" t="str">
            <v>柬埔寨</v>
          </cell>
          <cell r="D91" t="str">
            <v>Cambodia</v>
          </cell>
          <cell r="E91">
            <v>0</v>
          </cell>
          <cell r="F91">
            <v>579</v>
          </cell>
          <cell r="G91">
            <v>0</v>
          </cell>
          <cell r="H91">
            <v>2</v>
          </cell>
        </row>
        <row r="92">
          <cell r="C92" t="str">
            <v>聖克里斯多福</v>
          </cell>
          <cell r="D92" t="str">
            <v>Saint Kitts and Nevis</v>
          </cell>
          <cell r="E92">
            <v>0</v>
          </cell>
          <cell r="F92">
            <v>289</v>
          </cell>
          <cell r="G92">
            <v>0</v>
          </cell>
          <cell r="H92">
            <v>50</v>
          </cell>
        </row>
        <row r="93">
          <cell r="C93" t="str">
            <v>斯里蘭卡</v>
          </cell>
          <cell r="D93" t="str">
            <v>Sri Lanka</v>
          </cell>
          <cell r="E93">
            <v>1206</v>
          </cell>
          <cell r="F93">
            <v>124</v>
          </cell>
          <cell r="G93">
            <v>1</v>
          </cell>
          <cell r="H93">
            <v>20</v>
          </cell>
        </row>
        <row r="94">
          <cell r="C94" t="str">
            <v>貝南</v>
          </cell>
          <cell r="D94" t="str">
            <v>Benin</v>
          </cell>
          <cell r="E94">
            <v>0</v>
          </cell>
          <cell r="F94">
            <v>98</v>
          </cell>
          <cell r="G94">
            <v>0</v>
          </cell>
          <cell r="H94">
            <v>30</v>
          </cell>
        </row>
        <row r="95">
          <cell r="C95" t="str">
            <v>利比亞</v>
          </cell>
          <cell r="D95" t="str">
            <v>Libya</v>
          </cell>
          <cell r="E95">
            <v>0</v>
          </cell>
          <cell r="F95">
            <v>94</v>
          </cell>
          <cell r="G95">
            <v>0</v>
          </cell>
          <cell r="H95">
            <v>18</v>
          </cell>
        </row>
        <row r="96">
          <cell r="C96" t="str">
            <v>迦納</v>
          </cell>
          <cell r="D96" t="str">
            <v>Ghana</v>
          </cell>
          <cell r="E96">
            <v>235</v>
          </cell>
          <cell r="F96">
            <v>65</v>
          </cell>
          <cell r="G96">
            <v>50</v>
          </cell>
          <cell r="H96">
            <v>10</v>
          </cell>
        </row>
        <row r="97">
          <cell r="C97" t="str">
            <v>埃及</v>
          </cell>
          <cell r="D97" t="str">
            <v>Egypt</v>
          </cell>
          <cell r="E97">
            <v>0</v>
          </cell>
          <cell r="F97">
            <v>63</v>
          </cell>
          <cell r="G97">
            <v>0</v>
          </cell>
          <cell r="H97">
            <v>2</v>
          </cell>
        </row>
        <row r="98">
          <cell r="C98" t="str">
            <v>波士尼亞及赫塞哥維納</v>
          </cell>
          <cell r="D98" t="str">
            <v>Bosnia and Herzegovina</v>
          </cell>
          <cell r="E98">
            <v>67151</v>
          </cell>
          <cell r="F98">
            <v>0</v>
          </cell>
          <cell r="G98">
            <v>51</v>
          </cell>
          <cell r="H98">
            <v>0</v>
          </cell>
        </row>
        <row r="99">
          <cell r="C99" t="str">
            <v>喀麥隆</v>
          </cell>
          <cell r="D99" t="str">
            <v>Cameroon</v>
          </cell>
          <cell r="E99">
            <v>67</v>
          </cell>
          <cell r="F99">
            <v>0</v>
          </cell>
          <cell r="G99">
            <v>10</v>
          </cell>
          <cell r="H99">
            <v>0</v>
          </cell>
        </row>
        <row r="100">
          <cell r="C100" t="str">
            <v>澳門</v>
          </cell>
          <cell r="D100" t="str">
            <v>Macau</v>
          </cell>
          <cell r="E100">
            <v>5854</v>
          </cell>
          <cell r="F100">
            <v>0</v>
          </cell>
          <cell r="G100">
            <v>2</v>
          </cell>
          <cell r="H100">
            <v>0</v>
          </cell>
        </row>
        <row r="101">
          <cell r="C101" t="str">
            <v>科威特</v>
          </cell>
          <cell r="D101" t="str">
            <v>Kuwait</v>
          </cell>
          <cell r="E101">
            <v>28553</v>
          </cell>
          <cell r="F101">
            <v>0</v>
          </cell>
          <cell r="G101">
            <v>175</v>
          </cell>
          <cell r="H101">
            <v>0</v>
          </cell>
        </row>
        <row r="102">
          <cell r="C102" t="str">
            <v>烏茲別克</v>
          </cell>
          <cell r="D102" t="str">
            <v>Uzbekistan</v>
          </cell>
          <cell r="E102">
            <v>80115</v>
          </cell>
          <cell r="F102">
            <v>0</v>
          </cell>
          <cell r="G102">
            <v>200</v>
          </cell>
          <cell r="H102">
            <v>0</v>
          </cell>
        </row>
        <row r="103">
          <cell r="C103" t="str">
            <v>蘇利南</v>
          </cell>
          <cell r="D103" t="str">
            <v>Suriname</v>
          </cell>
          <cell r="E103">
            <v>4368</v>
          </cell>
          <cell r="F103">
            <v>0</v>
          </cell>
          <cell r="G103">
            <v>1</v>
          </cell>
          <cell r="H103">
            <v>0</v>
          </cell>
        </row>
      </sheetData>
      <sheetData sheetId="5">
        <row r="2">
          <cell r="B2" t="str">
            <v>總計</v>
          </cell>
        </row>
      </sheetData>
      <sheetData sheetId="6">
        <row r="10">
          <cell r="B10" t="str">
            <v>總計</v>
          </cell>
        </row>
        <row r="11">
          <cell r="C11" t="str">
            <v>美國</v>
          </cell>
          <cell r="D11">
            <v>30846682</v>
          </cell>
          <cell r="E11">
            <v>27760</v>
          </cell>
        </row>
        <row r="12">
          <cell r="C12" t="str">
            <v>荷蘭</v>
          </cell>
          <cell r="D12">
            <v>10788887</v>
          </cell>
          <cell r="E12">
            <v>6809</v>
          </cell>
        </row>
        <row r="13">
          <cell r="C13" t="str">
            <v>中國大陸</v>
          </cell>
          <cell r="D13">
            <v>9787958</v>
          </cell>
          <cell r="E13">
            <v>7484</v>
          </cell>
        </row>
        <row r="14">
          <cell r="C14" t="str">
            <v>澳大利亞</v>
          </cell>
          <cell r="D14">
            <v>6035817</v>
          </cell>
          <cell r="E14">
            <v>7640</v>
          </cell>
        </row>
        <row r="15">
          <cell r="C15" t="str">
            <v>日本</v>
          </cell>
          <cell r="D15">
            <v>4991031</v>
          </cell>
          <cell r="E15">
            <v>6467</v>
          </cell>
        </row>
        <row r="16">
          <cell r="C16" t="str">
            <v>英國</v>
          </cell>
          <cell r="D16">
            <v>4416946</v>
          </cell>
          <cell r="E16">
            <v>4172</v>
          </cell>
        </row>
        <row r="17">
          <cell r="C17" t="str">
            <v>韓國</v>
          </cell>
          <cell r="D17">
            <v>2749876</v>
          </cell>
          <cell r="E17">
            <v>1685</v>
          </cell>
        </row>
        <row r="18">
          <cell r="C18" t="str">
            <v>德國</v>
          </cell>
          <cell r="D18">
            <v>2707699</v>
          </cell>
          <cell r="E18">
            <v>4335</v>
          </cell>
        </row>
        <row r="19">
          <cell r="C19" t="str">
            <v>法國</v>
          </cell>
          <cell r="D19">
            <v>2452330</v>
          </cell>
          <cell r="E19">
            <v>3528</v>
          </cell>
        </row>
        <row r="20">
          <cell r="C20" t="str">
            <v>加拿大</v>
          </cell>
          <cell r="D20">
            <v>2383826</v>
          </cell>
          <cell r="E20">
            <v>1720</v>
          </cell>
        </row>
        <row r="21">
          <cell r="C21" t="str">
            <v>比利時</v>
          </cell>
          <cell r="D21">
            <v>1640503</v>
          </cell>
          <cell r="E21">
            <v>910</v>
          </cell>
        </row>
        <row r="22">
          <cell r="C22" t="str">
            <v>墨西哥</v>
          </cell>
          <cell r="D22">
            <v>1327839</v>
          </cell>
          <cell r="E22">
            <v>987</v>
          </cell>
        </row>
        <row r="23">
          <cell r="C23" t="str">
            <v>西班牙</v>
          </cell>
          <cell r="D23">
            <v>1326786</v>
          </cell>
          <cell r="E23">
            <v>825</v>
          </cell>
        </row>
        <row r="24">
          <cell r="C24" t="str">
            <v>義大利</v>
          </cell>
          <cell r="D24">
            <v>1174208</v>
          </cell>
          <cell r="E24">
            <v>990</v>
          </cell>
        </row>
        <row r="25">
          <cell r="C25" t="str">
            <v>波蘭</v>
          </cell>
          <cell r="D25">
            <v>1133862</v>
          </cell>
          <cell r="E25">
            <v>1897</v>
          </cell>
        </row>
        <row r="26">
          <cell r="C26" t="str">
            <v>瑞士</v>
          </cell>
          <cell r="D26">
            <v>749909</v>
          </cell>
          <cell r="E26">
            <v>616</v>
          </cell>
        </row>
        <row r="27">
          <cell r="C27" t="str">
            <v>新加坡</v>
          </cell>
          <cell r="D27">
            <v>733831</v>
          </cell>
          <cell r="E27">
            <v>360</v>
          </cell>
        </row>
        <row r="28">
          <cell r="C28" t="str">
            <v>紐西蘭</v>
          </cell>
          <cell r="D28">
            <v>617504</v>
          </cell>
          <cell r="E28">
            <v>871</v>
          </cell>
        </row>
        <row r="29">
          <cell r="C29" t="str">
            <v>馬來西亞</v>
          </cell>
          <cell r="D29">
            <v>450404</v>
          </cell>
          <cell r="E29">
            <v>245</v>
          </cell>
        </row>
        <row r="30">
          <cell r="C30" t="str">
            <v>挪威</v>
          </cell>
          <cell r="D30">
            <v>380726</v>
          </cell>
          <cell r="E30">
            <v>307</v>
          </cell>
        </row>
        <row r="31">
          <cell r="C31" t="str">
            <v>南非</v>
          </cell>
          <cell r="D31">
            <v>319181</v>
          </cell>
          <cell r="E31">
            <v>169</v>
          </cell>
        </row>
        <row r="32">
          <cell r="C32" t="str">
            <v>哥斯大黎加</v>
          </cell>
          <cell r="D32">
            <v>317318</v>
          </cell>
          <cell r="E32">
            <v>218</v>
          </cell>
        </row>
        <row r="33">
          <cell r="C33" t="str">
            <v>瓜地馬拉</v>
          </cell>
          <cell r="D33">
            <v>310459</v>
          </cell>
          <cell r="E33">
            <v>256</v>
          </cell>
        </row>
        <row r="34">
          <cell r="C34" t="str">
            <v>香港</v>
          </cell>
          <cell r="D34">
            <v>305089</v>
          </cell>
          <cell r="E34">
            <v>210</v>
          </cell>
        </row>
        <row r="35">
          <cell r="C35" t="str">
            <v>捷克</v>
          </cell>
          <cell r="D35">
            <v>305089</v>
          </cell>
          <cell r="E35">
            <v>442</v>
          </cell>
        </row>
        <row r="36">
          <cell r="C36" t="str">
            <v>菲律賓</v>
          </cell>
          <cell r="D36">
            <v>189974</v>
          </cell>
          <cell r="E36">
            <v>186</v>
          </cell>
        </row>
        <row r="37">
          <cell r="C37" t="str">
            <v>厄瓜多</v>
          </cell>
          <cell r="D37">
            <v>188051</v>
          </cell>
          <cell r="E37">
            <v>98</v>
          </cell>
        </row>
        <row r="38">
          <cell r="C38" t="str">
            <v>哥倫比亞</v>
          </cell>
          <cell r="D38">
            <v>163347</v>
          </cell>
          <cell r="E38">
            <v>127</v>
          </cell>
        </row>
        <row r="39">
          <cell r="C39" t="str">
            <v>印尼</v>
          </cell>
          <cell r="D39">
            <v>152017</v>
          </cell>
          <cell r="E39">
            <v>37</v>
          </cell>
        </row>
        <row r="40">
          <cell r="C40" t="str">
            <v>愛沙尼亞</v>
          </cell>
          <cell r="D40">
            <v>110583</v>
          </cell>
          <cell r="E40">
            <v>233</v>
          </cell>
        </row>
        <row r="41">
          <cell r="C41" t="str">
            <v>泰國</v>
          </cell>
          <cell r="D41">
            <v>108691</v>
          </cell>
          <cell r="E41">
            <v>70</v>
          </cell>
        </row>
        <row r="42">
          <cell r="C42" t="str">
            <v>波多黎各</v>
          </cell>
          <cell r="D42">
            <v>85413</v>
          </cell>
          <cell r="E42">
            <v>36</v>
          </cell>
        </row>
        <row r="43">
          <cell r="C43" t="str">
            <v>巴西</v>
          </cell>
          <cell r="D43">
            <v>71259</v>
          </cell>
          <cell r="E43">
            <v>47</v>
          </cell>
        </row>
        <row r="44">
          <cell r="C44" t="str">
            <v>多明尼加</v>
          </cell>
          <cell r="D44">
            <v>37989</v>
          </cell>
          <cell r="E44">
            <v>22</v>
          </cell>
        </row>
        <row r="45">
          <cell r="C45" t="str">
            <v>阿拉伯聯合大公國</v>
          </cell>
          <cell r="D45">
            <v>36778</v>
          </cell>
          <cell r="E45">
            <v>329</v>
          </cell>
        </row>
        <row r="46">
          <cell r="C46" t="str">
            <v>智利</v>
          </cell>
          <cell r="D46">
            <v>25978</v>
          </cell>
          <cell r="E46">
            <v>19</v>
          </cell>
        </row>
        <row r="47">
          <cell r="C47" t="str">
            <v>黎巴嫩</v>
          </cell>
          <cell r="D47">
            <v>25264</v>
          </cell>
          <cell r="E47">
            <v>18</v>
          </cell>
        </row>
        <row r="48">
          <cell r="C48" t="str">
            <v>印度</v>
          </cell>
          <cell r="D48">
            <v>15549</v>
          </cell>
          <cell r="E48">
            <v>30</v>
          </cell>
        </row>
        <row r="49">
          <cell r="C49" t="str">
            <v>賽普勒斯</v>
          </cell>
          <cell r="D49">
            <v>13625</v>
          </cell>
          <cell r="E49">
            <v>80</v>
          </cell>
        </row>
        <row r="50">
          <cell r="C50" t="str">
            <v>奧地利</v>
          </cell>
          <cell r="D50">
            <v>9590</v>
          </cell>
          <cell r="E50">
            <v>6</v>
          </cell>
        </row>
        <row r="51">
          <cell r="C51" t="str">
            <v>法屬玻里尼西亞</v>
          </cell>
          <cell r="D51">
            <v>9466</v>
          </cell>
          <cell r="E51">
            <v>8</v>
          </cell>
        </row>
        <row r="52">
          <cell r="C52" t="str">
            <v>越南</v>
          </cell>
          <cell r="D52">
            <v>8131</v>
          </cell>
          <cell r="E52">
            <v>3</v>
          </cell>
        </row>
        <row r="53">
          <cell r="C53" t="str">
            <v>瑞典</v>
          </cell>
          <cell r="D53">
            <v>2421</v>
          </cell>
          <cell r="E53">
            <v>4</v>
          </cell>
        </row>
        <row r="54">
          <cell r="C54" t="str">
            <v>多哥</v>
          </cell>
          <cell r="D54">
            <v>186</v>
          </cell>
          <cell r="E54">
            <v>35</v>
          </cell>
        </row>
        <row r="55">
          <cell r="C55" t="str">
            <v>斯里蘭卡</v>
          </cell>
          <cell r="D55">
            <v>124</v>
          </cell>
          <cell r="E55">
            <v>20</v>
          </cell>
        </row>
      </sheetData>
      <sheetData sheetId="7">
        <row r="2">
          <cell r="B2" t="str">
            <v>總計</v>
          </cell>
        </row>
        <row r="3">
          <cell r="C3" t="str">
            <v>中國大陸</v>
          </cell>
          <cell r="D3">
            <v>0</v>
          </cell>
          <cell r="E3">
            <v>1587755</v>
          </cell>
          <cell r="F3">
            <v>16482</v>
          </cell>
        </row>
        <row r="4">
          <cell r="C4" t="str">
            <v>越南</v>
          </cell>
          <cell r="D4">
            <v>0</v>
          </cell>
          <cell r="E4">
            <v>269274</v>
          </cell>
          <cell r="F4">
            <v>287</v>
          </cell>
        </row>
        <row r="5">
          <cell r="C5" t="str">
            <v>英國</v>
          </cell>
          <cell r="D5">
            <v>0</v>
          </cell>
          <cell r="E5">
            <v>123494</v>
          </cell>
          <cell r="F5">
            <v>97</v>
          </cell>
        </row>
        <row r="6">
          <cell r="C6" t="str">
            <v>德國</v>
          </cell>
          <cell r="D6">
            <v>0</v>
          </cell>
          <cell r="E6">
            <v>63097</v>
          </cell>
          <cell r="F6">
            <v>10</v>
          </cell>
        </row>
        <row r="7">
          <cell r="C7" t="str">
            <v>義大利</v>
          </cell>
          <cell r="D7">
            <v>0</v>
          </cell>
          <cell r="E7">
            <v>53445</v>
          </cell>
          <cell r="F7">
            <v>7</v>
          </cell>
        </row>
        <row r="8">
          <cell r="C8" t="str">
            <v>中華民國</v>
          </cell>
          <cell r="D8">
            <v>0</v>
          </cell>
          <cell r="E8">
            <v>15239</v>
          </cell>
          <cell r="F8">
            <v>6</v>
          </cell>
        </row>
        <row r="9">
          <cell r="C9" t="str">
            <v>美國</v>
          </cell>
          <cell r="D9">
            <v>0</v>
          </cell>
          <cell r="E9">
            <v>11670</v>
          </cell>
          <cell r="F9">
            <v>2</v>
          </cell>
        </row>
        <row r="10">
          <cell r="C10" t="str">
            <v>奧地利</v>
          </cell>
          <cell r="D10">
            <v>0</v>
          </cell>
          <cell r="E10">
            <v>5928</v>
          </cell>
          <cell r="F10">
            <v>2</v>
          </cell>
        </row>
        <row r="11">
          <cell r="C11" t="str">
            <v>日本</v>
          </cell>
          <cell r="D11">
            <v>0</v>
          </cell>
          <cell r="E11">
            <v>5577</v>
          </cell>
          <cell r="F11">
            <v>29</v>
          </cell>
        </row>
        <row r="12">
          <cell r="C12" t="str">
            <v>柬埔寨</v>
          </cell>
          <cell r="D12">
            <v>0</v>
          </cell>
          <cell r="E12">
            <v>497</v>
          </cell>
          <cell r="F12">
            <v>1</v>
          </cell>
        </row>
      </sheetData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9">
          <cell r="A9" t="str">
            <v>中文名稱</v>
          </cell>
          <cell r="B9" t="str">
            <v>2023年11月
出口金額($US)</v>
          </cell>
          <cell r="C9" t="str">
            <v>2023年11月
出口數量</v>
          </cell>
        </row>
        <row r="10">
          <cell r="A10" t="str">
            <v>總計</v>
          </cell>
          <cell r="B10">
            <v>91145450</v>
          </cell>
          <cell r="C10">
            <v>77309</v>
          </cell>
        </row>
        <row r="11">
          <cell r="A11" t="str">
            <v>美國</v>
          </cell>
          <cell r="B11">
            <v>24964397</v>
          </cell>
          <cell r="C11">
            <v>21815</v>
          </cell>
        </row>
        <row r="12">
          <cell r="A12" t="str">
            <v>中國大陸</v>
          </cell>
          <cell r="B12">
            <v>11887565</v>
          </cell>
          <cell r="C12">
            <v>9265</v>
          </cell>
        </row>
        <row r="13">
          <cell r="A13" t="str">
            <v>荷蘭</v>
          </cell>
          <cell r="B13">
            <v>11611438</v>
          </cell>
          <cell r="C13">
            <v>7126</v>
          </cell>
        </row>
        <row r="14">
          <cell r="A14" t="str">
            <v>日本</v>
          </cell>
          <cell r="B14">
            <v>5466698</v>
          </cell>
          <cell r="C14">
            <v>6489</v>
          </cell>
        </row>
        <row r="15">
          <cell r="A15" t="str">
            <v>澳大利亞</v>
          </cell>
          <cell r="B15">
            <v>5172561</v>
          </cell>
          <cell r="C15">
            <v>3357</v>
          </cell>
        </row>
        <row r="16">
          <cell r="A16" t="str">
            <v>英國</v>
          </cell>
          <cell r="B16">
            <v>4865240</v>
          </cell>
          <cell r="C16">
            <v>4093</v>
          </cell>
        </row>
        <row r="17">
          <cell r="A17" t="str">
            <v>加拿大</v>
          </cell>
          <cell r="B17">
            <v>3642358</v>
          </cell>
          <cell r="C17">
            <v>2945</v>
          </cell>
        </row>
        <row r="18">
          <cell r="A18" t="str">
            <v>德國</v>
          </cell>
          <cell r="B18">
            <v>2608868</v>
          </cell>
          <cell r="C18">
            <v>2941</v>
          </cell>
        </row>
        <row r="19">
          <cell r="A19" t="str">
            <v>法國</v>
          </cell>
          <cell r="B19">
            <v>2208464</v>
          </cell>
          <cell r="C19">
            <v>2267</v>
          </cell>
        </row>
        <row r="20">
          <cell r="A20" t="str">
            <v>西班牙</v>
          </cell>
          <cell r="B20">
            <v>2050852</v>
          </cell>
          <cell r="C20">
            <v>1231</v>
          </cell>
        </row>
        <row r="21">
          <cell r="A21" t="str">
            <v>比利時</v>
          </cell>
          <cell r="B21">
            <v>1909085</v>
          </cell>
          <cell r="C21">
            <v>1545</v>
          </cell>
        </row>
        <row r="22">
          <cell r="A22" t="str">
            <v>瑞士</v>
          </cell>
          <cell r="B22">
            <v>1739222</v>
          </cell>
          <cell r="C22">
            <v>918</v>
          </cell>
        </row>
        <row r="23">
          <cell r="A23" t="str">
            <v>紐西蘭</v>
          </cell>
          <cell r="B23">
            <v>1465458</v>
          </cell>
          <cell r="C23">
            <v>1106</v>
          </cell>
        </row>
        <row r="24">
          <cell r="A24" t="str">
            <v>南非</v>
          </cell>
          <cell r="B24">
            <v>1462109</v>
          </cell>
          <cell r="C24">
            <v>546</v>
          </cell>
        </row>
        <row r="25">
          <cell r="A25" t="str">
            <v>挪威</v>
          </cell>
          <cell r="B25">
            <v>1325644</v>
          </cell>
          <cell r="C25">
            <v>3723</v>
          </cell>
        </row>
        <row r="26">
          <cell r="A26" t="str">
            <v>韓國</v>
          </cell>
          <cell r="B26">
            <v>1156808</v>
          </cell>
          <cell r="C26">
            <v>750</v>
          </cell>
        </row>
        <row r="27">
          <cell r="A27" t="str">
            <v>波蘭</v>
          </cell>
          <cell r="B27">
            <v>678946</v>
          </cell>
          <cell r="C27">
            <v>994</v>
          </cell>
        </row>
        <row r="28">
          <cell r="A28" t="str">
            <v>義大利</v>
          </cell>
          <cell r="B28">
            <v>665706</v>
          </cell>
          <cell r="C28">
            <v>456</v>
          </cell>
        </row>
        <row r="29">
          <cell r="A29" t="str">
            <v>巴拿馬</v>
          </cell>
          <cell r="B29">
            <v>616620</v>
          </cell>
          <cell r="C29">
            <v>214</v>
          </cell>
        </row>
        <row r="30">
          <cell r="A30" t="str">
            <v>香港</v>
          </cell>
          <cell r="B30">
            <v>574729</v>
          </cell>
          <cell r="C30">
            <v>361</v>
          </cell>
        </row>
        <row r="31">
          <cell r="A31" t="str">
            <v>智利</v>
          </cell>
          <cell r="B31">
            <v>547069</v>
          </cell>
          <cell r="C31">
            <v>234</v>
          </cell>
        </row>
        <row r="32">
          <cell r="A32" t="str">
            <v>新加坡</v>
          </cell>
          <cell r="B32">
            <v>528990</v>
          </cell>
          <cell r="C32">
            <v>352</v>
          </cell>
        </row>
        <row r="33">
          <cell r="A33" t="str">
            <v>墨西哥</v>
          </cell>
          <cell r="B33">
            <v>520248</v>
          </cell>
          <cell r="C33">
            <v>277</v>
          </cell>
        </row>
        <row r="34">
          <cell r="A34" t="str">
            <v>哥倫比亞</v>
          </cell>
          <cell r="B34">
            <v>474946</v>
          </cell>
          <cell r="C34">
            <v>305</v>
          </cell>
        </row>
        <row r="35">
          <cell r="A35" t="str">
            <v>馬來西亞</v>
          </cell>
          <cell r="B35">
            <v>434977</v>
          </cell>
          <cell r="C35">
            <v>287</v>
          </cell>
        </row>
        <row r="36">
          <cell r="A36" t="str">
            <v>阿拉伯聯合大公國</v>
          </cell>
          <cell r="B36">
            <v>343938</v>
          </cell>
          <cell r="C36">
            <v>401</v>
          </cell>
        </row>
        <row r="37">
          <cell r="A37" t="str">
            <v>泰國</v>
          </cell>
          <cell r="B37">
            <v>285705</v>
          </cell>
          <cell r="C37">
            <v>194</v>
          </cell>
        </row>
        <row r="38">
          <cell r="A38" t="str">
            <v>捷克</v>
          </cell>
          <cell r="B38">
            <v>235567</v>
          </cell>
          <cell r="C38">
            <v>1046</v>
          </cell>
        </row>
        <row r="39">
          <cell r="A39" t="str">
            <v>巴西</v>
          </cell>
          <cell r="B39">
            <v>228093</v>
          </cell>
          <cell r="C39">
            <v>158</v>
          </cell>
        </row>
        <row r="40">
          <cell r="A40" t="str">
            <v>菲律賓</v>
          </cell>
          <cell r="B40">
            <v>209799</v>
          </cell>
          <cell r="C40">
            <v>299</v>
          </cell>
        </row>
        <row r="41">
          <cell r="A41" t="str">
            <v>越南</v>
          </cell>
          <cell r="B41">
            <v>204620</v>
          </cell>
          <cell r="C41">
            <v>142</v>
          </cell>
        </row>
        <row r="42">
          <cell r="A42" t="str">
            <v>斯洛維尼亞</v>
          </cell>
          <cell r="B42">
            <v>194047</v>
          </cell>
          <cell r="C42">
            <v>192</v>
          </cell>
        </row>
        <row r="43">
          <cell r="A43" t="str">
            <v>關島</v>
          </cell>
          <cell r="B43">
            <v>170884</v>
          </cell>
          <cell r="C43">
            <v>65</v>
          </cell>
        </row>
        <row r="44">
          <cell r="A44" t="str">
            <v>丹麥</v>
          </cell>
          <cell r="B44">
            <v>149457</v>
          </cell>
          <cell r="C44">
            <v>836</v>
          </cell>
        </row>
        <row r="45">
          <cell r="A45" t="str">
            <v>以色列</v>
          </cell>
          <cell r="B45">
            <v>114512</v>
          </cell>
          <cell r="C45">
            <v>65</v>
          </cell>
        </row>
        <row r="46">
          <cell r="A46" t="str">
            <v>阿根廷</v>
          </cell>
          <cell r="B46">
            <v>105458</v>
          </cell>
          <cell r="C46">
            <v>72</v>
          </cell>
        </row>
        <row r="47">
          <cell r="A47" t="str">
            <v>薩爾瓦多</v>
          </cell>
          <cell r="B47">
            <v>99752</v>
          </cell>
          <cell r="C47">
            <v>61</v>
          </cell>
        </row>
        <row r="48">
          <cell r="A48" t="str">
            <v>多明尼加</v>
          </cell>
          <cell r="B48">
            <v>85209</v>
          </cell>
          <cell r="C48">
            <v>44</v>
          </cell>
        </row>
        <row r="49">
          <cell r="A49" t="str">
            <v>瓜地馬拉</v>
          </cell>
          <cell r="B49">
            <v>78326</v>
          </cell>
          <cell r="C49">
            <v>45</v>
          </cell>
        </row>
        <row r="50">
          <cell r="A50" t="str">
            <v>烏拉圭</v>
          </cell>
          <cell r="B50">
            <v>29922</v>
          </cell>
          <cell r="C50">
            <v>22</v>
          </cell>
        </row>
        <row r="51">
          <cell r="A51" t="str">
            <v>印度</v>
          </cell>
          <cell r="B51">
            <v>16992</v>
          </cell>
          <cell r="C51">
            <v>28</v>
          </cell>
        </row>
        <row r="52">
          <cell r="A52" t="str">
            <v>巴拉圭</v>
          </cell>
          <cell r="B52">
            <v>11845</v>
          </cell>
          <cell r="C52">
            <v>32</v>
          </cell>
        </row>
        <row r="53">
          <cell r="A53" t="str">
            <v>厄瓜多</v>
          </cell>
          <cell r="B53">
            <v>2326</v>
          </cell>
          <cell r="C53">
            <v>10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9">
          <cell r="A9" t="str">
            <v>中文名稱</v>
          </cell>
          <cell r="B9" t="str">
            <v>2023年01至11月
出口金額($US)</v>
          </cell>
          <cell r="C9" t="str">
            <v>2023年01至11月
出口數量</v>
          </cell>
        </row>
        <row r="10">
          <cell r="A10" t="str">
            <v>總計</v>
          </cell>
          <cell r="B10">
            <v>1292224257</v>
          </cell>
          <cell r="C10">
            <v>1249753</v>
          </cell>
        </row>
        <row r="11">
          <cell r="A11" t="str">
            <v>美國</v>
          </cell>
          <cell r="B11">
            <v>434985234</v>
          </cell>
          <cell r="C11">
            <v>424241</v>
          </cell>
        </row>
        <row r="12">
          <cell r="A12" t="str">
            <v>荷蘭</v>
          </cell>
          <cell r="B12">
            <v>158042216</v>
          </cell>
          <cell r="C12">
            <v>113932</v>
          </cell>
        </row>
        <row r="13">
          <cell r="A13" t="str">
            <v>中國大陸</v>
          </cell>
          <cell r="B13">
            <v>119956082</v>
          </cell>
          <cell r="C13">
            <v>114412</v>
          </cell>
        </row>
        <row r="14">
          <cell r="A14" t="str">
            <v>英國</v>
          </cell>
          <cell r="B14">
            <v>69457979</v>
          </cell>
          <cell r="C14">
            <v>75195</v>
          </cell>
        </row>
        <row r="15">
          <cell r="A15" t="str">
            <v>澳大利亞</v>
          </cell>
          <cell r="B15">
            <v>61734512</v>
          </cell>
          <cell r="C15">
            <v>44835</v>
          </cell>
        </row>
        <row r="16">
          <cell r="A16" t="str">
            <v>德國</v>
          </cell>
          <cell r="B16">
            <v>51718489</v>
          </cell>
          <cell r="C16">
            <v>84103</v>
          </cell>
        </row>
        <row r="17">
          <cell r="A17" t="str">
            <v>加拿大</v>
          </cell>
          <cell r="B17">
            <v>48274164</v>
          </cell>
          <cell r="C17">
            <v>36903</v>
          </cell>
        </row>
        <row r="18">
          <cell r="A18" t="str">
            <v>日本</v>
          </cell>
          <cell r="B18">
            <v>45232269</v>
          </cell>
          <cell r="C18">
            <v>56849</v>
          </cell>
        </row>
        <row r="19">
          <cell r="A19" t="str">
            <v>比利時</v>
          </cell>
          <cell r="B19">
            <v>44549543</v>
          </cell>
          <cell r="C19">
            <v>32467</v>
          </cell>
        </row>
        <row r="20">
          <cell r="A20" t="str">
            <v>韓國</v>
          </cell>
          <cell r="B20">
            <v>35994671</v>
          </cell>
          <cell r="C20">
            <v>25527</v>
          </cell>
        </row>
        <row r="21">
          <cell r="A21" t="str">
            <v>法國</v>
          </cell>
          <cell r="B21">
            <v>31741715</v>
          </cell>
          <cell r="C21">
            <v>36517</v>
          </cell>
        </row>
        <row r="22">
          <cell r="A22" t="str">
            <v>義大利</v>
          </cell>
          <cell r="B22">
            <v>18310797</v>
          </cell>
          <cell r="C22">
            <v>12320</v>
          </cell>
        </row>
        <row r="23">
          <cell r="A23" t="str">
            <v>瑞士</v>
          </cell>
          <cell r="B23">
            <v>16204661</v>
          </cell>
          <cell r="C23">
            <v>12780</v>
          </cell>
        </row>
        <row r="24">
          <cell r="A24" t="str">
            <v>西班牙</v>
          </cell>
          <cell r="B24">
            <v>13885361</v>
          </cell>
          <cell r="C24">
            <v>11469</v>
          </cell>
        </row>
        <row r="25">
          <cell r="A25" t="str">
            <v>紐西蘭</v>
          </cell>
          <cell r="B25">
            <v>12604201</v>
          </cell>
          <cell r="C25">
            <v>9561</v>
          </cell>
        </row>
        <row r="26">
          <cell r="A26" t="str">
            <v>墨西哥</v>
          </cell>
          <cell r="B26">
            <v>11238135</v>
          </cell>
          <cell r="C26">
            <v>8251</v>
          </cell>
        </row>
        <row r="27">
          <cell r="A27" t="str">
            <v>挪威</v>
          </cell>
          <cell r="B27">
            <v>10533419</v>
          </cell>
          <cell r="C27">
            <v>22870</v>
          </cell>
        </row>
        <row r="28">
          <cell r="A28" t="str">
            <v>巴拿馬</v>
          </cell>
          <cell r="B28">
            <v>10051177</v>
          </cell>
          <cell r="C28">
            <v>4391</v>
          </cell>
        </row>
        <row r="29">
          <cell r="A29" t="str">
            <v>南非</v>
          </cell>
          <cell r="B29">
            <v>9187200</v>
          </cell>
          <cell r="C29">
            <v>4411</v>
          </cell>
        </row>
        <row r="30">
          <cell r="A30" t="str">
            <v>波蘭</v>
          </cell>
          <cell r="B30">
            <v>8079685</v>
          </cell>
          <cell r="C30">
            <v>13240</v>
          </cell>
        </row>
        <row r="31">
          <cell r="A31" t="str">
            <v>新加坡</v>
          </cell>
          <cell r="B31">
            <v>6594437</v>
          </cell>
          <cell r="C31">
            <v>3919</v>
          </cell>
        </row>
        <row r="32">
          <cell r="A32" t="str">
            <v>哥倫比亞</v>
          </cell>
          <cell r="B32">
            <v>5568179</v>
          </cell>
          <cell r="C32">
            <v>3444</v>
          </cell>
        </row>
        <row r="33">
          <cell r="A33" t="str">
            <v>巴西</v>
          </cell>
          <cell r="B33">
            <v>5481610</v>
          </cell>
          <cell r="C33">
            <v>3623</v>
          </cell>
        </row>
        <row r="34">
          <cell r="A34" t="str">
            <v>丹麥</v>
          </cell>
          <cell r="B34">
            <v>5271051</v>
          </cell>
          <cell r="C34">
            <v>15133</v>
          </cell>
        </row>
        <row r="35">
          <cell r="A35" t="str">
            <v>香港</v>
          </cell>
          <cell r="B35">
            <v>4836901</v>
          </cell>
          <cell r="C35">
            <v>4445</v>
          </cell>
        </row>
        <row r="36">
          <cell r="A36" t="str">
            <v>以色列</v>
          </cell>
          <cell r="B36">
            <v>4757574</v>
          </cell>
          <cell r="C36">
            <v>3828</v>
          </cell>
        </row>
        <row r="37">
          <cell r="A37" t="str">
            <v>瑞典</v>
          </cell>
          <cell r="B37">
            <v>4660471</v>
          </cell>
          <cell r="C37">
            <v>21098</v>
          </cell>
        </row>
        <row r="38">
          <cell r="A38" t="str">
            <v>馬來西亞</v>
          </cell>
          <cell r="B38">
            <v>4654454</v>
          </cell>
          <cell r="C38">
            <v>2447</v>
          </cell>
        </row>
        <row r="39">
          <cell r="A39" t="str">
            <v>智利</v>
          </cell>
          <cell r="B39">
            <v>4475402</v>
          </cell>
          <cell r="C39">
            <v>2799</v>
          </cell>
        </row>
        <row r="40">
          <cell r="A40" t="str">
            <v>捷克</v>
          </cell>
          <cell r="B40">
            <v>3860919</v>
          </cell>
          <cell r="C40">
            <v>8382</v>
          </cell>
        </row>
        <row r="41">
          <cell r="A41" t="str">
            <v>阿拉伯聯合大公國</v>
          </cell>
          <cell r="B41">
            <v>2505224</v>
          </cell>
          <cell r="C41">
            <v>2487</v>
          </cell>
        </row>
        <row r="42">
          <cell r="A42" t="str">
            <v>菲律賓</v>
          </cell>
          <cell r="B42">
            <v>2486034</v>
          </cell>
          <cell r="C42">
            <v>3323</v>
          </cell>
        </row>
        <row r="43">
          <cell r="A43" t="str">
            <v>泰國</v>
          </cell>
          <cell r="B43">
            <v>2387555</v>
          </cell>
          <cell r="C43">
            <v>2040</v>
          </cell>
        </row>
        <row r="44">
          <cell r="A44" t="str">
            <v>俄羅斯</v>
          </cell>
          <cell r="B44">
            <v>2253138</v>
          </cell>
          <cell r="C44">
            <v>4747</v>
          </cell>
        </row>
        <row r="45">
          <cell r="A45" t="str">
            <v>哥斯大黎加</v>
          </cell>
          <cell r="B45">
            <v>2043942</v>
          </cell>
          <cell r="C45">
            <v>1623</v>
          </cell>
        </row>
        <row r="46">
          <cell r="A46" t="str">
            <v>印度</v>
          </cell>
          <cell r="B46">
            <v>1695562</v>
          </cell>
          <cell r="C46">
            <v>2042</v>
          </cell>
        </row>
        <row r="47">
          <cell r="A47" t="str">
            <v>斯洛維尼亞</v>
          </cell>
          <cell r="B47">
            <v>1583777</v>
          </cell>
          <cell r="C47">
            <v>1471</v>
          </cell>
        </row>
        <row r="48">
          <cell r="A48" t="str">
            <v>秘魯</v>
          </cell>
          <cell r="B48">
            <v>1475654</v>
          </cell>
          <cell r="C48">
            <v>755</v>
          </cell>
        </row>
        <row r="49">
          <cell r="A49" t="str">
            <v>厄瓜多</v>
          </cell>
          <cell r="B49">
            <v>1208323</v>
          </cell>
          <cell r="C49">
            <v>980</v>
          </cell>
        </row>
        <row r="50">
          <cell r="A50" t="str">
            <v>阿根廷</v>
          </cell>
          <cell r="B50">
            <v>1197048</v>
          </cell>
          <cell r="C50">
            <v>731</v>
          </cell>
        </row>
        <row r="51">
          <cell r="A51" t="str">
            <v>奧地利</v>
          </cell>
          <cell r="B51">
            <v>1159739</v>
          </cell>
          <cell r="C51">
            <v>1650</v>
          </cell>
        </row>
        <row r="52">
          <cell r="A52" t="str">
            <v>瓜地馬拉</v>
          </cell>
          <cell r="B52">
            <v>1077388</v>
          </cell>
          <cell r="C52">
            <v>793</v>
          </cell>
        </row>
        <row r="53">
          <cell r="A53" t="str">
            <v>芬蘭</v>
          </cell>
          <cell r="B53">
            <v>1070806</v>
          </cell>
          <cell r="C53">
            <v>1936</v>
          </cell>
        </row>
        <row r="54">
          <cell r="A54" t="str">
            <v>越南</v>
          </cell>
          <cell r="B54">
            <v>934788</v>
          </cell>
          <cell r="C54">
            <v>607</v>
          </cell>
        </row>
        <row r="55">
          <cell r="A55" t="str">
            <v>印尼</v>
          </cell>
          <cell r="B55">
            <v>849307</v>
          </cell>
          <cell r="C55">
            <v>436</v>
          </cell>
        </row>
        <row r="56">
          <cell r="A56" t="str">
            <v>匈牙利</v>
          </cell>
          <cell r="B56">
            <v>738884</v>
          </cell>
          <cell r="C56">
            <v>1598</v>
          </cell>
        </row>
        <row r="57">
          <cell r="A57" t="str">
            <v>關島</v>
          </cell>
          <cell r="B57">
            <v>555052</v>
          </cell>
          <cell r="C57">
            <v>234</v>
          </cell>
        </row>
        <row r="58">
          <cell r="A58" t="str">
            <v>愛沙尼亞</v>
          </cell>
          <cell r="B58">
            <v>527674</v>
          </cell>
          <cell r="C58">
            <v>1147</v>
          </cell>
        </row>
        <row r="59">
          <cell r="A59" t="str">
            <v>希臘</v>
          </cell>
          <cell r="B59">
            <v>445459</v>
          </cell>
          <cell r="C59">
            <v>1895</v>
          </cell>
        </row>
        <row r="60">
          <cell r="A60" t="str">
            <v>烏拉圭</v>
          </cell>
          <cell r="B60">
            <v>415155</v>
          </cell>
          <cell r="C60">
            <v>324</v>
          </cell>
        </row>
        <row r="61">
          <cell r="A61" t="str">
            <v>多明尼加</v>
          </cell>
          <cell r="B61">
            <v>405883</v>
          </cell>
          <cell r="C61">
            <v>253</v>
          </cell>
        </row>
        <row r="62">
          <cell r="A62" t="str">
            <v>盧森堡</v>
          </cell>
          <cell r="B62">
            <v>388156</v>
          </cell>
          <cell r="C62">
            <v>148</v>
          </cell>
        </row>
        <row r="63">
          <cell r="A63" t="str">
            <v>薩爾瓦多</v>
          </cell>
          <cell r="B63">
            <v>354890</v>
          </cell>
          <cell r="C63">
            <v>287</v>
          </cell>
        </row>
        <row r="64">
          <cell r="A64" t="str">
            <v>巴拉圭</v>
          </cell>
          <cell r="B64">
            <v>271559</v>
          </cell>
          <cell r="C64">
            <v>196</v>
          </cell>
        </row>
        <row r="65">
          <cell r="A65" t="str">
            <v>哈薩克</v>
          </cell>
          <cell r="B65">
            <v>237072</v>
          </cell>
          <cell r="C65">
            <v>290</v>
          </cell>
        </row>
        <row r="66">
          <cell r="A66" t="str">
            <v>波多黎各</v>
          </cell>
          <cell r="B66">
            <v>221461</v>
          </cell>
          <cell r="C66">
            <v>296</v>
          </cell>
        </row>
        <row r="67">
          <cell r="A67" t="str">
            <v>葡萄牙</v>
          </cell>
          <cell r="B67">
            <v>175126</v>
          </cell>
          <cell r="C67">
            <v>85</v>
          </cell>
        </row>
        <row r="68">
          <cell r="A68" t="str">
            <v>立陶宛</v>
          </cell>
          <cell r="B68">
            <v>165765</v>
          </cell>
          <cell r="C68">
            <v>409</v>
          </cell>
        </row>
        <row r="69">
          <cell r="A69" t="str">
            <v>克羅埃西亞</v>
          </cell>
          <cell r="B69">
            <v>148696</v>
          </cell>
          <cell r="C69">
            <v>578</v>
          </cell>
        </row>
        <row r="70">
          <cell r="A70" t="str">
            <v>委內瑞拉</v>
          </cell>
          <cell r="B70">
            <v>128634</v>
          </cell>
          <cell r="C70">
            <v>57</v>
          </cell>
        </row>
        <row r="71">
          <cell r="A71" t="str">
            <v>黎巴嫩</v>
          </cell>
          <cell r="B71">
            <v>116762</v>
          </cell>
          <cell r="C71">
            <v>87</v>
          </cell>
        </row>
        <row r="72">
          <cell r="A72" t="str">
            <v>拉脫維亞</v>
          </cell>
          <cell r="B72">
            <v>114645</v>
          </cell>
          <cell r="C72">
            <v>427</v>
          </cell>
        </row>
        <row r="73">
          <cell r="A73" t="str">
            <v>冰島</v>
          </cell>
          <cell r="B73">
            <v>106525</v>
          </cell>
          <cell r="C73">
            <v>220</v>
          </cell>
        </row>
        <row r="74">
          <cell r="A74" t="str">
            <v>卡達</v>
          </cell>
          <cell r="B74">
            <v>105263</v>
          </cell>
          <cell r="C74">
            <v>103</v>
          </cell>
        </row>
        <row r="75">
          <cell r="A75" t="str">
            <v>模里西斯</v>
          </cell>
          <cell r="B75">
            <v>95908</v>
          </cell>
          <cell r="C75">
            <v>46</v>
          </cell>
        </row>
        <row r="76">
          <cell r="A76" t="str">
            <v>沙烏地阿拉伯</v>
          </cell>
          <cell r="B76">
            <v>69265</v>
          </cell>
          <cell r="C76">
            <v>51</v>
          </cell>
        </row>
        <row r="77">
          <cell r="A77" t="str">
            <v>蒙古</v>
          </cell>
          <cell r="B77">
            <v>67418</v>
          </cell>
          <cell r="C77">
            <v>61</v>
          </cell>
        </row>
        <row r="78">
          <cell r="A78" t="str">
            <v>留尼旺</v>
          </cell>
          <cell r="B78">
            <v>62772</v>
          </cell>
          <cell r="C78">
            <v>39</v>
          </cell>
        </row>
        <row r="79">
          <cell r="A79" t="str">
            <v>保加利亞</v>
          </cell>
          <cell r="B79">
            <v>61429</v>
          </cell>
          <cell r="C79">
            <v>395</v>
          </cell>
        </row>
        <row r="80">
          <cell r="A80" t="str">
            <v>法屬玻里尼西亞</v>
          </cell>
          <cell r="B80">
            <v>60689</v>
          </cell>
          <cell r="C80">
            <v>274</v>
          </cell>
        </row>
        <row r="81">
          <cell r="A81" t="str">
            <v>土耳其</v>
          </cell>
          <cell r="B81">
            <v>53066</v>
          </cell>
          <cell r="C81">
            <v>33</v>
          </cell>
        </row>
        <row r="82">
          <cell r="A82" t="str">
            <v>烏克蘭</v>
          </cell>
          <cell r="B82">
            <v>44021</v>
          </cell>
          <cell r="C82">
            <v>119</v>
          </cell>
        </row>
        <row r="83">
          <cell r="A83" t="str">
            <v>賽普勒斯</v>
          </cell>
          <cell r="B83">
            <v>33789</v>
          </cell>
          <cell r="C83">
            <v>210</v>
          </cell>
        </row>
        <row r="84">
          <cell r="A84" t="str">
            <v>白俄羅斯</v>
          </cell>
          <cell r="B84">
            <v>24874</v>
          </cell>
          <cell r="C84">
            <v>120</v>
          </cell>
        </row>
        <row r="85">
          <cell r="A85" t="str">
            <v>北馬里亞納群島</v>
          </cell>
          <cell r="B85">
            <v>24830</v>
          </cell>
          <cell r="C85">
            <v>44</v>
          </cell>
        </row>
        <row r="86">
          <cell r="A86" t="str">
            <v>巴基斯坦</v>
          </cell>
          <cell r="B86">
            <v>18496</v>
          </cell>
          <cell r="C86">
            <v>12</v>
          </cell>
        </row>
        <row r="87">
          <cell r="A87" t="str">
            <v>東加</v>
          </cell>
          <cell r="B87">
            <v>18294</v>
          </cell>
          <cell r="C87">
            <v>160</v>
          </cell>
        </row>
        <row r="88">
          <cell r="A88" t="str">
            <v>尼泊爾</v>
          </cell>
          <cell r="B88">
            <v>15555</v>
          </cell>
          <cell r="C88">
            <v>13</v>
          </cell>
        </row>
        <row r="89">
          <cell r="A89" t="str">
            <v>巴林</v>
          </cell>
          <cell r="B89">
            <v>15239</v>
          </cell>
          <cell r="C89">
            <v>20</v>
          </cell>
        </row>
        <row r="90">
          <cell r="A90" t="str">
            <v>汶萊</v>
          </cell>
          <cell r="B90">
            <v>15140</v>
          </cell>
          <cell r="C90">
            <v>10</v>
          </cell>
        </row>
        <row r="91">
          <cell r="A91" t="str">
            <v>馬紹爾群島共和國</v>
          </cell>
          <cell r="B91">
            <v>10177</v>
          </cell>
          <cell r="C91">
            <v>70</v>
          </cell>
        </row>
        <row r="92">
          <cell r="A92" t="str">
            <v>肯亞</v>
          </cell>
          <cell r="B92">
            <v>8076</v>
          </cell>
          <cell r="C92">
            <v>3</v>
          </cell>
        </row>
        <row r="93">
          <cell r="A93" t="str">
            <v>羅馬尼亞</v>
          </cell>
          <cell r="B93">
            <v>6811</v>
          </cell>
          <cell r="C93">
            <v>53</v>
          </cell>
        </row>
        <row r="94">
          <cell r="A94" t="str">
            <v>新克里多亞</v>
          </cell>
          <cell r="B94">
            <v>6438</v>
          </cell>
          <cell r="C94">
            <v>2</v>
          </cell>
        </row>
        <row r="95">
          <cell r="A95" t="str">
            <v>斯洛伐克</v>
          </cell>
          <cell r="B95">
            <v>6219</v>
          </cell>
          <cell r="C95">
            <v>50</v>
          </cell>
        </row>
        <row r="96">
          <cell r="A96" t="str">
            <v>尼加拉瓜</v>
          </cell>
          <cell r="B96">
            <v>5430</v>
          </cell>
          <cell r="C96">
            <v>2</v>
          </cell>
        </row>
        <row r="97">
          <cell r="A97" t="str">
            <v>馬爾他</v>
          </cell>
          <cell r="B97">
            <v>4265</v>
          </cell>
          <cell r="C97">
            <v>22</v>
          </cell>
        </row>
        <row r="98">
          <cell r="A98" t="str">
            <v>多哥</v>
          </cell>
          <cell r="B98">
            <v>1290</v>
          </cell>
          <cell r="C98">
            <v>165</v>
          </cell>
        </row>
        <row r="99">
          <cell r="A99" t="str">
            <v>柬埔寨</v>
          </cell>
          <cell r="B99">
            <v>579</v>
          </cell>
          <cell r="C99">
            <v>2</v>
          </cell>
        </row>
        <row r="100">
          <cell r="A100" t="str">
            <v>聖克里斯多福</v>
          </cell>
          <cell r="B100">
            <v>289</v>
          </cell>
          <cell r="C100">
            <v>50</v>
          </cell>
        </row>
        <row r="101">
          <cell r="A101" t="str">
            <v>斯里蘭卡</v>
          </cell>
          <cell r="B101">
            <v>124</v>
          </cell>
          <cell r="C101">
            <v>20</v>
          </cell>
        </row>
        <row r="102">
          <cell r="A102" t="str">
            <v>貝南</v>
          </cell>
          <cell r="B102">
            <v>98</v>
          </cell>
          <cell r="C102">
            <v>30</v>
          </cell>
        </row>
        <row r="103">
          <cell r="A103" t="str">
            <v>利比亞</v>
          </cell>
          <cell r="B103">
            <v>94</v>
          </cell>
          <cell r="C103">
            <v>18</v>
          </cell>
        </row>
        <row r="104">
          <cell r="A104" t="str">
            <v>迦納</v>
          </cell>
          <cell r="B104">
            <v>65</v>
          </cell>
          <cell r="C104">
            <v>10</v>
          </cell>
        </row>
        <row r="105">
          <cell r="A105" t="str">
            <v>埃及</v>
          </cell>
          <cell r="B105">
            <v>63</v>
          </cell>
          <cell r="C105">
            <v>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3">
          <cell r="A3" t="str">
            <v>總計</v>
          </cell>
          <cell r="B3">
            <v>1478750110</v>
          </cell>
          <cell r="C3">
            <v>1817090</v>
          </cell>
        </row>
        <row r="4">
          <cell r="A4" t="str">
            <v>美國</v>
          </cell>
          <cell r="B4">
            <v>617830453</v>
          </cell>
          <cell r="C4">
            <v>752635</v>
          </cell>
        </row>
        <row r="5">
          <cell r="A5" t="str">
            <v>荷蘭</v>
          </cell>
          <cell r="B5">
            <v>146305846</v>
          </cell>
          <cell r="C5">
            <v>140142</v>
          </cell>
        </row>
        <row r="6">
          <cell r="A6" t="str">
            <v>英國</v>
          </cell>
          <cell r="B6">
            <v>83504967</v>
          </cell>
          <cell r="C6">
            <v>126205</v>
          </cell>
        </row>
        <row r="7">
          <cell r="A7" t="str">
            <v>澳大利亞</v>
          </cell>
          <cell r="B7">
            <v>82827703</v>
          </cell>
          <cell r="C7">
            <v>84305</v>
          </cell>
        </row>
        <row r="8">
          <cell r="A8" t="str">
            <v>加拿大</v>
          </cell>
          <cell r="B8">
            <v>56420608</v>
          </cell>
          <cell r="C8">
            <v>49188</v>
          </cell>
        </row>
        <row r="9">
          <cell r="A9" t="str">
            <v>中國大陸</v>
          </cell>
          <cell r="B9">
            <v>44973483</v>
          </cell>
          <cell r="C9">
            <v>46742</v>
          </cell>
        </row>
        <row r="10">
          <cell r="A10" t="str">
            <v>比利時</v>
          </cell>
          <cell r="B10">
            <v>43995498</v>
          </cell>
          <cell r="C10">
            <v>59245</v>
          </cell>
        </row>
        <row r="11">
          <cell r="A11" t="str">
            <v>韓國</v>
          </cell>
          <cell r="B11">
            <v>42585926</v>
          </cell>
          <cell r="C11">
            <v>33691</v>
          </cell>
        </row>
        <row r="12">
          <cell r="A12" t="str">
            <v>日本</v>
          </cell>
          <cell r="B12">
            <v>40256953</v>
          </cell>
          <cell r="C12">
            <v>59892</v>
          </cell>
        </row>
        <row r="13">
          <cell r="A13" t="str">
            <v>德國</v>
          </cell>
          <cell r="B13">
            <v>32421332</v>
          </cell>
          <cell r="C13">
            <v>82917</v>
          </cell>
        </row>
        <row r="14">
          <cell r="A14" t="str">
            <v>瑞士</v>
          </cell>
          <cell r="B14">
            <v>31162687</v>
          </cell>
          <cell r="C14">
            <v>20948</v>
          </cell>
        </row>
        <row r="15">
          <cell r="A15" t="str">
            <v>法國</v>
          </cell>
          <cell r="B15">
            <v>28958741</v>
          </cell>
          <cell r="C15">
            <v>35199</v>
          </cell>
        </row>
        <row r="16">
          <cell r="A16" t="str">
            <v>紐西蘭</v>
          </cell>
          <cell r="B16">
            <v>22983376</v>
          </cell>
          <cell r="C16">
            <v>20074</v>
          </cell>
        </row>
        <row r="17">
          <cell r="A17" t="str">
            <v>義大利</v>
          </cell>
          <cell r="B17">
            <v>22446652</v>
          </cell>
          <cell r="C17">
            <v>20193</v>
          </cell>
        </row>
        <row r="18">
          <cell r="A18" t="str">
            <v>墨西哥</v>
          </cell>
          <cell r="B18">
            <v>14436241</v>
          </cell>
          <cell r="C18">
            <v>19559</v>
          </cell>
        </row>
        <row r="19">
          <cell r="A19" t="str">
            <v>哥倫比亞</v>
          </cell>
          <cell r="B19">
            <v>11917900</v>
          </cell>
          <cell r="C19">
            <v>8238</v>
          </cell>
        </row>
        <row r="20">
          <cell r="A20" t="str">
            <v>波蘭</v>
          </cell>
          <cell r="B20">
            <v>10679231</v>
          </cell>
          <cell r="C20">
            <v>31336</v>
          </cell>
        </row>
        <row r="21">
          <cell r="A21" t="str">
            <v>新加坡</v>
          </cell>
          <cell r="B21">
            <v>10574358</v>
          </cell>
          <cell r="C21">
            <v>8125</v>
          </cell>
        </row>
        <row r="22">
          <cell r="A22" t="str">
            <v>智利</v>
          </cell>
          <cell r="B22">
            <v>10350742</v>
          </cell>
          <cell r="C22">
            <v>10509</v>
          </cell>
        </row>
        <row r="23">
          <cell r="A23" t="str">
            <v>南非</v>
          </cell>
          <cell r="B23">
            <v>10225770</v>
          </cell>
          <cell r="C23">
            <v>6333</v>
          </cell>
        </row>
        <row r="24">
          <cell r="A24" t="str">
            <v>挪威</v>
          </cell>
          <cell r="B24">
            <v>8757552</v>
          </cell>
          <cell r="C24">
            <v>19503</v>
          </cell>
        </row>
        <row r="25">
          <cell r="A25" t="str">
            <v>瑞典</v>
          </cell>
          <cell r="B25">
            <v>8328650</v>
          </cell>
          <cell r="C25">
            <v>36701</v>
          </cell>
        </row>
        <row r="26">
          <cell r="A26" t="str">
            <v>巴拿馬</v>
          </cell>
          <cell r="B26">
            <v>8209169</v>
          </cell>
          <cell r="C26">
            <v>4664</v>
          </cell>
        </row>
        <row r="27">
          <cell r="A27" t="str">
            <v>丹麥</v>
          </cell>
          <cell r="B27">
            <v>7700436</v>
          </cell>
          <cell r="C27">
            <v>23440</v>
          </cell>
        </row>
        <row r="28">
          <cell r="A28" t="str">
            <v>馬來西亞</v>
          </cell>
          <cell r="B28">
            <v>7016239</v>
          </cell>
          <cell r="C28">
            <v>4606</v>
          </cell>
        </row>
        <row r="29">
          <cell r="A29" t="str">
            <v>香港</v>
          </cell>
          <cell r="B29">
            <v>6374359</v>
          </cell>
          <cell r="C29">
            <v>7611</v>
          </cell>
        </row>
        <row r="30">
          <cell r="A30" t="str">
            <v>以色列</v>
          </cell>
          <cell r="B30">
            <v>6029430</v>
          </cell>
          <cell r="C30">
            <v>5235</v>
          </cell>
        </row>
        <row r="31">
          <cell r="A31" t="str">
            <v>西班牙</v>
          </cell>
          <cell r="B31">
            <v>5938187</v>
          </cell>
          <cell r="C31">
            <v>12868</v>
          </cell>
        </row>
        <row r="32">
          <cell r="A32" t="str">
            <v>巴西</v>
          </cell>
          <cell r="B32">
            <v>5925296</v>
          </cell>
          <cell r="C32">
            <v>4235</v>
          </cell>
        </row>
        <row r="33">
          <cell r="A33" t="str">
            <v>泰國</v>
          </cell>
          <cell r="B33">
            <v>5916201</v>
          </cell>
          <cell r="C33">
            <v>4683</v>
          </cell>
        </row>
        <row r="34">
          <cell r="A34" t="str">
            <v>捷克</v>
          </cell>
          <cell r="B34">
            <v>5291553</v>
          </cell>
          <cell r="C34">
            <v>17980</v>
          </cell>
        </row>
        <row r="35">
          <cell r="A35" t="str">
            <v>菲律賓</v>
          </cell>
          <cell r="B35">
            <v>3725193</v>
          </cell>
          <cell r="C35">
            <v>4422</v>
          </cell>
        </row>
        <row r="36">
          <cell r="A36" t="str">
            <v>阿拉伯聯合大公國</v>
          </cell>
          <cell r="B36">
            <v>3615200</v>
          </cell>
          <cell r="C36">
            <v>3134</v>
          </cell>
        </row>
        <row r="37">
          <cell r="A37" t="str">
            <v>哥斯大黎加</v>
          </cell>
          <cell r="B37">
            <v>3406151</v>
          </cell>
          <cell r="C37">
            <v>2506</v>
          </cell>
        </row>
        <row r="38">
          <cell r="A38" t="str">
            <v>厄瓜多</v>
          </cell>
          <cell r="B38">
            <v>3105298</v>
          </cell>
          <cell r="C38">
            <v>2303</v>
          </cell>
        </row>
        <row r="39">
          <cell r="A39" t="str">
            <v>印尼</v>
          </cell>
          <cell r="B39">
            <v>2147262</v>
          </cell>
          <cell r="C39">
            <v>1746</v>
          </cell>
        </row>
        <row r="40">
          <cell r="A40" t="str">
            <v>阿根廷</v>
          </cell>
          <cell r="B40">
            <v>1902685</v>
          </cell>
          <cell r="C40">
            <v>2465</v>
          </cell>
        </row>
        <row r="41">
          <cell r="A41" t="str">
            <v>奧地利</v>
          </cell>
          <cell r="B41">
            <v>1742810</v>
          </cell>
          <cell r="C41">
            <v>4270</v>
          </cell>
        </row>
        <row r="42">
          <cell r="A42" t="str">
            <v>印度</v>
          </cell>
          <cell r="B42">
            <v>1720587</v>
          </cell>
          <cell r="C42">
            <v>2159</v>
          </cell>
        </row>
        <row r="43">
          <cell r="A43" t="str">
            <v>越南</v>
          </cell>
          <cell r="B43">
            <v>1704226</v>
          </cell>
          <cell r="C43">
            <v>1024</v>
          </cell>
        </row>
        <row r="44">
          <cell r="A44" t="str">
            <v>秘魯</v>
          </cell>
          <cell r="B44">
            <v>1517010</v>
          </cell>
          <cell r="C44">
            <v>1237</v>
          </cell>
        </row>
        <row r="45">
          <cell r="A45" t="str">
            <v>芬蘭</v>
          </cell>
          <cell r="B45">
            <v>1488631</v>
          </cell>
          <cell r="C45">
            <v>3697</v>
          </cell>
        </row>
        <row r="46">
          <cell r="A46" t="str">
            <v>俄羅斯</v>
          </cell>
          <cell r="B46">
            <v>1298227</v>
          </cell>
          <cell r="C46">
            <v>4688</v>
          </cell>
        </row>
        <row r="47">
          <cell r="A47" t="str">
            <v>瓜地馬拉</v>
          </cell>
          <cell r="B47">
            <v>1057530</v>
          </cell>
          <cell r="C47">
            <v>794</v>
          </cell>
        </row>
        <row r="48">
          <cell r="A48" t="str">
            <v>匈牙利</v>
          </cell>
          <cell r="B48">
            <v>958412</v>
          </cell>
          <cell r="C48">
            <v>5708</v>
          </cell>
        </row>
        <row r="49">
          <cell r="A49" t="str">
            <v>關島</v>
          </cell>
          <cell r="B49">
            <v>932642</v>
          </cell>
          <cell r="C49">
            <v>438</v>
          </cell>
        </row>
        <row r="50">
          <cell r="A50" t="str">
            <v>斯洛維尼亞</v>
          </cell>
          <cell r="B50">
            <v>765136</v>
          </cell>
          <cell r="C50">
            <v>2237</v>
          </cell>
        </row>
        <row r="51">
          <cell r="A51" t="str">
            <v>拉脫維亞</v>
          </cell>
          <cell r="B51">
            <v>573917</v>
          </cell>
          <cell r="C51">
            <v>2302</v>
          </cell>
        </row>
        <row r="52">
          <cell r="A52" t="str">
            <v>希臘</v>
          </cell>
          <cell r="B52">
            <v>556897</v>
          </cell>
          <cell r="C52">
            <v>3696</v>
          </cell>
        </row>
        <row r="53">
          <cell r="A53" t="str">
            <v>烏拉圭</v>
          </cell>
          <cell r="B53">
            <v>503081</v>
          </cell>
          <cell r="C53">
            <v>581</v>
          </cell>
        </row>
        <row r="54">
          <cell r="A54" t="str">
            <v>愛沙尼亞</v>
          </cell>
          <cell r="B54">
            <v>476510</v>
          </cell>
          <cell r="C54">
            <v>2031</v>
          </cell>
        </row>
        <row r="55">
          <cell r="A55" t="str">
            <v>土耳其</v>
          </cell>
          <cell r="B55">
            <v>450743</v>
          </cell>
          <cell r="C55">
            <v>312</v>
          </cell>
        </row>
        <row r="56">
          <cell r="A56" t="str">
            <v>盧森堡</v>
          </cell>
          <cell r="B56">
            <v>435469</v>
          </cell>
          <cell r="C56">
            <v>177</v>
          </cell>
        </row>
        <row r="57">
          <cell r="A57" t="str">
            <v>薩爾瓦多</v>
          </cell>
          <cell r="B57">
            <v>416536</v>
          </cell>
          <cell r="C57">
            <v>456</v>
          </cell>
        </row>
        <row r="58">
          <cell r="A58" t="str">
            <v>沙烏地阿拉伯</v>
          </cell>
          <cell r="B58">
            <v>403035</v>
          </cell>
          <cell r="C58">
            <v>719</v>
          </cell>
        </row>
        <row r="59">
          <cell r="A59" t="str">
            <v>哈薩克</v>
          </cell>
          <cell r="B59">
            <v>387599</v>
          </cell>
          <cell r="C59">
            <v>465</v>
          </cell>
        </row>
        <row r="60">
          <cell r="A60" t="str">
            <v>留尼旺</v>
          </cell>
          <cell r="B60">
            <v>365002</v>
          </cell>
          <cell r="C60">
            <v>375</v>
          </cell>
        </row>
        <row r="61">
          <cell r="A61" t="str">
            <v>多明尼加</v>
          </cell>
          <cell r="B61">
            <v>341092</v>
          </cell>
          <cell r="C61">
            <v>292</v>
          </cell>
        </row>
        <row r="62">
          <cell r="A62" t="str">
            <v>尼泊爾</v>
          </cell>
          <cell r="B62">
            <v>314768</v>
          </cell>
          <cell r="C62">
            <v>223</v>
          </cell>
        </row>
        <row r="63">
          <cell r="A63" t="str">
            <v>立陶宛</v>
          </cell>
          <cell r="B63">
            <v>261981</v>
          </cell>
          <cell r="C63">
            <v>1009</v>
          </cell>
        </row>
        <row r="64">
          <cell r="A64" t="str">
            <v>克羅埃西亞</v>
          </cell>
          <cell r="B64">
            <v>219725</v>
          </cell>
          <cell r="C64">
            <v>1015</v>
          </cell>
        </row>
        <row r="65">
          <cell r="A65" t="str">
            <v>肯亞</v>
          </cell>
          <cell r="B65">
            <v>194984</v>
          </cell>
          <cell r="C65">
            <v>155</v>
          </cell>
        </row>
        <row r="66">
          <cell r="A66" t="str">
            <v>卡達</v>
          </cell>
          <cell r="B66">
            <v>153234</v>
          </cell>
          <cell r="C66">
            <v>149</v>
          </cell>
        </row>
        <row r="67">
          <cell r="A67" t="str">
            <v>賽普勒斯</v>
          </cell>
          <cell r="B67">
            <v>138272</v>
          </cell>
          <cell r="C67">
            <v>755</v>
          </cell>
        </row>
        <row r="68">
          <cell r="A68" t="str">
            <v>波多黎各</v>
          </cell>
          <cell r="B68">
            <v>130064</v>
          </cell>
          <cell r="C68">
            <v>106</v>
          </cell>
        </row>
        <row r="69">
          <cell r="A69" t="str">
            <v>委內瑞拉</v>
          </cell>
          <cell r="B69">
            <v>114199</v>
          </cell>
          <cell r="C69">
            <v>264</v>
          </cell>
        </row>
        <row r="70">
          <cell r="A70" t="str">
            <v>巴拉圭</v>
          </cell>
          <cell r="B70">
            <v>113510</v>
          </cell>
          <cell r="C70">
            <v>93</v>
          </cell>
        </row>
        <row r="71">
          <cell r="A71" t="str">
            <v>模里西斯</v>
          </cell>
          <cell r="B71">
            <v>96939</v>
          </cell>
          <cell r="C71">
            <v>95</v>
          </cell>
        </row>
        <row r="72">
          <cell r="A72" t="str">
            <v>烏茲別克</v>
          </cell>
          <cell r="B72">
            <v>80115</v>
          </cell>
          <cell r="C72">
            <v>200</v>
          </cell>
        </row>
        <row r="73">
          <cell r="A73" t="str">
            <v>斯洛伐克</v>
          </cell>
          <cell r="B73">
            <v>77364</v>
          </cell>
          <cell r="C73">
            <v>470</v>
          </cell>
        </row>
        <row r="74">
          <cell r="A74" t="str">
            <v>保加利亞</v>
          </cell>
          <cell r="B74">
            <v>71607</v>
          </cell>
          <cell r="C74">
            <v>390</v>
          </cell>
        </row>
        <row r="75">
          <cell r="A75" t="str">
            <v>波士尼亞及赫塞哥維納</v>
          </cell>
          <cell r="B75">
            <v>67151</v>
          </cell>
          <cell r="C75">
            <v>51</v>
          </cell>
        </row>
        <row r="76">
          <cell r="A76" t="str">
            <v>冰島</v>
          </cell>
          <cell r="B76">
            <v>62400</v>
          </cell>
          <cell r="C76">
            <v>55</v>
          </cell>
        </row>
        <row r="77">
          <cell r="A77" t="str">
            <v>巴林</v>
          </cell>
          <cell r="B77">
            <v>57936</v>
          </cell>
          <cell r="C77">
            <v>50</v>
          </cell>
        </row>
        <row r="78">
          <cell r="A78" t="str">
            <v>葡萄牙</v>
          </cell>
          <cell r="B78">
            <v>54691</v>
          </cell>
          <cell r="C78">
            <v>24</v>
          </cell>
        </row>
        <row r="79">
          <cell r="A79" t="str">
            <v>烏克蘭</v>
          </cell>
          <cell r="B79">
            <v>48470</v>
          </cell>
          <cell r="C79">
            <v>223</v>
          </cell>
        </row>
        <row r="80">
          <cell r="A80" t="str">
            <v>黎巴嫩</v>
          </cell>
          <cell r="B80">
            <v>45217</v>
          </cell>
          <cell r="C80">
            <v>32</v>
          </cell>
        </row>
        <row r="81">
          <cell r="A81" t="str">
            <v>科威特</v>
          </cell>
          <cell r="B81">
            <v>28553</v>
          </cell>
          <cell r="C81">
            <v>175</v>
          </cell>
        </row>
        <row r="82">
          <cell r="A82" t="str">
            <v>汶萊</v>
          </cell>
          <cell r="B82">
            <v>25774</v>
          </cell>
          <cell r="C82">
            <v>18</v>
          </cell>
        </row>
        <row r="83">
          <cell r="A83" t="str">
            <v>羅馬尼亞</v>
          </cell>
          <cell r="B83">
            <v>16956</v>
          </cell>
          <cell r="C83">
            <v>142</v>
          </cell>
        </row>
        <row r="84">
          <cell r="A84" t="str">
            <v>馬爾他</v>
          </cell>
          <cell r="B84">
            <v>9005</v>
          </cell>
          <cell r="C84">
            <v>52</v>
          </cell>
        </row>
        <row r="85">
          <cell r="A85" t="str">
            <v>法屬玻里尼西亞</v>
          </cell>
          <cell r="B85">
            <v>6699</v>
          </cell>
          <cell r="C85">
            <v>10</v>
          </cell>
        </row>
        <row r="86">
          <cell r="A86" t="str">
            <v>澳門</v>
          </cell>
          <cell r="B86">
            <v>5854</v>
          </cell>
          <cell r="C86">
            <v>2</v>
          </cell>
        </row>
        <row r="87">
          <cell r="A87" t="str">
            <v>蘇利南</v>
          </cell>
          <cell r="B87">
            <v>4368</v>
          </cell>
          <cell r="C87">
            <v>1</v>
          </cell>
        </row>
        <row r="88">
          <cell r="A88" t="str">
            <v>新克里多亞</v>
          </cell>
          <cell r="B88">
            <v>3721</v>
          </cell>
          <cell r="C88">
            <v>2</v>
          </cell>
        </row>
        <row r="89">
          <cell r="A89" t="str">
            <v>東加</v>
          </cell>
          <cell r="B89">
            <v>2176</v>
          </cell>
          <cell r="C89">
            <v>20</v>
          </cell>
        </row>
        <row r="90">
          <cell r="A90" t="str">
            <v>斯里蘭卡</v>
          </cell>
          <cell r="B90">
            <v>1206</v>
          </cell>
          <cell r="C90">
            <v>1</v>
          </cell>
        </row>
        <row r="91">
          <cell r="A91" t="str">
            <v>馬紹爾群島共和國</v>
          </cell>
          <cell r="B91">
            <v>324</v>
          </cell>
          <cell r="C91">
            <v>2</v>
          </cell>
        </row>
        <row r="92">
          <cell r="A92" t="str">
            <v>迦納</v>
          </cell>
          <cell r="B92">
            <v>235</v>
          </cell>
          <cell r="C92">
            <v>50</v>
          </cell>
        </row>
        <row r="93">
          <cell r="A93" t="str">
            <v>約旦</v>
          </cell>
          <cell r="B93">
            <v>94</v>
          </cell>
          <cell r="C93">
            <v>4</v>
          </cell>
        </row>
        <row r="94">
          <cell r="A94" t="str">
            <v>喀麥隆</v>
          </cell>
          <cell r="B94">
            <v>67</v>
          </cell>
          <cell r="C94">
            <v>10</v>
          </cell>
        </row>
        <row r="95">
          <cell r="A95" t="str">
            <v>奈及利亞</v>
          </cell>
          <cell r="B95">
            <v>31</v>
          </cell>
          <cell r="C95">
            <v>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76"/>
  <sheetViews>
    <sheetView tabSelected="1" zoomScale="90" zoomScaleNormal="9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463</v>
      </c>
      <c r="B1" s="2"/>
      <c r="C1" s="2"/>
      <c r="D1" s="3"/>
      <c r="E1" s="2"/>
      <c r="F1" s="2"/>
      <c r="G1" s="2"/>
      <c r="H1" s="2"/>
      <c r="I1" s="3"/>
    </row>
    <row r="2" spans="1:9" ht="6.75" customHeight="1"/>
    <row r="3" spans="1:9" s="7" customFormat="1">
      <c r="A3" s="555" t="s">
        <v>0</v>
      </c>
      <c r="B3" s="556"/>
      <c r="C3" s="556"/>
      <c r="D3" s="556"/>
      <c r="E3" s="556"/>
      <c r="F3" s="556"/>
      <c r="G3" s="556"/>
      <c r="H3" s="556"/>
      <c r="I3" s="557"/>
    </row>
    <row r="4" spans="1:9" s="13" customFormat="1">
      <c r="A4" s="8" t="s">
        <v>464</v>
      </c>
      <c r="B4" s="8" t="s">
        <v>465</v>
      </c>
      <c r="C4" s="8" t="s">
        <v>466</v>
      </c>
      <c r="D4" s="9" t="s">
        <v>1</v>
      </c>
      <c r="E4" s="10" t="s">
        <v>467</v>
      </c>
      <c r="F4" s="11" t="s">
        <v>2</v>
      </c>
      <c r="G4" s="8" t="s">
        <v>468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4</v>
      </c>
      <c r="H5" s="8"/>
      <c r="I5" s="12" t="s">
        <v>4</v>
      </c>
    </row>
    <row r="6" spans="1:9">
      <c r="A6" s="15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25037</v>
      </c>
      <c r="C7" s="22">
        <f>SUM(C8:C10)</f>
        <v>29127003</v>
      </c>
      <c r="D7" s="23">
        <f>IF(B7,C7/B7,0)</f>
        <v>1163.358349642529</v>
      </c>
      <c r="E7" s="22">
        <f>SUM(E8:E10)</f>
        <v>469395</v>
      </c>
      <c r="F7" s="24">
        <f>E7/$E$67</f>
        <v>0.37559021662680547</v>
      </c>
      <c r="G7" s="22">
        <f>SUM(G8:G10)</f>
        <v>494497533</v>
      </c>
      <c r="H7" s="24">
        <f>G7/$G$67</f>
        <v>0.38267160697634234</v>
      </c>
      <c r="I7" s="25">
        <f>IF(E7,G7/E7,0)</f>
        <v>1053.4784840060076</v>
      </c>
    </row>
    <row r="8" spans="1:9">
      <c r="A8" s="452" t="s">
        <v>201</v>
      </c>
      <c r="B8" s="27">
        <f>VLOOKUP(A8,[5]進出口值表查詢結果!$A$9:$C$53,3,0)</f>
        <v>21815</v>
      </c>
      <c r="C8" s="28">
        <f>VLOOKUP(A8,[5]進出口值表查詢結果!$A$9:$C$53,2,0)</f>
        <v>24964397</v>
      </c>
      <c r="D8" s="23">
        <f t="shared" ref="D8:D66" si="0">IF(B8,C8/B8,0)</f>
        <v>1144.3684162273664</v>
      </c>
      <c r="E8" s="27">
        <f>VLOOKUP(A8,[6]進出口值表查詢結果!$A$9:$C$105,3,0)</f>
        <v>424241</v>
      </c>
      <c r="F8" s="29">
        <f>E8/$E$67</f>
        <v>0.33945987727174892</v>
      </c>
      <c r="G8" s="27">
        <f>VLOOKUP(A8,[6]進出口值表查詢結果!$A$9:$C$105,2,0)</f>
        <v>434985234</v>
      </c>
      <c r="H8" s="24">
        <f>G8/$G$67</f>
        <v>0.33661744983014974</v>
      </c>
      <c r="I8" s="25">
        <f t="shared" ref="I8:I66" si="1">IF(E8,G8/E8,0)</f>
        <v>1025.3257794508311</v>
      </c>
    </row>
    <row r="9" spans="1:9">
      <c r="A9" s="453" t="s">
        <v>7</v>
      </c>
      <c r="B9" s="27">
        <f>VLOOKUP(A9,[5]進出口值表查詢結果!$A$9:$C$53,3,0)</f>
        <v>2945</v>
      </c>
      <c r="C9" s="28">
        <f>VLOOKUP(A9,[5]進出口值表查詢結果!$A$9:$C$53,2,0)</f>
        <v>3642358</v>
      </c>
      <c r="D9" s="23">
        <f t="shared" si="0"/>
        <v>1236.7938879456706</v>
      </c>
      <c r="E9" s="27">
        <f>VLOOKUP(A9,[6]進出口值表查詢結果!$A$9:$C$105,3,0)</f>
        <v>36903</v>
      </c>
      <c r="F9" s="29">
        <f>E9/$E$67</f>
        <v>2.9528234779192367E-2</v>
      </c>
      <c r="G9" s="27">
        <f>VLOOKUP(A9,[6]進出口值表查詢結果!$A$9:$C$105,2,0)</f>
        <v>48274164</v>
      </c>
      <c r="H9" s="24">
        <f>G9/$G$67</f>
        <v>3.7357419765569375E-2</v>
      </c>
      <c r="I9" s="25">
        <f t="shared" si="1"/>
        <v>1308.1365742622552</v>
      </c>
    </row>
    <row r="10" spans="1:9">
      <c r="A10" s="453" t="s">
        <v>8</v>
      </c>
      <c r="B10" s="27">
        <f>VLOOKUP(A10,[5]進出口值表查詢結果!$A$9:$C$53,3,0)</f>
        <v>277</v>
      </c>
      <c r="C10" s="28">
        <f>VLOOKUP(A10,[5]進出口值表查詢結果!$A$9:$C$53,2,0)</f>
        <v>520248</v>
      </c>
      <c r="D10" s="23">
        <f t="shared" si="0"/>
        <v>1878.1516245487364</v>
      </c>
      <c r="E10" s="27">
        <f>VLOOKUP(A10,[6]進出口值表查詢結果!$A$9:$C$105,3,0)</f>
        <v>8251</v>
      </c>
      <c r="F10" s="29">
        <f>E10/$E$67</f>
        <v>6.6021045758641907E-3</v>
      </c>
      <c r="G10" s="27">
        <f>VLOOKUP(A10,[6]進出口值表查詢結果!$A$9:$C$105,2,0)</f>
        <v>11238135</v>
      </c>
      <c r="H10" s="24">
        <f>G10/$G$67</f>
        <v>8.696737380623246E-3</v>
      </c>
      <c r="I10" s="25">
        <f t="shared" si="1"/>
        <v>1362.0330868985577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18634</v>
      </c>
      <c r="C12" s="33">
        <f>SUM(C13:C39)</f>
        <v>22312430</v>
      </c>
      <c r="D12" s="23">
        <f t="shared" si="0"/>
        <v>1197.404207362885</v>
      </c>
      <c r="E12" s="33">
        <f>SUM(E13:E39)</f>
        <v>360735</v>
      </c>
      <c r="F12" s="24">
        <f t="shared" ref="F12:F27" si="2">E12/$E$67</f>
        <v>0.28864503625916482</v>
      </c>
      <c r="G12" s="33">
        <f>SUM(G13:G39)</f>
        <v>346751487</v>
      </c>
      <c r="H12" s="24">
        <f t="shared" ref="H12:H39" si="3">G12/$G$67</f>
        <v>0.26833692768235973</v>
      </c>
      <c r="I12" s="25">
        <f t="shared" si="1"/>
        <v>961.23605139506844</v>
      </c>
    </row>
    <row r="13" spans="1:9">
      <c r="A13" s="452" t="s">
        <v>202</v>
      </c>
      <c r="B13" s="27">
        <f>VLOOKUP(A13,[5]進出口值表查詢結果!$A$9:$C$53,3,0)</f>
        <v>7126</v>
      </c>
      <c r="C13" s="28">
        <f>VLOOKUP(A13,[5]進出口值表查詢結果!$A$9:$C$53,2,0)</f>
        <v>11611438</v>
      </c>
      <c r="D13" s="23">
        <f t="shared" si="0"/>
        <v>1629.4468144821778</v>
      </c>
      <c r="E13" s="27">
        <f>VLOOKUP(A13,[6]進出口值表查詢結果!$A$9:$C$105,3,0)</f>
        <v>113932</v>
      </c>
      <c r="F13" s="29">
        <f t="shared" si="2"/>
        <v>9.1163613930112589E-2</v>
      </c>
      <c r="G13" s="27">
        <f>VLOOKUP(A13,[6]進出口值表查詢結果!$A$9:$C$105,2,0)</f>
        <v>158042216</v>
      </c>
      <c r="H13" s="24">
        <f t="shared" si="3"/>
        <v>0.1223024681233793</v>
      </c>
      <c r="I13" s="25">
        <f t="shared" si="1"/>
        <v>1387.1626584278342</v>
      </c>
    </row>
    <row r="14" spans="1:9">
      <c r="A14" s="452" t="s">
        <v>203</v>
      </c>
      <c r="B14" s="27">
        <f>VLOOKUP(A14,[5]進出口值表查詢結果!$A$9:$C$53,3,0)</f>
        <v>2941</v>
      </c>
      <c r="C14" s="28">
        <f>VLOOKUP(A14,[5]進出口值表查詢結果!$A$9:$C$53,2,0)</f>
        <v>2608868</v>
      </c>
      <c r="D14" s="23">
        <f t="shared" si="0"/>
        <v>887.06834410064607</v>
      </c>
      <c r="E14" s="27">
        <f>VLOOKUP(A14,[6]進出口值表查詢結果!$A$9:$C$105,3,0)</f>
        <v>84103</v>
      </c>
      <c r="F14" s="29">
        <f t="shared" si="2"/>
        <v>6.7295697629851658E-2</v>
      </c>
      <c r="G14" s="27">
        <f>VLOOKUP(A14,[6]進出口值表查詢結果!$A$9:$C$105,2,0)</f>
        <v>51718489</v>
      </c>
      <c r="H14" s="24">
        <f t="shared" si="3"/>
        <v>4.0022843341502141E-2</v>
      </c>
      <c r="I14" s="25">
        <f t="shared" si="1"/>
        <v>614.94226127486536</v>
      </c>
    </row>
    <row r="15" spans="1:9">
      <c r="A15" s="453" t="s">
        <v>10</v>
      </c>
      <c r="B15" s="27">
        <f>VLOOKUP(A15,[5]進出口值表查詢結果!$A$9:$C$53,3,0)</f>
        <v>1231</v>
      </c>
      <c r="C15" s="28">
        <f>VLOOKUP(A15,[5]進出口值表查詢結果!$A$9:$C$53,2,0)</f>
        <v>2050852</v>
      </c>
      <c r="D15" s="23">
        <f t="shared" si="0"/>
        <v>1666.0048740861089</v>
      </c>
      <c r="E15" s="27">
        <f>VLOOKUP(A15,[6]進出口值表查詢結果!$A$9:$C$105,3,0)</f>
        <v>11469</v>
      </c>
      <c r="F15" s="29">
        <f t="shared" si="2"/>
        <v>9.1770133778434626E-3</v>
      </c>
      <c r="G15" s="27">
        <f>VLOOKUP(A15,[6]進出口值表查詢結果!$A$9:$C$105,2,0)</f>
        <v>13885361</v>
      </c>
      <c r="H15" s="24">
        <f t="shared" si="3"/>
        <v>1.0745318333704673E-2</v>
      </c>
      <c r="I15" s="25">
        <f t="shared" si="1"/>
        <v>1210.6862847676346</v>
      </c>
    </row>
    <row r="16" spans="1:9">
      <c r="A16" s="452" t="s">
        <v>204</v>
      </c>
      <c r="B16" s="27">
        <f>VLOOKUP(A16,[5]進出口值表查詢結果!$A$9:$C$53,3,0)</f>
        <v>2267</v>
      </c>
      <c r="C16" s="28">
        <f>VLOOKUP(A16,[5]進出口值表查詢結果!$A$9:$C$53,2,0)</f>
        <v>2208464</v>
      </c>
      <c r="D16" s="23">
        <f t="shared" si="0"/>
        <v>974.17909131010151</v>
      </c>
      <c r="E16" s="27">
        <f>VLOOKUP(A16,[6]進出口值表查詢結果!$A$9:$C$105,3,0)</f>
        <v>36517</v>
      </c>
      <c r="F16" s="29">
        <f t="shared" si="2"/>
        <v>2.9219373748252654E-2</v>
      </c>
      <c r="G16" s="27">
        <f>VLOOKUP(A16,[6]進出口值表查詢結果!$A$9:$C$105,2,0)</f>
        <v>31741715</v>
      </c>
      <c r="H16" s="24">
        <f t="shared" si="3"/>
        <v>2.4563627271392413E-2</v>
      </c>
      <c r="I16" s="25">
        <f t="shared" si="1"/>
        <v>869.23117999835688</v>
      </c>
    </row>
    <row r="17" spans="1:9">
      <c r="A17" s="453" t="s">
        <v>11</v>
      </c>
      <c r="B17" s="27">
        <f>VLOOKUP(A17,[5]進出口值表查詢結果!$A$9:$C$53,3,0)</f>
        <v>456</v>
      </c>
      <c r="C17" s="28">
        <f>VLOOKUP(A17,[5]進出口值表查詢結果!$A$9:$C$53,2,0)</f>
        <v>665706</v>
      </c>
      <c r="D17" s="23">
        <f t="shared" si="0"/>
        <v>1459.8815789473683</v>
      </c>
      <c r="E17" s="27">
        <f>VLOOKUP(A17,[6]進出口值表查詢結果!$A$9:$C$105,3,0)</f>
        <v>12320</v>
      </c>
      <c r="F17" s="29">
        <f t="shared" si="2"/>
        <v>9.8579479305110698E-3</v>
      </c>
      <c r="G17" s="27">
        <f>VLOOKUP(A17,[6]進出口值表查詢結果!$A$9:$C$105,2,0)</f>
        <v>18310797</v>
      </c>
      <c r="H17" s="24">
        <f t="shared" si="3"/>
        <v>1.4169983964323616E-2</v>
      </c>
      <c r="I17" s="25">
        <f t="shared" si="1"/>
        <v>1486.2659902597402</v>
      </c>
    </row>
    <row r="18" spans="1:9">
      <c r="A18" s="453" t="s">
        <v>12</v>
      </c>
      <c r="B18" s="27">
        <f>VLOOKUP(A18,[5]進出口值表查詢結果!$A$9:$C$53,3,0)</f>
        <v>1545</v>
      </c>
      <c r="C18" s="28">
        <f>VLOOKUP(A18,[5]進出口值表查詢結果!$A$9:$C$53,2,0)</f>
        <v>1909085</v>
      </c>
      <c r="D18" s="23">
        <f t="shared" si="0"/>
        <v>1235.6537216828478</v>
      </c>
      <c r="E18" s="27">
        <f>VLOOKUP(A18,[6]進出口值表查詢結果!$A$9:$C$105,3,0)</f>
        <v>32467</v>
      </c>
      <c r="F18" s="29">
        <f t="shared" si="2"/>
        <v>2.5978733397719389E-2</v>
      </c>
      <c r="G18" s="27">
        <f>VLOOKUP(A18,[6]進出口值表查詢結果!$A$9:$C$105,2,0)</f>
        <v>44549543</v>
      </c>
      <c r="H18" s="24">
        <f t="shared" si="3"/>
        <v>3.4475086471000983E-2</v>
      </c>
      <c r="I18" s="25">
        <f t="shared" si="1"/>
        <v>1372.1484276342132</v>
      </c>
    </row>
    <row r="19" spans="1:9">
      <c r="A19" s="452" t="s">
        <v>205</v>
      </c>
      <c r="B19" s="27">
        <f>VLOOKUP(A19,[5]進出口值表查詢結果!$A$9:$C$53,3,0)</f>
        <v>836</v>
      </c>
      <c r="C19" s="28">
        <f>VLOOKUP(A19,[5]進出口值表查詢結果!$A$9:$C$53,2,0)</f>
        <v>149457</v>
      </c>
      <c r="D19" s="23">
        <f t="shared" si="0"/>
        <v>178.77631578947367</v>
      </c>
      <c r="E19" s="27">
        <f>VLOOKUP(A19,[6]進出口值表查詢結果!$A$9:$C$105,3,0)</f>
        <v>15133</v>
      </c>
      <c r="F19" s="29">
        <f t="shared" si="2"/>
        <v>1.2108792697437013E-2</v>
      </c>
      <c r="G19" s="27">
        <f>VLOOKUP(A19,[6]進出口值表查詢結果!$A$9:$C$105,2,0)</f>
        <v>5271051</v>
      </c>
      <c r="H19" s="24">
        <f t="shared" si="3"/>
        <v>4.079052820318633E-3</v>
      </c>
      <c r="I19" s="25">
        <f t="shared" si="1"/>
        <v>348.3150069384788</v>
      </c>
    </row>
    <row r="20" spans="1:9">
      <c r="A20" s="453" t="s">
        <v>206</v>
      </c>
      <c r="B20" s="27">
        <v>0</v>
      </c>
      <c r="C20" s="27">
        <f>_xlfn.IFNA(VLOOKUP(A20,[3]出!$C$11:$E$713,2,0),-[4]整車!$B$22)</f>
        <v>0</v>
      </c>
      <c r="D20" s="23">
        <f t="shared" si="0"/>
        <v>0</v>
      </c>
      <c r="E20" s="27">
        <f>VLOOKUP(A20,[6]進出口值表查詢結果!$A$9:$C$105,3,0)</f>
        <v>85</v>
      </c>
      <c r="F20" s="29">
        <f t="shared" si="2"/>
        <v>6.8013439455636432E-5</v>
      </c>
      <c r="G20" s="27">
        <f>VLOOKUP(A20,[6]進出口值表查詢結果!$A$9:$C$105,2,0)</f>
        <v>175126</v>
      </c>
      <c r="H20" s="24">
        <f t="shared" si="3"/>
        <v>1.3552291643756072E-4</v>
      </c>
      <c r="I20" s="25">
        <f t="shared" si="1"/>
        <v>2060.3058823529414</v>
      </c>
    </row>
    <row r="21" spans="1:9">
      <c r="A21" s="452" t="s">
        <v>207</v>
      </c>
      <c r="B21" s="27">
        <v>0</v>
      </c>
      <c r="C21" s="27">
        <f>_xlfn.IFNA(VLOOKUP(A21,[3]出!$C$11:$E$713,2,0),-[4]整車!$B$22)</f>
        <v>0</v>
      </c>
      <c r="D21" s="23">
        <f t="shared" si="0"/>
        <v>0</v>
      </c>
      <c r="E21" s="27">
        <f>VLOOKUP(A21,[6]進出口值表查詢結果!$A$9:$C$105,3,0)</f>
        <v>1895</v>
      </c>
      <c r="F21" s="29">
        <f t="shared" si="2"/>
        <v>1.516299620805071E-3</v>
      </c>
      <c r="G21" s="27">
        <f>VLOOKUP(A21,[6]進出口值表查詢結果!$A$9:$C$105,2,0)</f>
        <v>445459</v>
      </c>
      <c r="H21" s="24">
        <f t="shared" si="3"/>
        <v>3.4472267300891568E-4</v>
      </c>
      <c r="I21" s="25">
        <f t="shared" si="1"/>
        <v>235.0707124010554</v>
      </c>
    </row>
    <row r="22" spans="1:9">
      <c r="A22" s="453" t="s">
        <v>14</v>
      </c>
      <c r="B22" s="27">
        <v>0</v>
      </c>
      <c r="C22" s="27">
        <f>_xlfn.IFNA(VLOOKUP(A22,[3]出!$C$11:$E$713,2,0),-[4]整車!$B$22)</f>
        <v>0</v>
      </c>
      <c r="D22" s="23">
        <f t="shared" si="0"/>
        <v>0</v>
      </c>
      <c r="E22" s="27">
        <v>0</v>
      </c>
      <c r="F22" s="29">
        <f t="shared" si="2"/>
        <v>0</v>
      </c>
      <c r="G22" s="27">
        <f>_xlfn.IFNA(VLOOKUP(A22,[3]出同!$C$3:$H$107,4,0),-[4]整車!$B$22)</f>
        <v>0</v>
      </c>
      <c r="H22" s="24">
        <f t="shared" si="3"/>
        <v>0</v>
      </c>
      <c r="I22" s="25">
        <f t="shared" si="1"/>
        <v>0</v>
      </c>
    </row>
    <row r="23" spans="1:9">
      <c r="A23" s="453" t="s">
        <v>15</v>
      </c>
      <c r="B23" s="27">
        <v>0</v>
      </c>
      <c r="C23" s="27">
        <f>_xlfn.IFNA(VLOOKUP(A23,[3]出!$C$11:$E$713,2,0),-[4]整車!$B$22)</f>
        <v>0</v>
      </c>
      <c r="D23" s="23">
        <f t="shared" si="0"/>
        <v>0</v>
      </c>
      <c r="E23" s="27">
        <f>VLOOKUP(A23,[6]進出口值表查詢結果!$A$9:$C$105,3,0)</f>
        <v>148</v>
      </c>
      <c r="F23" s="29">
        <f t="shared" si="2"/>
        <v>1.1842340046393167E-4</v>
      </c>
      <c r="G23" s="27">
        <f>VLOOKUP(A23,[6]進出口值表查詢結果!$A$9:$C$105,2,0)</f>
        <v>388156</v>
      </c>
      <c r="H23" s="24">
        <f t="shared" si="3"/>
        <v>3.0037820285244807E-4</v>
      </c>
      <c r="I23" s="25">
        <f t="shared" si="1"/>
        <v>2622.6756756756758</v>
      </c>
    </row>
    <row r="24" spans="1:9">
      <c r="A24" s="453" t="s">
        <v>16</v>
      </c>
      <c r="B24" s="27">
        <v>0</v>
      </c>
      <c r="C24" s="27">
        <v>0</v>
      </c>
      <c r="D24" s="23">
        <f t="shared" si="0"/>
        <v>0</v>
      </c>
      <c r="E24" s="27">
        <f>VLOOKUP(A24,[6]進出口值表查詢結果!$A$9:$C$105,3,0)</f>
        <v>1650</v>
      </c>
      <c r="F24" s="29">
        <f t="shared" si="2"/>
        <v>1.3202608835505896E-3</v>
      </c>
      <c r="G24" s="27">
        <f>VLOOKUP(A24,[6]進出口值表查詢結果!$A$9:$C$105,2,0)</f>
        <v>1159739</v>
      </c>
      <c r="H24" s="24">
        <f t="shared" si="3"/>
        <v>8.9747502704555721E-4</v>
      </c>
      <c r="I24" s="25">
        <f t="shared" si="1"/>
        <v>702.87212121212121</v>
      </c>
    </row>
    <row r="25" spans="1:9">
      <c r="A25" s="452" t="s">
        <v>208</v>
      </c>
      <c r="B25" s="27">
        <v>0</v>
      </c>
      <c r="C25" s="27">
        <v>0</v>
      </c>
      <c r="D25" s="23">
        <f t="shared" si="0"/>
        <v>0</v>
      </c>
      <c r="E25" s="27">
        <f>VLOOKUP(A25,[6]進出口值表查詢結果!$A$9:$C$105,3,0)</f>
        <v>21098</v>
      </c>
      <c r="F25" s="29">
        <f t="shared" si="2"/>
        <v>1.6881735831000205E-2</v>
      </c>
      <c r="G25" s="27">
        <f>VLOOKUP(A25,[6]進出口值表查詢結果!$A$9:$C$105,2,0)</f>
        <v>4660471</v>
      </c>
      <c r="H25" s="24">
        <f t="shared" si="3"/>
        <v>3.606549695034861E-3</v>
      </c>
      <c r="I25" s="25">
        <f t="shared" si="1"/>
        <v>220.89634088539199</v>
      </c>
    </row>
    <row r="26" spans="1:9">
      <c r="A26" s="452" t="s">
        <v>209</v>
      </c>
      <c r="B26" s="27">
        <v>0</v>
      </c>
      <c r="C26" s="27">
        <f>_xlfn.IFNA(VLOOKUP(A26,[3]出!$C$11:$E$713,2,0),-[4]整車!$B$22)</f>
        <v>0</v>
      </c>
      <c r="D26" s="23">
        <f t="shared" si="0"/>
        <v>0</v>
      </c>
      <c r="E26" s="27">
        <f>VLOOKUP(A26,[6]進出口值表查詢結果!$A$9:$C$105,3,0)</f>
        <v>1936</v>
      </c>
      <c r="F26" s="29">
        <f t="shared" si="2"/>
        <v>1.5491061033660251E-3</v>
      </c>
      <c r="G26" s="27">
        <f>VLOOKUP(A26,[6]進出口值表查詢結果!$A$9:$C$105,2,0)</f>
        <v>1070806</v>
      </c>
      <c r="H26" s="24">
        <f t="shared" si="3"/>
        <v>8.2865338133023458E-4</v>
      </c>
      <c r="I26" s="25">
        <f t="shared" si="1"/>
        <v>553.10227272727275</v>
      </c>
    </row>
    <row r="27" spans="1:9">
      <c r="A27" s="454" t="s">
        <v>210</v>
      </c>
      <c r="B27" s="27">
        <f>VLOOKUP(A27,[5]進出口值表查詢結果!$A$9:$C$53,3,0)</f>
        <v>994</v>
      </c>
      <c r="C27" s="28">
        <f>VLOOKUP(A27,[5]進出口值表查詢結果!$A$9:$C$53,2,0)</f>
        <v>678946</v>
      </c>
      <c r="D27" s="23">
        <f t="shared" si="0"/>
        <v>683.04426559356136</v>
      </c>
      <c r="E27" s="27">
        <f>VLOOKUP(A27,[6]進出口值表查詢結果!$A$9:$C$105,3,0)</f>
        <v>13240</v>
      </c>
      <c r="F27" s="29">
        <f t="shared" si="2"/>
        <v>1.0594093392854428E-2</v>
      </c>
      <c r="G27" s="27">
        <f>VLOOKUP(A27,[6]進出口值表查詢結果!$A$9:$C$105,2,0)</f>
        <v>8079685</v>
      </c>
      <c r="H27" s="24">
        <f t="shared" si="3"/>
        <v>6.2525408854014414E-3</v>
      </c>
      <c r="I27" s="25">
        <f t="shared" si="1"/>
        <v>610.24811178247739</v>
      </c>
    </row>
    <row r="28" spans="1:9">
      <c r="A28" s="454" t="s">
        <v>211</v>
      </c>
      <c r="B28" s="27">
        <f>VLOOKUP(A28,[5]進出口值表查詢結果!$A$9:$C$53,3,0)</f>
        <v>1046</v>
      </c>
      <c r="C28" s="28">
        <f>VLOOKUP(A28,[5]進出口值表查詢結果!$A$9:$C$53,2,0)</f>
        <v>235567</v>
      </c>
      <c r="D28" s="23">
        <f t="shared" si="0"/>
        <v>225.20745697896749</v>
      </c>
      <c r="E28" s="27">
        <f>VLOOKUP(A28,[6]進出口值表查詢結果!$A$9:$C$105,3,0)</f>
        <v>8382</v>
      </c>
      <c r="F28" s="29">
        <f t="shared" ref="F28:F39" si="4">E28/$E$67</f>
        <v>6.7069252884369955E-3</v>
      </c>
      <c r="G28" s="27">
        <f>VLOOKUP(A28,[6]進出口值表查詢結果!$A$9:$C$105,2,0)</f>
        <v>3860919</v>
      </c>
      <c r="H28" s="24">
        <f t="shared" si="3"/>
        <v>2.9878087948630731E-3</v>
      </c>
      <c r="I28" s="25">
        <f t="shared" si="1"/>
        <v>460.62025769506084</v>
      </c>
    </row>
    <row r="29" spans="1:9">
      <c r="A29" s="453" t="s">
        <v>212</v>
      </c>
      <c r="B29" s="27">
        <v>0</v>
      </c>
      <c r="C29" s="27">
        <f>_xlfn.IFNA(VLOOKUP(A29,[3]出!$C$11:$E$713,2,0),-[4]整車!$B$22)</f>
        <v>0</v>
      </c>
      <c r="D29" s="23">
        <f t="shared" si="0"/>
        <v>0</v>
      </c>
      <c r="E29" s="27">
        <f>VLOOKUP(A29,[6]進出口值表查詢結果!$A$9:$C$105,3,0)</f>
        <v>1598</v>
      </c>
      <c r="F29" s="29">
        <f t="shared" si="4"/>
        <v>1.2786526617659649E-3</v>
      </c>
      <c r="G29" s="27">
        <f>VLOOKUP(A29,[6]進出口值表查詢結果!$A$9:$C$105,2,0)</f>
        <v>738884</v>
      </c>
      <c r="H29" s="24">
        <f t="shared" si="3"/>
        <v>5.7179239284315645E-4</v>
      </c>
      <c r="I29" s="25">
        <f t="shared" si="1"/>
        <v>462.38047559449313</v>
      </c>
    </row>
    <row r="30" spans="1:9">
      <c r="A30" s="453" t="s">
        <v>213</v>
      </c>
      <c r="B30" s="27">
        <v>0</v>
      </c>
      <c r="C30" s="27">
        <f>_xlfn.IFNA(VLOOKUP(A30,[3]出!$C$11:$E$713,2,0),-[4]整車!$B$22)</f>
        <v>0</v>
      </c>
      <c r="D30" s="23">
        <f t="shared" si="0"/>
        <v>0</v>
      </c>
      <c r="E30" s="27">
        <f>VLOOKUP(A30,[6]進出口值表查詢結果!$A$9:$C$105,3,0)</f>
        <v>22</v>
      </c>
      <c r="F30" s="29">
        <f t="shared" si="4"/>
        <v>1.7603478447341195E-5</v>
      </c>
      <c r="G30" s="27">
        <f>VLOOKUP(A30,[6]進出口值表查詢結果!$A$9:$C$105,2,0)</f>
        <v>4265</v>
      </c>
      <c r="H30" s="24">
        <f t="shared" si="3"/>
        <v>3.3005107100384668E-6</v>
      </c>
      <c r="I30" s="25">
        <f t="shared" si="1"/>
        <v>193.86363636363637</v>
      </c>
    </row>
    <row r="31" spans="1:9">
      <c r="A31" s="453" t="s">
        <v>17</v>
      </c>
      <c r="B31" s="27">
        <f>VLOOKUP(A31,[5]進出口值表查詢結果!$A$9:$C$53,3,0)</f>
        <v>192</v>
      </c>
      <c r="C31" s="28">
        <f>VLOOKUP(A31,[5]進出口值表查詢結果!$A$9:$C$53,2,0)</f>
        <v>194047</v>
      </c>
      <c r="D31" s="23">
        <f t="shared" si="0"/>
        <v>1010.6614583333334</v>
      </c>
      <c r="E31" s="27">
        <f>VLOOKUP(A31,[6]進出口值表查詢結果!$A$9:$C$105,3,0)</f>
        <v>1471</v>
      </c>
      <c r="F31" s="29">
        <f t="shared" si="4"/>
        <v>1.1770325816381317E-3</v>
      </c>
      <c r="G31" s="27">
        <f>VLOOKUP(A31,[6]進出口值表查詢結果!$A$9:$C$105,2,0)</f>
        <v>1583777</v>
      </c>
      <c r="H31" s="24">
        <f t="shared" si="3"/>
        <v>1.2256208559935739E-3</v>
      </c>
      <c r="I31" s="25">
        <f t="shared" si="1"/>
        <v>1076.6668932698844</v>
      </c>
    </row>
    <row r="32" spans="1:9">
      <c r="A32" s="453" t="s">
        <v>18</v>
      </c>
      <c r="B32" s="27">
        <v>0</v>
      </c>
      <c r="C32" s="27">
        <f>_xlfn.IFNA(VLOOKUP(A32,[3]出!$C$11:$E$713,2,0),-[4]整車!$B$22)</f>
        <v>0</v>
      </c>
      <c r="D32" s="23">
        <f t="shared" si="0"/>
        <v>0</v>
      </c>
      <c r="E32" s="27">
        <f>VLOOKUP(A32,[6]進出口值表查詢結果!$A$9:$C$105,3,0)</f>
        <v>50</v>
      </c>
      <c r="F32" s="29">
        <f t="shared" si="4"/>
        <v>4.0007905562139081E-5</v>
      </c>
      <c r="G32" s="27">
        <f>VLOOKUP(A32,[6]進出口值表查詢結果!$A$9:$C$105,2,0)</f>
        <v>6219</v>
      </c>
      <c r="H32" s="24">
        <f t="shared" si="3"/>
        <v>4.8126321467125968E-6</v>
      </c>
      <c r="I32" s="25">
        <f t="shared" si="1"/>
        <v>124.38</v>
      </c>
    </row>
    <row r="33" spans="1:9">
      <c r="A33" s="453" t="s">
        <v>214</v>
      </c>
      <c r="B33" s="27">
        <v>0</v>
      </c>
      <c r="C33" s="27">
        <v>0</v>
      </c>
      <c r="D33" s="23">
        <f t="shared" si="0"/>
        <v>0</v>
      </c>
      <c r="E33" s="27">
        <f>VLOOKUP(A33,[6]進出口值表查詢結果!$A$9:$C$105,3,0)</f>
        <v>1147</v>
      </c>
      <c r="F33" s="29">
        <f t="shared" si="4"/>
        <v>9.177813535954705E-4</v>
      </c>
      <c r="G33" s="27">
        <f>VLOOKUP(A33,[6]進出口值表查詢結果!$A$9:$C$105,2,0)</f>
        <v>527674</v>
      </c>
      <c r="H33" s="24">
        <f t="shared" si="3"/>
        <v>4.0834553069374861E-4</v>
      </c>
      <c r="I33" s="25">
        <f t="shared" si="1"/>
        <v>460.0470793374019</v>
      </c>
    </row>
    <row r="34" spans="1:9">
      <c r="A34" s="453" t="s">
        <v>215</v>
      </c>
      <c r="B34" s="27">
        <v>0</v>
      </c>
      <c r="C34" s="27">
        <v>0</v>
      </c>
      <c r="D34" s="23">
        <f t="shared" si="0"/>
        <v>0</v>
      </c>
      <c r="E34" s="27">
        <f>VLOOKUP(A34,[6]進出口值表查詢結果!$A$9:$C$105,3,0)</f>
        <v>427</v>
      </c>
      <c r="F34" s="29">
        <f t="shared" si="4"/>
        <v>3.4166751350066775E-4</v>
      </c>
      <c r="G34" s="27">
        <f>VLOOKUP(A34,[6]進出口值表查詢結果!$A$9:$C$105,2,0)</f>
        <v>114645</v>
      </c>
      <c r="H34" s="24">
        <f t="shared" si="3"/>
        <v>8.8719120832909734E-5</v>
      </c>
      <c r="I34" s="25">
        <f t="shared" si="1"/>
        <v>268.4894613583138</v>
      </c>
    </row>
    <row r="35" spans="1:9">
      <c r="A35" s="453" t="s">
        <v>216</v>
      </c>
      <c r="B35" s="27">
        <v>0</v>
      </c>
      <c r="C35" s="27">
        <v>0</v>
      </c>
      <c r="D35" s="23">
        <f t="shared" si="0"/>
        <v>0</v>
      </c>
      <c r="E35" s="27">
        <f>VLOOKUP(A35,[6]進出口值表查詢結果!$A$9:$C$105,3,0)</f>
        <v>409</v>
      </c>
      <c r="F35" s="29">
        <f t="shared" si="4"/>
        <v>3.2726466749829765E-4</v>
      </c>
      <c r="G35" s="27">
        <f>VLOOKUP(A35,[6]進出口值表查詢結果!$A$9:$C$105,2,0)</f>
        <v>165765</v>
      </c>
      <c r="H35" s="24">
        <f t="shared" si="3"/>
        <v>1.2827881778417971E-4</v>
      </c>
      <c r="I35" s="25">
        <f t="shared" si="1"/>
        <v>405.29339853300735</v>
      </c>
    </row>
    <row r="36" spans="1:9">
      <c r="A36" s="453" t="s">
        <v>217</v>
      </c>
      <c r="B36" s="27">
        <v>0</v>
      </c>
      <c r="C36" s="27">
        <v>0</v>
      </c>
      <c r="D36" s="23">
        <f t="shared" si="0"/>
        <v>0</v>
      </c>
      <c r="E36" s="27">
        <f>VLOOKUP(A36,[6]進出口值表查詢結果!$A$9:$C$105,3,0)</f>
        <v>210</v>
      </c>
      <c r="F36" s="29">
        <f t="shared" si="4"/>
        <v>1.6803320336098413E-4</v>
      </c>
      <c r="G36" s="27">
        <f>VLOOKUP(A36,[6]進出口值表查詢結果!$A$9:$C$105,2,0)</f>
        <v>33789</v>
      </c>
      <c r="H36" s="24">
        <f t="shared" si="3"/>
        <v>2.6147938190267234E-5</v>
      </c>
      <c r="I36" s="25">
        <f t="shared" si="1"/>
        <v>160.9</v>
      </c>
    </row>
    <row r="37" spans="1:9">
      <c r="A37" s="453" t="s">
        <v>218</v>
      </c>
      <c r="B37" s="27">
        <v>0</v>
      </c>
      <c r="C37" s="27">
        <v>0</v>
      </c>
      <c r="D37" s="23">
        <f t="shared" si="0"/>
        <v>0</v>
      </c>
      <c r="E37" s="27">
        <f>VLOOKUP(A37,[6]進出口值表查詢結果!$A$9:$C$105,3,0)</f>
        <v>53</v>
      </c>
      <c r="F37" s="29">
        <f t="shared" si="4"/>
        <v>4.240837989586742E-5</v>
      </c>
      <c r="G37" s="27">
        <f>VLOOKUP(A37,[6]進出口值表查詢結果!$A$9:$C$105,2,0)</f>
        <v>6811</v>
      </c>
      <c r="H37" s="24">
        <f t="shared" si="3"/>
        <v>5.2707569627366933E-6</v>
      </c>
      <c r="I37" s="25">
        <f t="shared" si="1"/>
        <v>128.50943396226415</v>
      </c>
    </row>
    <row r="38" spans="1:9">
      <c r="A38" s="453" t="s">
        <v>219</v>
      </c>
      <c r="B38" s="27">
        <v>0</v>
      </c>
      <c r="C38" s="27">
        <v>0</v>
      </c>
      <c r="D38" s="23">
        <f t="shared" si="0"/>
        <v>0</v>
      </c>
      <c r="E38" s="27">
        <f>VLOOKUP(A38,[6]進出口值表查詢結果!$A$9:$C$105,3,0)</f>
        <v>395</v>
      </c>
      <c r="F38" s="29">
        <f t="shared" si="4"/>
        <v>3.1606245394089874E-4</v>
      </c>
      <c r="G38" s="27">
        <f>VLOOKUP(A38,[6]進出口值表查詢結果!$A$9:$C$105,2,0)</f>
        <v>61429</v>
      </c>
      <c r="H38" s="24">
        <f t="shared" si="3"/>
        <v>4.7537414397878773E-5</v>
      </c>
      <c r="I38" s="25">
        <f t="shared" si="1"/>
        <v>155.51645569620254</v>
      </c>
    </row>
    <row r="39" spans="1:9">
      <c r="A39" s="453" t="s">
        <v>19</v>
      </c>
      <c r="B39" s="27">
        <v>0</v>
      </c>
      <c r="C39" s="27">
        <v>0</v>
      </c>
      <c r="D39" s="23">
        <f t="shared" si="0"/>
        <v>0</v>
      </c>
      <c r="E39" s="27">
        <f>VLOOKUP(A39,[6]進出口值表查詢結果!$A$9:$C$105,3,0)</f>
        <v>578</v>
      </c>
      <c r="F39" s="29">
        <f t="shared" si="4"/>
        <v>4.6249138829832772E-4</v>
      </c>
      <c r="G39" s="27">
        <f>VLOOKUP(A39,[6]進出口值表查詢結果!$A$9:$C$105,2,0)</f>
        <v>148696</v>
      </c>
      <c r="H39" s="24">
        <f t="shared" si="3"/>
        <v>1.1506981020864709E-4</v>
      </c>
      <c r="I39" s="25">
        <f t="shared" si="1"/>
        <v>257.25951557093424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20</v>
      </c>
      <c r="B41" s="33">
        <f>SUM(B42:B45)</f>
        <v>4641</v>
      </c>
      <c r="C41" s="33">
        <f>SUM(C42:C45)</f>
        <v>3064866</v>
      </c>
      <c r="D41" s="23">
        <f t="shared" si="0"/>
        <v>660.38914027149326</v>
      </c>
      <c r="E41" s="33">
        <f>SUM(E42:E45)</f>
        <v>35870</v>
      </c>
      <c r="F41" s="24">
        <f>E41/$E$67</f>
        <v>2.8701671450278576E-2</v>
      </c>
      <c r="G41" s="33">
        <f>SUM(G42:G45)</f>
        <v>26844605</v>
      </c>
      <c r="H41" s="24">
        <f>G41/$G$67</f>
        <v>2.0773952241325246E-2</v>
      </c>
      <c r="I41" s="25">
        <f t="shared" si="1"/>
        <v>748.38597713967101</v>
      </c>
    </row>
    <row r="42" spans="1:9">
      <c r="A42" s="452" t="s">
        <v>220</v>
      </c>
      <c r="B42" s="27">
        <f>VLOOKUP(A42,[5]進出口值表查詢結果!$A$9:$C$53,3,0)</f>
        <v>918</v>
      </c>
      <c r="C42" s="28">
        <f>VLOOKUP(A42,[5]進出口值表查詢結果!$A$9:$C$53,2,0)</f>
        <v>1739222</v>
      </c>
      <c r="D42" s="23">
        <f t="shared" si="0"/>
        <v>1894.5773420479302</v>
      </c>
      <c r="E42" s="27">
        <f>VLOOKUP(A42,[6]進出口值表查詢結果!$A$9:$C$105,3,0)</f>
        <v>12780</v>
      </c>
      <c r="F42" s="29">
        <f>E42/$E$67</f>
        <v>1.0226020661682749E-2</v>
      </c>
      <c r="G42" s="27">
        <f>VLOOKUP(A42,[6]進出口值表查詢結果!$A$9:$C$105,2,0)</f>
        <v>16204661</v>
      </c>
      <c r="H42" s="29">
        <f>G42/$G$67</f>
        <v>1.2540130640807187E-2</v>
      </c>
      <c r="I42" s="25">
        <f t="shared" si="1"/>
        <v>1267.97034428795</v>
      </c>
    </row>
    <row r="43" spans="1:9">
      <c r="A43" s="452" t="s">
        <v>221</v>
      </c>
      <c r="B43" s="27">
        <f>VLOOKUP(A43,[5]進出口值表查詢結果!$A$9:$C$53,3,0)</f>
        <v>3723</v>
      </c>
      <c r="C43" s="28">
        <f>VLOOKUP(A43,[5]進出口值表查詢結果!$A$9:$C$53,2,0)</f>
        <v>1325644</v>
      </c>
      <c r="D43" s="23">
        <f t="shared" si="0"/>
        <v>356.06876175127587</v>
      </c>
      <c r="E43" s="27">
        <f>VLOOKUP(A43,[6]進出口值表查詢結果!$A$9:$C$105,3,0)</f>
        <v>22870</v>
      </c>
      <c r="F43" s="29">
        <f>E43/$E$67</f>
        <v>1.8299616004122415E-2</v>
      </c>
      <c r="G43" s="27">
        <f>VLOOKUP(A43,[6]進出口值表查詢結果!$A$9:$C$105,2,0)</f>
        <v>10533419</v>
      </c>
      <c r="H43" s="29">
        <f>G43/$G$67</f>
        <v>8.1513862187157504E-3</v>
      </c>
      <c r="I43" s="25">
        <f t="shared" si="1"/>
        <v>460.5780061215566</v>
      </c>
    </row>
    <row r="44" spans="1:9">
      <c r="A44" s="452" t="s">
        <v>222</v>
      </c>
      <c r="B44" s="27">
        <v>0</v>
      </c>
      <c r="C44" s="27">
        <f>_xlfn.IFNA(VLOOKUP(A44,[3]出!$C$11:$E$73,2,0),-[4]整車!$B$22)</f>
        <v>0</v>
      </c>
      <c r="D44" s="23">
        <f t="shared" si="0"/>
        <v>0</v>
      </c>
      <c r="E44" s="27">
        <f>VLOOKUP(A44,[6]進出口值表查詢結果!$A$9:$C$105,3,0)</f>
        <v>220</v>
      </c>
      <c r="F44" s="29">
        <f>E44/$E$67</f>
        <v>1.7603478447341195E-4</v>
      </c>
      <c r="G44" s="27">
        <f>VLOOKUP(A44,[6]進出口值表查詢結果!$A$9:$C$105,2,0)</f>
        <v>106525</v>
      </c>
      <c r="H44" s="29">
        <f>G44/$G$67</f>
        <v>8.2435381802308945E-5</v>
      </c>
      <c r="I44" s="25">
        <f t="shared" si="1"/>
        <v>484.20454545454544</v>
      </c>
    </row>
    <row r="45" spans="1:9">
      <c r="A45" s="453" t="s">
        <v>21</v>
      </c>
      <c r="B45" s="27">
        <v>0</v>
      </c>
      <c r="C45" s="27">
        <f>_xlfn.IFNA(VLOOKUP(A45,[3]出!$C$11:$E$73,2,0),-[4]整車!$B$22)</f>
        <v>0</v>
      </c>
      <c r="D45" s="23">
        <f t="shared" si="0"/>
        <v>0</v>
      </c>
      <c r="E45" s="27">
        <f>_xlfn.IFNA(VLOOKUP(A45,[3]出同!$C$3:$H$107,6,0),-[4]整車!$B$22)</f>
        <v>0</v>
      </c>
      <c r="F45" s="29">
        <f>E45/$E$67</f>
        <v>0</v>
      </c>
      <c r="G45" s="27">
        <f>_xlfn.IFNA(VLOOKUP(A45,[3]出同!$C$3:$H$107,4,0),-[4]整車!$B$22)</f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22</v>
      </c>
      <c r="B47" s="33">
        <f>SUM(B48:B65)</f>
        <v>27322</v>
      </c>
      <c r="C47" s="33">
        <f>SUM(C48:C65)</f>
        <v>34011137</v>
      </c>
      <c r="D47" s="23">
        <f t="shared" si="0"/>
        <v>1244.8260376253568</v>
      </c>
      <c r="E47" s="33">
        <f>SUM(E48:E65)</f>
        <v>357491</v>
      </c>
      <c r="F47" s="24">
        <f t="shared" ref="F47:F65" si="5">E47/$E$67</f>
        <v>0.28604932334629324</v>
      </c>
      <c r="G47" s="33">
        <f>SUM(G48:G65)</f>
        <v>388340426</v>
      </c>
      <c r="H47" s="24">
        <f t="shared" ref="H47:H66" si="6">G47/$G$67</f>
        <v>0.30052092266211033</v>
      </c>
      <c r="I47" s="25">
        <f t="shared" si="1"/>
        <v>1086.2942731425408</v>
      </c>
    </row>
    <row r="48" spans="1:9">
      <c r="A48" s="484" t="s">
        <v>163</v>
      </c>
      <c r="B48" s="27">
        <f>VLOOKUP(A48,[5]進出口值表查詢結果!$A$9:$C$53,3,0)</f>
        <v>4093</v>
      </c>
      <c r="C48" s="28">
        <f>VLOOKUP(A48,[5]進出口值表查詢結果!$A$9:$C$53,2,0)</f>
        <v>4865240</v>
      </c>
      <c r="D48" s="23">
        <f t="shared" si="0"/>
        <v>1188.6733447349134</v>
      </c>
      <c r="E48" s="27">
        <f>VLOOKUP(A48,[6]進出口值表查詢結果!$A$9:$C$105,3,0)</f>
        <v>75195</v>
      </c>
      <c r="F48" s="29">
        <f t="shared" ref="F48" si="7">E48/$E$67</f>
        <v>6.0167889174900957E-2</v>
      </c>
      <c r="G48" s="27">
        <f>VLOOKUP(A48,[6]進出口值表查詢結果!$A$9:$C$105,2,0)</f>
        <v>69457979</v>
      </c>
      <c r="H48" s="29">
        <f t="shared" ref="H48" si="8">G48/$G$67</f>
        <v>5.375071596415637E-2</v>
      </c>
      <c r="I48" s="25">
        <f t="shared" si="1"/>
        <v>923.70475430547242</v>
      </c>
    </row>
    <row r="49" spans="1:9">
      <c r="A49" s="452" t="s">
        <v>223</v>
      </c>
      <c r="B49" s="27">
        <f>VLOOKUP(A49,[5]進出口值表查詢結果!$A$9:$C$53,3,0)</f>
        <v>6489</v>
      </c>
      <c r="C49" s="28">
        <f>VLOOKUP(A49,[5]進出口值表查詢結果!$A$9:$C$53,2,0)</f>
        <v>5466698</v>
      </c>
      <c r="D49" s="23">
        <f t="shared" si="0"/>
        <v>842.45615657266137</v>
      </c>
      <c r="E49" s="27">
        <f>VLOOKUP(A49,[6]進出口值表查詢結果!$A$9:$C$105,3,0)</f>
        <v>56849</v>
      </c>
      <c r="F49" s="29">
        <f t="shared" si="5"/>
        <v>4.5488188466040892E-2</v>
      </c>
      <c r="G49" s="27">
        <f>VLOOKUP(A49,[6]進出口值表查詢結果!$A$9:$C$105,2,0)</f>
        <v>45232269</v>
      </c>
      <c r="H49" s="29">
        <f t="shared" si="6"/>
        <v>3.500342046279975E-2</v>
      </c>
      <c r="I49" s="25">
        <f t="shared" si="1"/>
        <v>795.65637038470334</v>
      </c>
    </row>
    <row r="50" spans="1:9">
      <c r="A50" s="288" t="s">
        <v>224</v>
      </c>
      <c r="B50" s="27">
        <f>VLOOKUP(A50,[5]進出口值表查詢結果!$A$9:$C$53,3,0)</f>
        <v>401</v>
      </c>
      <c r="C50" s="28">
        <f>VLOOKUP(A50,[5]進出口值表查詢結果!$A$9:$C$53,2,0)</f>
        <v>343938</v>
      </c>
      <c r="D50" s="23">
        <f t="shared" si="0"/>
        <v>857.70074812967584</v>
      </c>
      <c r="E50" s="27">
        <f>VLOOKUP(A50,[6]進出口值表查詢結果!$A$9:$C$105,3,0)</f>
        <v>2487</v>
      </c>
      <c r="F50" s="29">
        <f t="shared" si="5"/>
        <v>1.9899932226607976E-3</v>
      </c>
      <c r="G50" s="27">
        <f>VLOOKUP(A50,[6]進出口值表查詢結果!$A$9:$C$105,2,0)</f>
        <v>2505224</v>
      </c>
      <c r="H50" s="29">
        <f t="shared" si="6"/>
        <v>1.9386913582755939E-3</v>
      </c>
      <c r="I50" s="25">
        <f t="shared" si="1"/>
        <v>1007.3277040611179</v>
      </c>
    </row>
    <row r="51" spans="1:9">
      <c r="A51" s="452" t="s">
        <v>225</v>
      </c>
      <c r="B51" s="27">
        <f>VLOOKUP(A51,[5]進出口值表查詢結果!$A$9:$C$53,3,0)</f>
        <v>158</v>
      </c>
      <c r="C51" s="28">
        <f>VLOOKUP(A51,[5]進出口值表查詢結果!$A$9:$C$53,2,0)</f>
        <v>228093</v>
      </c>
      <c r="D51" s="23">
        <f t="shared" si="0"/>
        <v>1443.626582278481</v>
      </c>
      <c r="E51" s="27">
        <f>VLOOKUP(A51,[6]進出口值表查詢結果!$A$9:$C$105,3,0)</f>
        <v>3623</v>
      </c>
      <c r="F51" s="29">
        <f t="shared" si="5"/>
        <v>2.8989728370325978E-3</v>
      </c>
      <c r="G51" s="27">
        <f>VLOOKUP(A51,[6]進出口值表查詢結果!$A$9:$C$105,2,0)</f>
        <v>5481610</v>
      </c>
      <c r="H51" s="29">
        <f t="shared" si="6"/>
        <v>4.2419958999423118E-3</v>
      </c>
      <c r="I51" s="25">
        <f t="shared" si="1"/>
        <v>1513.0030361578802</v>
      </c>
    </row>
    <row r="52" spans="1:9">
      <c r="A52" s="453" t="s">
        <v>23</v>
      </c>
      <c r="B52" s="27">
        <f>VLOOKUP(A52,[5]進出口值表查詢結果!$A$9:$C$53,3,0)</f>
        <v>72</v>
      </c>
      <c r="C52" s="28">
        <f>VLOOKUP(A52,[5]進出口值表查詢結果!$A$9:$C$53,2,0)</f>
        <v>105458</v>
      </c>
      <c r="D52" s="23">
        <f t="shared" si="0"/>
        <v>1464.6944444444443</v>
      </c>
      <c r="E52" s="27">
        <f>VLOOKUP(A52,[6]進出口值表查詢結果!$A$9:$C$105,3,0)</f>
        <v>731</v>
      </c>
      <c r="F52" s="29">
        <f t="shared" si="5"/>
        <v>5.8491557931847338E-4</v>
      </c>
      <c r="G52" s="27">
        <f>VLOOKUP(A52,[6]進出口值表查詢結果!$A$9:$C$105,2,0)</f>
        <v>1197048</v>
      </c>
      <c r="H52" s="29">
        <f t="shared" si="6"/>
        <v>9.2634695062840009E-4</v>
      </c>
      <c r="I52" s="25">
        <f t="shared" si="1"/>
        <v>1637.5485636114911</v>
      </c>
    </row>
    <row r="53" spans="1:9">
      <c r="A53" s="452" t="s">
        <v>226</v>
      </c>
      <c r="B53" s="27">
        <f>VLOOKUP(A53,[5]進出口值表查詢結果!$A$9:$C$53,3,0)</f>
        <v>234</v>
      </c>
      <c r="C53" s="28">
        <f>VLOOKUP(A53,[5]進出口值表查詢結果!$A$9:$C$53,2,0)</f>
        <v>547069</v>
      </c>
      <c r="D53" s="23">
        <f t="shared" si="0"/>
        <v>2337.9017094017095</v>
      </c>
      <c r="E53" s="27">
        <f>VLOOKUP(A53,[6]進出口值表查詢結果!$A$9:$C$105,3,0)</f>
        <v>2799</v>
      </c>
      <c r="F53" s="29">
        <f t="shared" si="5"/>
        <v>2.2396425533685455E-3</v>
      </c>
      <c r="G53" s="27">
        <f>VLOOKUP(A53,[6]進出口值表查詢結果!$A$9:$C$105,2,0)</f>
        <v>4475402</v>
      </c>
      <c r="H53" s="29">
        <f t="shared" si="6"/>
        <v>3.4633322937227605E-3</v>
      </c>
      <c r="I53" s="25">
        <f t="shared" si="1"/>
        <v>1598.928903179707</v>
      </c>
    </row>
    <row r="54" spans="1:9">
      <c r="A54" s="453" t="s">
        <v>227</v>
      </c>
      <c r="B54" s="27">
        <f>VLOOKUP(A54,[5]進出口值表查詢結果!$A$9:$C$53,3,0)</f>
        <v>3357</v>
      </c>
      <c r="C54" s="28">
        <f>VLOOKUP(A54,[5]進出口值表查詢結果!$A$9:$C$53,2,0)</f>
        <v>5172561</v>
      </c>
      <c r="D54" s="23">
        <f t="shared" si="0"/>
        <v>1540.8284182305631</v>
      </c>
      <c r="E54" s="27">
        <f>VLOOKUP(A54,[6]進出口值表查詢結果!$A$9:$C$105,3,0)</f>
        <v>44835</v>
      </c>
      <c r="F54" s="29">
        <f t="shared" si="5"/>
        <v>3.587508891757011E-2</v>
      </c>
      <c r="G54" s="27">
        <f>VLOOKUP(A54,[6]進出口值表查詢結果!$A$9:$C$105,2,0)</f>
        <v>61734512</v>
      </c>
      <c r="H54" s="29">
        <f t="shared" si="6"/>
        <v>4.7773837757326666E-2</v>
      </c>
      <c r="I54" s="25">
        <f t="shared" si="1"/>
        <v>1376.9267759562842</v>
      </c>
    </row>
    <row r="55" spans="1:9">
      <c r="A55" s="453" t="s">
        <v>24</v>
      </c>
      <c r="B55" s="27">
        <f>VLOOKUP(A55,[5]進出口值表查詢結果!$A$9:$C$53,3,0)</f>
        <v>65</v>
      </c>
      <c r="C55" s="28">
        <f>VLOOKUP(A55,[5]進出口值表查詢結果!$A$9:$C$53,2,0)</f>
        <v>114512</v>
      </c>
      <c r="D55" s="23">
        <f t="shared" si="0"/>
        <v>1761.7230769230769</v>
      </c>
      <c r="E55" s="27">
        <f>VLOOKUP(A55,[6]進出口值表查詢結果!$A$9:$C$105,3,0)</f>
        <v>3828</v>
      </c>
      <c r="F55" s="29">
        <f t="shared" si="5"/>
        <v>3.063005249837368E-3</v>
      </c>
      <c r="G55" s="27">
        <f>VLOOKUP(A55,[6]進出口值表查詢結果!$A$9:$C$105,2,0)</f>
        <v>4757574</v>
      </c>
      <c r="H55" s="29">
        <f t="shared" si="6"/>
        <v>3.681693772755111E-3</v>
      </c>
      <c r="I55" s="25">
        <f t="shared" si="1"/>
        <v>1242.8354231974922</v>
      </c>
    </row>
    <row r="56" spans="1:9">
      <c r="A56" s="453" t="s">
        <v>228</v>
      </c>
      <c r="B56" s="27">
        <f>VLOOKUP(A56,[5]進出口值表查詢結果!$A$9:$C$53,3,0)</f>
        <v>9265</v>
      </c>
      <c r="C56" s="28">
        <f>VLOOKUP(A56,[5]進出口值表查詢結果!$A$9:$C$53,2,0)</f>
        <v>11887565</v>
      </c>
      <c r="D56" s="23">
        <f t="shared" si="0"/>
        <v>1283.061521856449</v>
      </c>
      <c r="E56" s="27">
        <f>VLOOKUP(A56,[6]進出口值表查詢結果!$A$9:$C$105,3,0)</f>
        <v>114412</v>
      </c>
      <c r="F56" s="29">
        <f t="shared" si="5"/>
        <v>9.1547689823509124E-2</v>
      </c>
      <c r="G56" s="27">
        <f>VLOOKUP(A56,[6]進出口值表查詢結果!$A$9:$C$105,2,0)</f>
        <v>119956082</v>
      </c>
      <c r="H56" s="29">
        <f t="shared" si="6"/>
        <v>9.2829152022333536E-2</v>
      </c>
      <c r="I56" s="25">
        <f t="shared" si="1"/>
        <v>1048.4571723245813</v>
      </c>
    </row>
    <row r="57" spans="1:9">
      <c r="A57" s="455" t="s">
        <v>229</v>
      </c>
      <c r="B57" s="27">
        <f>VLOOKUP(A57,[5]進出口值表查詢結果!$A$9:$C$53,3,0)</f>
        <v>750</v>
      </c>
      <c r="C57" s="28">
        <f>VLOOKUP(A57,[5]進出口值表查詢結果!$A$9:$C$53,2,0)</f>
        <v>1156808</v>
      </c>
      <c r="D57" s="23">
        <f t="shared" si="0"/>
        <v>1542.4106666666667</v>
      </c>
      <c r="E57" s="27">
        <f>VLOOKUP(A57,[6]進出口值表查詢結果!$A$9:$C$105,3,0)</f>
        <v>25527</v>
      </c>
      <c r="F57" s="29">
        <f t="shared" si="5"/>
        <v>2.0425636105694485E-2</v>
      </c>
      <c r="G57" s="27">
        <f>VLOOKUP(A57,[6]進出口值表查詢結果!$A$9:$C$105,2,0)</f>
        <v>35994671</v>
      </c>
      <c r="H57" s="29">
        <f t="shared" si="6"/>
        <v>2.7854817617775147E-2</v>
      </c>
      <c r="I57" s="25">
        <f t="shared" si="1"/>
        <v>1410.0627179065305</v>
      </c>
    </row>
    <row r="58" spans="1:9">
      <c r="A58" s="453" t="s">
        <v>25</v>
      </c>
      <c r="B58" s="27">
        <v>0</v>
      </c>
      <c r="C58" s="27">
        <f>_xlfn.IFNA(VLOOKUP(A58,[3]出!$C$11:$E$73,2,0),-[4]整車!$B$22)</f>
        <v>0</v>
      </c>
      <c r="D58" s="23">
        <f t="shared" si="0"/>
        <v>0</v>
      </c>
      <c r="E58" s="27">
        <f>VLOOKUP(A58,[6]進出口值表查詢結果!$A$9:$C$105,3,0)</f>
        <v>4747</v>
      </c>
      <c r="F58" s="29">
        <f t="shared" si="5"/>
        <v>3.7983505540694841E-3</v>
      </c>
      <c r="G58" s="27">
        <f>VLOOKUP(A58,[6]進出口值表查詢結果!$A$9:$C$105,2,0)</f>
        <v>2253138</v>
      </c>
      <c r="H58" s="29">
        <f t="shared" si="6"/>
        <v>1.7436122157549006E-3</v>
      </c>
      <c r="I58" s="25">
        <f t="shared" si="1"/>
        <v>474.64461765325467</v>
      </c>
    </row>
    <row r="59" spans="1:9">
      <c r="A59" s="453" t="s">
        <v>26</v>
      </c>
      <c r="B59" s="27">
        <v>0</v>
      </c>
      <c r="C59" s="27">
        <f>_xlfn.IFNA(VLOOKUP(A59,[3]出!$C$11:$E$73,2,0),-[4]整車!$B$22)</f>
        <v>0</v>
      </c>
      <c r="D59" s="23">
        <f t="shared" si="0"/>
        <v>0</v>
      </c>
      <c r="E59" s="27">
        <f>VLOOKUP(A59,[6]進出口值表查詢結果!$A$9:$C$105,3,0)</f>
        <v>119</v>
      </c>
      <c r="F59" s="29">
        <f t="shared" si="5"/>
        <v>9.5218815237891011E-5</v>
      </c>
      <c r="G59" s="27">
        <f>VLOOKUP(A59,[6]進出口值表查詢結果!$A$9:$C$105,2,0)</f>
        <v>44021</v>
      </c>
      <c r="H59" s="29">
        <f t="shared" si="6"/>
        <v>3.4066068456413446E-5</v>
      </c>
      <c r="I59" s="25">
        <f t="shared" si="1"/>
        <v>369.92436974789916</v>
      </c>
    </row>
    <row r="60" spans="1:9">
      <c r="A60" s="453" t="s">
        <v>27</v>
      </c>
      <c r="B60" s="27">
        <f>VLOOKUP(A60,[5]進出口值表查詢結果!$A$9:$C$53,3,0)</f>
        <v>1106</v>
      </c>
      <c r="C60" s="28">
        <f>VLOOKUP(A60,[5]進出口值表查詢結果!$A$9:$C$53,2,0)</f>
        <v>1465458</v>
      </c>
      <c r="D60" s="23">
        <f t="shared" si="0"/>
        <v>1325.007233273056</v>
      </c>
      <c r="E60" s="27">
        <f>VLOOKUP(A60,[6]進出口值表查詢結果!$A$9:$C$105,3,0)</f>
        <v>9561</v>
      </c>
      <c r="F60" s="29">
        <f t="shared" si="5"/>
        <v>7.6503117015922347E-3</v>
      </c>
      <c r="G60" s="27">
        <f>VLOOKUP(A60,[6]進出口值表查詢結果!$A$9:$C$105,2,0)</f>
        <v>12604201</v>
      </c>
      <c r="H60" s="29">
        <f t="shared" si="6"/>
        <v>9.7538805139454985E-3</v>
      </c>
      <c r="I60" s="25">
        <f t="shared" si="1"/>
        <v>1318.2931701704842</v>
      </c>
    </row>
    <row r="61" spans="1:9">
      <c r="A61" s="454" t="s">
        <v>230</v>
      </c>
      <c r="B61" s="27">
        <f>VLOOKUP(A61,[5]進出口值表查詢結果!$A$9:$C$53,3,0)</f>
        <v>546</v>
      </c>
      <c r="C61" s="28">
        <f>VLOOKUP(A61,[5]進出口值表查詢結果!$A$9:$C$53,2,0)</f>
        <v>1462109</v>
      </c>
      <c r="D61" s="23">
        <f t="shared" si="0"/>
        <v>2677.8553113553112</v>
      </c>
      <c r="E61" s="27">
        <f>VLOOKUP(A61,[6]進出口值表查詢結果!$A$9:$C$105,3,0)</f>
        <v>4411</v>
      </c>
      <c r="F61" s="29">
        <f t="shared" si="5"/>
        <v>3.5294974286919096E-3</v>
      </c>
      <c r="G61" s="27">
        <f>VLOOKUP(A61,[6]進出口值表查詢結果!$A$9:$C$105,2,0)</f>
        <v>9187200</v>
      </c>
      <c r="H61" s="29">
        <f t="shared" si="6"/>
        <v>7.1096018746226028E-3</v>
      </c>
      <c r="I61" s="25">
        <f t="shared" si="1"/>
        <v>2082.7930174563589</v>
      </c>
    </row>
    <row r="62" spans="1:9">
      <c r="A62" s="453" t="s">
        <v>28</v>
      </c>
      <c r="B62" s="27">
        <f>VLOOKUP(A62,[5]進出口值表查詢結果!$A$9:$C$53,3,0)</f>
        <v>305</v>
      </c>
      <c r="C62" s="28">
        <f>VLOOKUP(A62,[5]進出口值表查詢結果!$A$9:$C$53,2,0)</f>
        <v>474946</v>
      </c>
      <c r="D62" s="23">
        <f t="shared" si="0"/>
        <v>1557.2</v>
      </c>
      <c r="E62" s="27">
        <f>VLOOKUP(A62,[6]進出口值表查詢結果!$A$9:$C$105,3,0)</f>
        <v>3444</v>
      </c>
      <c r="F62" s="29">
        <f t="shared" si="5"/>
        <v>2.7557445351201397E-3</v>
      </c>
      <c r="G62" s="27">
        <f>VLOOKUP(A62,[6]進出口值表查詢結果!$A$9:$C$105,2,0)</f>
        <v>5568179</v>
      </c>
      <c r="H62" s="29">
        <f t="shared" si="6"/>
        <v>4.3089881418314838E-3</v>
      </c>
      <c r="I62" s="25">
        <f t="shared" si="1"/>
        <v>1616.776713124274</v>
      </c>
    </row>
    <row r="63" spans="1:9">
      <c r="A63" s="291" t="s">
        <v>231</v>
      </c>
      <c r="B63" s="27">
        <v>0</v>
      </c>
      <c r="C63" s="28">
        <v>0</v>
      </c>
      <c r="D63" s="23">
        <f t="shared" si="0"/>
        <v>0</v>
      </c>
      <c r="E63" s="27">
        <f>VLOOKUP(A63,[6]進出口值表查詢結果!$A$9:$C$105,3,0)</f>
        <v>436</v>
      </c>
      <c r="F63" s="29">
        <f t="shared" si="5"/>
        <v>3.4886893650185275E-4</v>
      </c>
      <c r="G63" s="27">
        <f>VLOOKUP(A63,[6]進出口值表查詢結果!$A$9:$C$105,2,0)</f>
        <v>849307</v>
      </c>
      <c r="H63" s="29">
        <f t="shared" si="6"/>
        <v>6.5724427892394836E-4</v>
      </c>
      <c r="I63" s="25">
        <f t="shared" si="1"/>
        <v>1947.9518348623853</v>
      </c>
    </row>
    <row r="64" spans="1:9">
      <c r="A64" s="453" t="s">
        <v>29</v>
      </c>
      <c r="B64" s="27">
        <f>VLOOKUP(A64,[5]進出口值表查詢結果!$A$9:$C$53,3,0)</f>
        <v>287</v>
      </c>
      <c r="C64" s="28">
        <f>VLOOKUP(A64,[5]進出口值表查詢結果!$A$9:$C$53,2,0)</f>
        <v>434977</v>
      </c>
      <c r="D64" s="23">
        <f t="shared" si="0"/>
        <v>1515.5993031358885</v>
      </c>
      <c r="E64" s="27">
        <f>VLOOKUP(A64,[6]進出口值表查詢結果!$A$9:$C$105,3,0)</f>
        <v>2447</v>
      </c>
      <c r="F64" s="29">
        <f t="shared" si="5"/>
        <v>1.9579868982110863E-3</v>
      </c>
      <c r="G64" s="27">
        <f>VLOOKUP(A64,[6]進出口值表查詢結果!$A$9:$C$105,2,0)</f>
        <v>4654454</v>
      </c>
      <c r="H64" s="29">
        <f t="shared" si="6"/>
        <v>3.6018933825044271E-3</v>
      </c>
      <c r="I64" s="25">
        <f t="shared" si="1"/>
        <v>1902.1062525541479</v>
      </c>
    </row>
    <row r="65" spans="1:256">
      <c r="A65" s="291" t="s">
        <v>232</v>
      </c>
      <c r="B65" s="27">
        <f>VLOOKUP(A65,[5]進出口值表查詢結果!$A$9:$C$53,3,0)</f>
        <v>194</v>
      </c>
      <c r="C65" s="28">
        <f>VLOOKUP(A65,[5]進出口值表查詢結果!$A$9:$C$53,2,0)</f>
        <v>285705</v>
      </c>
      <c r="D65" s="23">
        <f t="shared" si="0"/>
        <v>1472.7061855670104</v>
      </c>
      <c r="E65" s="27">
        <f>VLOOKUP(A65,[6]進出口值表查詢結果!$A$9:$C$105,3,0)</f>
        <v>2040</v>
      </c>
      <c r="F65" s="29">
        <f t="shared" si="5"/>
        <v>1.6323225469352745E-3</v>
      </c>
      <c r="G65" s="27">
        <f>VLOOKUP(A65,[6]進出口值表查詢結果!$A$9:$C$105,2,0)</f>
        <v>2387555</v>
      </c>
      <c r="H65" s="29">
        <f t="shared" si="6"/>
        <v>1.8476320863554259E-3</v>
      </c>
      <c r="I65" s="25">
        <f t="shared" si="1"/>
        <v>1170.3700980392157</v>
      </c>
    </row>
    <row r="66" spans="1:256">
      <c r="A66" s="30" t="s">
        <v>30</v>
      </c>
      <c r="B66" s="27">
        <f>B67-B7-B12-B41-B47</f>
        <v>1675</v>
      </c>
      <c r="C66" s="27">
        <f>C67-C7-C12-C41-C47</f>
        <v>2630014</v>
      </c>
      <c r="D66" s="23">
        <f t="shared" si="0"/>
        <v>1570.1576119402985</v>
      </c>
      <c r="E66" s="27">
        <f>E67-E47-E41-E12-E7</f>
        <v>26262</v>
      </c>
      <c r="F66" s="29">
        <f>E66/$E$67</f>
        <v>2.1013752317457928E-2</v>
      </c>
      <c r="G66" s="27">
        <f>G67-G47-G41-G12-G7</f>
        <v>35790206</v>
      </c>
      <c r="H66" s="29">
        <f t="shared" si="6"/>
        <v>2.7696590437862365E-2</v>
      </c>
      <c r="I66" s="25">
        <f t="shared" si="1"/>
        <v>1362.813418627675</v>
      </c>
    </row>
    <row r="67" spans="1:256">
      <c r="A67" s="292" t="s">
        <v>404</v>
      </c>
      <c r="B67" s="27">
        <f>VLOOKUP(A67,[5]進出口值表查詢結果!$A$9:$C$53,3,0)</f>
        <v>77309</v>
      </c>
      <c r="C67" s="28">
        <f>VLOOKUP(A67,[5]進出口值表查詢結果!$A$9:$C$53,2,0)</f>
        <v>91145450</v>
      </c>
      <c r="D67" s="23">
        <f t="shared" ref="D67" si="9">C67/B67</f>
        <v>1178.9759277703761</v>
      </c>
      <c r="E67" s="27">
        <f>VLOOKUP(A67,[6]進出口值表查詢結果!$A$9:$C$105,3,0)</f>
        <v>1249753</v>
      </c>
      <c r="F67" s="24">
        <f>E67/$E$67</f>
        <v>1</v>
      </c>
      <c r="G67" s="27">
        <f>VLOOKUP(A67,[6]進出口值表查詢結果!$A$9:$C$105,2,0)</f>
        <v>1292224257</v>
      </c>
      <c r="H67" s="24">
        <f>G67/$G$67</f>
        <v>1</v>
      </c>
      <c r="I67" s="25">
        <f>G67/E67</f>
        <v>1033.9837207832268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55" t="s">
        <v>153</v>
      </c>
      <c r="B69" s="556"/>
      <c r="C69" s="556"/>
      <c r="D69" s="556"/>
      <c r="E69" s="556"/>
      <c r="F69" s="556"/>
      <c r="G69" s="556"/>
      <c r="H69" s="556"/>
      <c r="I69" s="557"/>
    </row>
    <row r="70" spans="1:256">
      <c r="A70" s="8" t="s">
        <v>494</v>
      </c>
      <c r="B70" s="8" t="s">
        <v>493</v>
      </c>
      <c r="C70" s="8" t="s">
        <v>496</v>
      </c>
      <c r="D70" s="9" t="s">
        <v>1</v>
      </c>
      <c r="E70" s="10" t="s">
        <v>495</v>
      </c>
      <c r="F70" s="11" t="s">
        <v>2</v>
      </c>
      <c r="G70" s="8" t="s">
        <v>497</v>
      </c>
      <c r="H70" s="11" t="s">
        <v>2</v>
      </c>
      <c r="I70" s="12" t="s">
        <v>1</v>
      </c>
    </row>
    <row r="71" spans="1:256">
      <c r="A71" s="45"/>
      <c r="B71" s="46" t="s">
        <v>3</v>
      </c>
      <c r="C71" s="47" t="s">
        <v>4</v>
      </c>
      <c r="D71" s="43" t="s">
        <v>4</v>
      </c>
      <c r="E71" s="48" t="s">
        <v>3</v>
      </c>
      <c r="F71" s="44"/>
      <c r="G71" s="49" t="s">
        <v>4</v>
      </c>
      <c r="H71" s="50"/>
      <c r="I71" s="43" t="s">
        <v>4</v>
      </c>
    </row>
    <row r="72" spans="1:256">
      <c r="A72" s="32" t="s">
        <v>31</v>
      </c>
      <c r="B72" s="27">
        <v>1703</v>
      </c>
      <c r="C72" s="27">
        <v>618451</v>
      </c>
      <c r="D72" s="519">
        <f>C72/B72</f>
        <v>363.15384615384613</v>
      </c>
      <c r="E72" s="27">
        <v>30113</v>
      </c>
      <c r="F72" s="520">
        <v>1</v>
      </c>
      <c r="G72" s="27">
        <v>11445369</v>
      </c>
      <c r="H72" s="52">
        <v>1</v>
      </c>
      <c r="I72" s="51">
        <f>G72/E72</f>
        <v>380.08066283664863</v>
      </c>
    </row>
    <row r="73" spans="1:256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3" t="s">
        <v>32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="99" zoomScaleNormal="99" workbookViewId="0">
      <selection activeCell="A2" sqref="A2"/>
    </sheetView>
  </sheetViews>
  <sheetFormatPr defaultRowHeight="16.5"/>
  <cols>
    <col min="1" max="1" width="19.5" style="266" customWidth="1"/>
    <col min="2" max="2" width="12.125" style="266" customWidth="1"/>
    <col min="3" max="3" width="12.5" style="267" customWidth="1"/>
    <col min="4" max="4" width="13.75" style="268" customWidth="1"/>
    <col min="5" max="5" width="14.625" style="266" customWidth="1"/>
    <col min="6" max="6" width="16.125" style="267" customWidth="1"/>
    <col min="7" max="7" width="12.25" style="300" customWidth="1"/>
    <col min="8" max="8" width="12.5" style="266" customWidth="1"/>
    <col min="9" max="9" width="12.25" style="266" customWidth="1"/>
    <col min="10" max="10" width="11.625" style="266" customWidth="1"/>
    <col min="11" max="256" width="8.875" style="266"/>
    <col min="257" max="257" width="19.5" style="266" customWidth="1"/>
    <col min="258" max="259" width="12.125" style="266" customWidth="1"/>
    <col min="260" max="260" width="13.75" style="266" customWidth="1"/>
    <col min="261" max="261" width="14.625" style="266" customWidth="1"/>
    <col min="262" max="262" width="15.125" style="266" customWidth="1"/>
    <col min="263" max="263" width="12.25" style="266" customWidth="1"/>
    <col min="264" max="264" width="12.5" style="266" customWidth="1"/>
    <col min="265" max="265" width="12.25" style="266" customWidth="1"/>
    <col min="266" max="266" width="11.625" style="266" customWidth="1"/>
    <col min="267" max="512" width="8.875" style="266"/>
    <col min="513" max="513" width="19.5" style="266" customWidth="1"/>
    <col min="514" max="515" width="12.125" style="266" customWidth="1"/>
    <col min="516" max="516" width="13.75" style="266" customWidth="1"/>
    <col min="517" max="517" width="14.625" style="266" customWidth="1"/>
    <col min="518" max="518" width="15.125" style="266" customWidth="1"/>
    <col min="519" max="519" width="12.25" style="266" customWidth="1"/>
    <col min="520" max="520" width="12.5" style="266" customWidth="1"/>
    <col min="521" max="521" width="12.25" style="266" customWidth="1"/>
    <col min="522" max="522" width="11.625" style="266" customWidth="1"/>
    <col min="523" max="768" width="8.875" style="266"/>
    <col min="769" max="769" width="19.5" style="266" customWidth="1"/>
    <col min="770" max="771" width="12.125" style="266" customWidth="1"/>
    <col min="772" max="772" width="13.75" style="266" customWidth="1"/>
    <col min="773" max="773" width="14.625" style="266" customWidth="1"/>
    <col min="774" max="774" width="15.125" style="266" customWidth="1"/>
    <col min="775" max="775" width="12.25" style="266" customWidth="1"/>
    <col min="776" max="776" width="12.5" style="266" customWidth="1"/>
    <col min="777" max="777" width="12.25" style="266" customWidth="1"/>
    <col min="778" max="778" width="11.625" style="266" customWidth="1"/>
    <col min="779" max="1024" width="8.875" style="266"/>
    <col min="1025" max="1025" width="19.5" style="266" customWidth="1"/>
    <col min="1026" max="1027" width="12.125" style="266" customWidth="1"/>
    <col min="1028" max="1028" width="13.75" style="266" customWidth="1"/>
    <col min="1029" max="1029" width="14.625" style="266" customWidth="1"/>
    <col min="1030" max="1030" width="15.125" style="266" customWidth="1"/>
    <col min="1031" max="1031" width="12.25" style="266" customWidth="1"/>
    <col min="1032" max="1032" width="12.5" style="266" customWidth="1"/>
    <col min="1033" max="1033" width="12.25" style="266" customWidth="1"/>
    <col min="1034" max="1034" width="11.625" style="266" customWidth="1"/>
    <col min="1035" max="1280" width="8.875" style="266"/>
    <col min="1281" max="1281" width="19.5" style="266" customWidth="1"/>
    <col min="1282" max="1283" width="12.125" style="266" customWidth="1"/>
    <col min="1284" max="1284" width="13.75" style="266" customWidth="1"/>
    <col min="1285" max="1285" width="14.625" style="266" customWidth="1"/>
    <col min="1286" max="1286" width="15.125" style="266" customWidth="1"/>
    <col min="1287" max="1287" width="12.25" style="266" customWidth="1"/>
    <col min="1288" max="1288" width="12.5" style="266" customWidth="1"/>
    <col min="1289" max="1289" width="12.25" style="266" customWidth="1"/>
    <col min="1290" max="1290" width="11.625" style="266" customWidth="1"/>
    <col min="1291" max="1536" width="8.875" style="266"/>
    <col min="1537" max="1537" width="19.5" style="266" customWidth="1"/>
    <col min="1538" max="1539" width="12.125" style="266" customWidth="1"/>
    <col min="1540" max="1540" width="13.75" style="266" customWidth="1"/>
    <col min="1541" max="1541" width="14.625" style="266" customWidth="1"/>
    <col min="1542" max="1542" width="15.125" style="266" customWidth="1"/>
    <col min="1543" max="1543" width="12.25" style="266" customWidth="1"/>
    <col min="1544" max="1544" width="12.5" style="266" customWidth="1"/>
    <col min="1545" max="1545" width="12.25" style="266" customWidth="1"/>
    <col min="1546" max="1546" width="11.625" style="266" customWidth="1"/>
    <col min="1547" max="1792" width="8.875" style="266"/>
    <col min="1793" max="1793" width="19.5" style="266" customWidth="1"/>
    <col min="1794" max="1795" width="12.125" style="266" customWidth="1"/>
    <col min="1796" max="1796" width="13.75" style="266" customWidth="1"/>
    <col min="1797" max="1797" width="14.625" style="266" customWidth="1"/>
    <col min="1798" max="1798" width="15.125" style="266" customWidth="1"/>
    <col min="1799" max="1799" width="12.25" style="266" customWidth="1"/>
    <col min="1800" max="1800" width="12.5" style="266" customWidth="1"/>
    <col min="1801" max="1801" width="12.25" style="266" customWidth="1"/>
    <col min="1802" max="1802" width="11.625" style="266" customWidth="1"/>
    <col min="1803" max="2048" width="8.875" style="266"/>
    <col min="2049" max="2049" width="19.5" style="266" customWidth="1"/>
    <col min="2050" max="2051" width="12.125" style="266" customWidth="1"/>
    <col min="2052" max="2052" width="13.75" style="266" customWidth="1"/>
    <col min="2053" max="2053" width="14.625" style="266" customWidth="1"/>
    <col min="2054" max="2054" width="15.125" style="266" customWidth="1"/>
    <col min="2055" max="2055" width="12.25" style="266" customWidth="1"/>
    <col min="2056" max="2056" width="12.5" style="266" customWidth="1"/>
    <col min="2057" max="2057" width="12.25" style="266" customWidth="1"/>
    <col min="2058" max="2058" width="11.625" style="266" customWidth="1"/>
    <col min="2059" max="2304" width="8.875" style="266"/>
    <col min="2305" max="2305" width="19.5" style="266" customWidth="1"/>
    <col min="2306" max="2307" width="12.125" style="266" customWidth="1"/>
    <col min="2308" max="2308" width="13.75" style="266" customWidth="1"/>
    <col min="2309" max="2309" width="14.625" style="266" customWidth="1"/>
    <col min="2310" max="2310" width="15.125" style="266" customWidth="1"/>
    <col min="2311" max="2311" width="12.25" style="266" customWidth="1"/>
    <col min="2312" max="2312" width="12.5" style="266" customWidth="1"/>
    <col min="2313" max="2313" width="12.25" style="266" customWidth="1"/>
    <col min="2314" max="2314" width="11.625" style="266" customWidth="1"/>
    <col min="2315" max="2560" width="8.875" style="266"/>
    <col min="2561" max="2561" width="19.5" style="266" customWidth="1"/>
    <col min="2562" max="2563" width="12.125" style="266" customWidth="1"/>
    <col min="2564" max="2564" width="13.75" style="266" customWidth="1"/>
    <col min="2565" max="2565" width="14.625" style="266" customWidth="1"/>
    <col min="2566" max="2566" width="15.125" style="266" customWidth="1"/>
    <col min="2567" max="2567" width="12.25" style="266" customWidth="1"/>
    <col min="2568" max="2568" width="12.5" style="266" customWidth="1"/>
    <col min="2569" max="2569" width="12.25" style="266" customWidth="1"/>
    <col min="2570" max="2570" width="11.625" style="266" customWidth="1"/>
    <col min="2571" max="2816" width="8.875" style="266"/>
    <col min="2817" max="2817" width="19.5" style="266" customWidth="1"/>
    <col min="2818" max="2819" width="12.125" style="266" customWidth="1"/>
    <col min="2820" max="2820" width="13.75" style="266" customWidth="1"/>
    <col min="2821" max="2821" width="14.625" style="266" customWidth="1"/>
    <col min="2822" max="2822" width="15.125" style="266" customWidth="1"/>
    <col min="2823" max="2823" width="12.25" style="266" customWidth="1"/>
    <col min="2824" max="2824" width="12.5" style="266" customWidth="1"/>
    <col min="2825" max="2825" width="12.25" style="266" customWidth="1"/>
    <col min="2826" max="2826" width="11.625" style="266" customWidth="1"/>
    <col min="2827" max="3072" width="8.875" style="266"/>
    <col min="3073" max="3073" width="19.5" style="266" customWidth="1"/>
    <col min="3074" max="3075" width="12.125" style="266" customWidth="1"/>
    <col min="3076" max="3076" width="13.75" style="266" customWidth="1"/>
    <col min="3077" max="3077" width="14.625" style="266" customWidth="1"/>
    <col min="3078" max="3078" width="15.125" style="266" customWidth="1"/>
    <col min="3079" max="3079" width="12.25" style="266" customWidth="1"/>
    <col min="3080" max="3080" width="12.5" style="266" customWidth="1"/>
    <col min="3081" max="3081" width="12.25" style="266" customWidth="1"/>
    <col min="3082" max="3082" width="11.625" style="266" customWidth="1"/>
    <col min="3083" max="3328" width="8.875" style="266"/>
    <col min="3329" max="3329" width="19.5" style="266" customWidth="1"/>
    <col min="3330" max="3331" width="12.125" style="266" customWidth="1"/>
    <col min="3332" max="3332" width="13.75" style="266" customWidth="1"/>
    <col min="3333" max="3333" width="14.625" style="266" customWidth="1"/>
    <col min="3334" max="3334" width="15.125" style="266" customWidth="1"/>
    <col min="3335" max="3335" width="12.25" style="266" customWidth="1"/>
    <col min="3336" max="3336" width="12.5" style="266" customWidth="1"/>
    <col min="3337" max="3337" width="12.25" style="266" customWidth="1"/>
    <col min="3338" max="3338" width="11.625" style="266" customWidth="1"/>
    <col min="3339" max="3584" width="8.875" style="266"/>
    <col min="3585" max="3585" width="19.5" style="266" customWidth="1"/>
    <col min="3586" max="3587" width="12.125" style="266" customWidth="1"/>
    <col min="3588" max="3588" width="13.75" style="266" customWidth="1"/>
    <col min="3589" max="3589" width="14.625" style="266" customWidth="1"/>
    <col min="3590" max="3590" width="15.125" style="266" customWidth="1"/>
    <col min="3591" max="3591" width="12.25" style="266" customWidth="1"/>
    <col min="3592" max="3592" width="12.5" style="266" customWidth="1"/>
    <col min="3593" max="3593" width="12.25" style="266" customWidth="1"/>
    <col min="3594" max="3594" width="11.625" style="266" customWidth="1"/>
    <col min="3595" max="3840" width="8.875" style="266"/>
    <col min="3841" max="3841" width="19.5" style="266" customWidth="1"/>
    <col min="3842" max="3843" width="12.125" style="266" customWidth="1"/>
    <col min="3844" max="3844" width="13.75" style="266" customWidth="1"/>
    <col min="3845" max="3845" width="14.625" style="266" customWidth="1"/>
    <col min="3846" max="3846" width="15.125" style="266" customWidth="1"/>
    <col min="3847" max="3847" width="12.25" style="266" customWidth="1"/>
    <col min="3848" max="3848" width="12.5" style="266" customWidth="1"/>
    <col min="3849" max="3849" width="12.25" style="266" customWidth="1"/>
    <col min="3850" max="3850" width="11.625" style="266" customWidth="1"/>
    <col min="3851" max="4096" width="8.875" style="266"/>
    <col min="4097" max="4097" width="19.5" style="266" customWidth="1"/>
    <col min="4098" max="4099" width="12.125" style="266" customWidth="1"/>
    <col min="4100" max="4100" width="13.75" style="266" customWidth="1"/>
    <col min="4101" max="4101" width="14.625" style="266" customWidth="1"/>
    <col min="4102" max="4102" width="15.125" style="266" customWidth="1"/>
    <col min="4103" max="4103" width="12.25" style="266" customWidth="1"/>
    <col min="4104" max="4104" width="12.5" style="266" customWidth="1"/>
    <col min="4105" max="4105" width="12.25" style="266" customWidth="1"/>
    <col min="4106" max="4106" width="11.625" style="266" customWidth="1"/>
    <col min="4107" max="4352" width="8.875" style="266"/>
    <col min="4353" max="4353" width="19.5" style="266" customWidth="1"/>
    <col min="4354" max="4355" width="12.125" style="266" customWidth="1"/>
    <col min="4356" max="4356" width="13.75" style="266" customWidth="1"/>
    <col min="4357" max="4357" width="14.625" style="266" customWidth="1"/>
    <col min="4358" max="4358" width="15.125" style="266" customWidth="1"/>
    <col min="4359" max="4359" width="12.25" style="266" customWidth="1"/>
    <col min="4360" max="4360" width="12.5" style="266" customWidth="1"/>
    <col min="4361" max="4361" width="12.25" style="266" customWidth="1"/>
    <col min="4362" max="4362" width="11.625" style="266" customWidth="1"/>
    <col min="4363" max="4608" width="8.875" style="266"/>
    <col min="4609" max="4609" width="19.5" style="266" customWidth="1"/>
    <col min="4610" max="4611" width="12.125" style="266" customWidth="1"/>
    <col min="4612" max="4612" width="13.75" style="266" customWidth="1"/>
    <col min="4613" max="4613" width="14.625" style="266" customWidth="1"/>
    <col min="4614" max="4614" width="15.125" style="266" customWidth="1"/>
    <col min="4615" max="4615" width="12.25" style="266" customWidth="1"/>
    <col min="4616" max="4616" width="12.5" style="266" customWidth="1"/>
    <col min="4617" max="4617" width="12.25" style="266" customWidth="1"/>
    <col min="4618" max="4618" width="11.625" style="266" customWidth="1"/>
    <col min="4619" max="4864" width="8.875" style="266"/>
    <col min="4865" max="4865" width="19.5" style="266" customWidth="1"/>
    <col min="4866" max="4867" width="12.125" style="266" customWidth="1"/>
    <col min="4868" max="4868" width="13.75" style="266" customWidth="1"/>
    <col min="4869" max="4869" width="14.625" style="266" customWidth="1"/>
    <col min="4870" max="4870" width="15.125" style="266" customWidth="1"/>
    <col min="4871" max="4871" width="12.25" style="266" customWidth="1"/>
    <col min="4872" max="4872" width="12.5" style="266" customWidth="1"/>
    <col min="4873" max="4873" width="12.25" style="266" customWidth="1"/>
    <col min="4874" max="4874" width="11.625" style="266" customWidth="1"/>
    <col min="4875" max="5120" width="8.875" style="266"/>
    <col min="5121" max="5121" width="19.5" style="266" customWidth="1"/>
    <col min="5122" max="5123" width="12.125" style="266" customWidth="1"/>
    <col min="5124" max="5124" width="13.75" style="266" customWidth="1"/>
    <col min="5125" max="5125" width="14.625" style="266" customWidth="1"/>
    <col min="5126" max="5126" width="15.125" style="266" customWidth="1"/>
    <col min="5127" max="5127" width="12.25" style="266" customWidth="1"/>
    <col min="5128" max="5128" width="12.5" style="266" customWidth="1"/>
    <col min="5129" max="5129" width="12.25" style="266" customWidth="1"/>
    <col min="5130" max="5130" width="11.625" style="266" customWidth="1"/>
    <col min="5131" max="5376" width="8.875" style="266"/>
    <col min="5377" max="5377" width="19.5" style="266" customWidth="1"/>
    <col min="5378" max="5379" width="12.125" style="266" customWidth="1"/>
    <col min="5380" max="5380" width="13.75" style="266" customWidth="1"/>
    <col min="5381" max="5381" width="14.625" style="266" customWidth="1"/>
    <col min="5382" max="5382" width="15.125" style="266" customWidth="1"/>
    <col min="5383" max="5383" width="12.25" style="266" customWidth="1"/>
    <col min="5384" max="5384" width="12.5" style="266" customWidth="1"/>
    <col min="5385" max="5385" width="12.25" style="266" customWidth="1"/>
    <col min="5386" max="5386" width="11.625" style="266" customWidth="1"/>
    <col min="5387" max="5632" width="8.875" style="266"/>
    <col min="5633" max="5633" width="19.5" style="266" customWidth="1"/>
    <col min="5634" max="5635" width="12.125" style="266" customWidth="1"/>
    <col min="5636" max="5636" width="13.75" style="266" customWidth="1"/>
    <col min="5637" max="5637" width="14.625" style="266" customWidth="1"/>
    <col min="5638" max="5638" width="15.125" style="266" customWidth="1"/>
    <col min="5639" max="5639" width="12.25" style="266" customWidth="1"/>
    <col min="5640" max="5640" width="12.5" style="266" customWidth="1"/>
    <col min="5641" max="5641" width="12.25" style="266" customWidth="1"/>
    <col min="5642" max="5642" width="11.625" style="266" customWidth="1"/>
    <col min="5643" max="5888" width="8.875" style="266"/>
    <col min="5889" max="5889" width="19.5" style="266" customWidth="1"/>
    <col min="5890" max="5891" width="12.125" style="266" customWidth="1"/>
    <col min="5892" max="5892" width="13.75" style="266" customWidth="1"/>
    <col min="5893" max="5893" width="14.625" style="266" customWidth="1"/>
    <col min="5894" max="5894" width="15.125" style="266" customWidth="1"/>
    <col min="5895" max="5895" width="12.25" style="266" customWidth="1"/>
    <col min="5896" max="5896" width="12.5" style="266" customWidth="1"/>
    <col min="5897" max="5897" width="12.25" style="266" customWidth="1"/>
    <col min="5898" max="5898" width="11.625" style="266" customWidth="1"/>
    <col min="5899" max="6144" width="8.875" style="266"/>
    <col min="6145" max="6145" width="19.5" style="266" customWidth="1"/>
    <col min="6146" max="6147" width="12.125" style="266" customWidth="1"/>
    <col min="6148" max="6148" width="13.75" style="266" customWidth="1"/>
    <col min="6149" max="6149" width="14.625" style="266" customWidth="1"/>
    <col min="6150" max="6150" width="15.125" style="266" customWidth="1"/>
    <col min="6151" max="6151" width="12.25" style="266" customWidth="1"/>
    <col min="6152" max="6152" width="12.5" style="266" customWidth="1"/>
    <col min="6153" max="6153" width="12.25" style="266" customWidth="1"/>
    <col min="6154" max="6154" width="11.625" style="266" customWidth="1"/>
    <col min="6155" max="6400" width="8.875" style="266"/>
    <col min="6401" max="6401" width="19.5" style="266" customWidth="1"/>
    <col min="6402" max="6403" width="12.125" style="266" customWidth="1"/>
    <col min="6404" max="6404" width="13.75" style="266" customWidth="1"/>
    <col min="6405" max="6405" width="14.625" style="266" customWidth="1"/>
    <col min="6406" max="6406" width="15.125" style="266" customWidth="1"/>
    <col min="6407" max="6407" width="12.25" style="266" customWidth="1"/>
    <col min="6408" max="6408" width="12.5" style="266" customWidth="1"/>
    <col min="6409" max="6409" width="12.25" style="266" customWidth="1"/>
    <col min="6410" max="6410" width="11.625" style="266" customWidth="1"/>
    <col min="6411" max="6656" width="8.875" style="266"/>
    <col min="6657" max="6657" width="19.5" style="266" customWidth="1"/>
    <col min="6658" max="6659" width="12.125" style="266" customWidth="1"/>
    <col min="6660" max="6660" width="13.75" style="266" customWidth="1"/>
    <col min="6661" max="6661" width="14.625" style="266" customWidth="1"/>
    <col min="6662" max="6662" width="15.125" style="266" customWidth="1"/>
    <col min="6663" max="6663" width="12.25" style="266" customWidth="1"/>
    <col min="6664" max="6664" width="12.5" style="266" customWidth="1"/>
    <col min="6665" max="6665" width="12.25" style="266" customWidth="1"/>
    <col min="6666" max="6666" width="11.625" style="266" customWidth="1"/>
    <col min="6667" max="6912" width="8.875" style="266"/>
    <col min="6913" max="6913" width="19.5" style="266" customWidth="1"/>
    <col min="6914" max="6915" width="12.125" style="266" customWidth="1"/>
    <col min="6916" max="6916" width="13.75" style="266" customWidth="1"/>
    <col min="6917" max="6917" width="14.625" style="266" customWidth="1"/>
    <col min="6918" max="6918" width="15.125" style="266" customWidth="1"/>
    <col min="6919" max="6919" width="12.25" style="266" customWidth="1"/>
    <col min="6920" max="6920" width="12.5" style="266" customWidth="1"/>
    <col min="6921" max="6921" width="12.25" style="266" customWidth="1"/>
    <col min="6922" max="6922" width="11.625" style="266" customWidth="1"/>
    <col min="6923" max="7168" width="8.875" style="266"/>
    <col min="7169" max="7169" width="19.5" style="266" customWidth="1"/>
    <col min="7170" max="7171" width="12.125" style="266" customWidth="1"/>
    <col min="7172" max="7172" width="13.75" style="266" customWidth="1"/>
    <col min="7173" max="7173" width="14.625" style="266" customWidth="1"/>
    <col min="7174" max="7174" width="15.125" style="266" customWidth="1"/>
    <col min="7175" max="7175" width="12.25" style="266" customWidth="1"/>
    <col min="7176" max="7176" width="12.5" style="266" customWidth="1"/>
    <col min="7177" max="7177" width="12.25" style="266" customWidth="1"/>
    <col min="7178" max="7178" width="11.625" style="266" customWidth="1"/>
    <col min="7179" max="7424" width="8.875" style="266"/>
    <col min="7425" max="7425" width="19.5" style="266" customWidth="1"/>
    <col min="7426" max="7427" width="12.125" style="266" customWidth="1"/>
    <col min="7428" max="7428" width="13.75" style="266" customWidth="1"/>
    <col min="7429" max="7429" width="14.625" style="266" customWidth="1"/>
    <col min="7430" max="7430" width="15.125" style="266" customWidth="1"/>
    <col min="7431" max="7431" width="12.25" style="266" customWidth="1"/>
    <col min="7432" max="7432" width="12.5" style="266" customWidth="1"/>
    <col min="7433" max="7433" width="12.25" style="266" customWidth="1"/>
    <col min="7434" max="7434" width="11.625" style="266" customWidth="1"/>
    <col min="7435" max="7680" width="8.875" style="266"/>
    <col min="7681" max="7681" width="19.5" style="266" customWidth="1"/>
    <col min="7682" max="7683" width="12.125" style="266" customWidth="1"/>
    <col min="7684" max="7684" width="13.75" style="266" customWidth="1"/>
    <col min="7685" max="7685" width="14.625" style="266" customWidth="1"/>
    <col min="7686" max="7686" width="15.125" style="266" customWidth="1"/>
    <col min="7687" max="7687" width="12.25" style="266" customWidth="1"/>
    <col min="7688" max="7688" width="12.5" style="266" customWidth="1"/>
    <col min="7689" max="7689" width="12.25" style="266" customWidth="1"/>
    <col min="7690" max="7690" width="11.625" style="266" customWidth="1"/>
    <col min="7691" max="7936" width="8.875" style="266"/>
    <col min="7937" max="7937" width="19.5" style="266" customWidth="1"/>
    <col min="7938" max="7939" width="12.125" style="266" customWidth="1"/>
    <col min="7940" max="7940" width="13.75" style="266" customWidth="1"/>
    <col min="7941" max="7941" width="14.625" style="266" customWidth="1"/>
    <col min="7942" max="7942" width="15.125" style="266" customWidth="1"/>
    <col min="7943" max="7943" width="12.25" style="266" customWidth="1"/>
    <col min="7944" max="7944" width="12.5" style="266" customWidth="1"/>
    <col min="7945" max="7945" width="12.25" style="266" customWidth="1"/>
    <col min="7946" max="7946" width="11.625" style="266" customWidth="1"/>
    <col min="7947" max="8192" width="8.875" style="266"/>
    <col min="8193" max="8193" width="19.5" style="266" customWidth="1"/>
    <col min="8194" max="8195" width="12.125" style="266" customWidth="1"/>
    <col min="8196" max="8196" width="13.75" style="266" customWidth="1"/>
    <col min="8197" max="8197" width="14.625" style="266" customWidth="1"/>
    <col min="8198" max="8198" width="15.125" style="266" customWidth="1"/>
    <col min="8199" max="8199" width="12.25" style="266" customWidth="1"/>
    <col min="8200" max="8200" width="12.5" style="266" customWidth="1"/>
    <col min="8201" max="8201" width="12.25" style="266" customWidth="1"/>
    <col min="8202" max="8202" width="11.625" style="266" customWidth="1"/>
    <col min="8203" max="8448" width="8.875" style="266"/>
    <col min="8449" max="8449" width="19.5" style="266" customWidth="1"/>
    <col min="8450" max="8451" width="12.125" style="266" customWidth="1"/>
    <col min="8452" max="8452" width="13.75" style="266" customWidth="1"/>
    <col min="8453" max="8453" width="14.625" style="266" customWidth="1"/>
    <col min="8454" max="8454" width="15.125" style="266" customWidth="1"/>
    <col min="8455" max="8455" width="12.25" style="266" customWidth="1"/>
    <col min="8456" max="8456" width="12.5" style="266" customWidth="1"/>
    <col min="8457" max="8457" width="12.25" style="266" customWidth="1"/>
    <col min="8458" max="8458" width="11.625" style="266" customWidth="1"/>
    <col min="8459" max="8704" width="8.875" style="266"/>
    <col min="8705" max="8705" width="19.5" style="266" customWidth="1"/>
    <col min="8706" max="8707" width="12.125" style="266" customWidth="1"/>
    <col min="8708" max="8708" width="13.75" style="266" customWidth="1"/>
    <col min="8709" max="8709" width="14.625" style="266" customWidth="1"/>
    <col min="8710" max="8710" width="15.125" style="266" customWidth="1"/>
    <col min="8711" max="8711" width="12.25" style="266" customWidth="1"/>
    <col min="8712" max="8712" width="12.5" style="266" customWidth="1"/>
    <col min="8713" max="8713" width="12.25" style="266" customWidth="1"/>
    <col min="8714" max="8714" width="11.625" style="266" customWidth="1"/>
    <col min="8715" max="8960" width="8.875" style="266"/>
    <col min="8961" max="8961" width="19.5" style="266" customWidth="1"/>
    <col min="8962" max="8963" width="12.125" style="266" customWidth="1"/>
    <col min="8964" max="8964" width="13.75" style="266" customWidth="1"/>
    <col min="8965" max="8965" width="14.625" style="266" customWidth="1"/>
    <col min="8966" max="8966" width="15.125" style="266" customWidth="1"/>
    <col min="8967" max="8967" width="12.25" style="266" customWidth="1"/>
    <col min="8968" max="8968" width="12.5" style="266" customWidth="1"/>
    <col min="8969" max="8969" width="12.25" style="266" customWidth="1"/>
    <col min="8970" max="8970" width="11.625" style="266" customWidth="1"/>
    <col min="8971" max="9216" width="8.875" style="266"/>
    <col min="9217" max="9217" width="19.5" style="266" customWidth="1"/>
    <col min="9218" max="9219" width="12.125" style="266" customWidth="1"/>
    <col min="9220" max="9220" width="13.75" style="266" customWidth="1"/>
    <col min="9221" max="9221" width="14.625" style="266" customWidth="1"/>
    <col min="9222" max="9222" width="15.125" style="266" customWidth="1"/>
    <col min="9223" max="9223" width="12.25" style="266" customWidth="1"/>
    <col min="9224" max="9224" width="12.5" style="266" customWidth="1"/>
    <col min="9225" max="9225" width="12.25" style="266" customWidth="1"/>
    <col min="9226" max="9226" width="11.625" style="266" customWidth="1"/>
    <col min="9227" max="9472" width="8.875" style="266"/>
    <col min="9473" max="9473" width="19.5" style="266" customWidth="1"/>
    <col min="9474" max="9475" width="12.125" style="266" customWidth="1"/>
    <col min="9476" max="9476" width="13.75" style="266" customWidth="1"/>
    <col min="9477" max="9477" width="14.625" style="266" customWidth="1"/>
    <col min="9478" max="9478" width="15.125" style="266" customWidth="1"/>
    <col min="9479" max="9479" width="12.25" style="266" customWidth="1"/>
    <col min="9480" max="9480" width="12.5" style="266" customWidth="1"/>
    <col min="9481" max="9481" width="12.25" style="266" customWidth="1"/>
    <col min="9482" max="9482" width="11.625" style="266" customWidth="1"/>
    <col min="9483" max="9728" width="8.875" style="266"/>
    <col min="9729" max="9729" width="19.5" style="266" customWidth="1"/>
    <col min="9730" max="9731" width="12.125" style="266" customWidth="1"/>
    <col min="9732" max="9732" width="13.75" style="266" customWidth="1"/>
    <col min="9733" max="9733" width="14.625" style="266" customWidth="1"/>
    <col min="9734" max="9734" width="15.125" style="266" customWidth="1"/>
    <col min="9735" max="9735" width="12.25" style="266" customWidth="1"/>
    <col min="9736" max="9736" width="12.5" style="266" customWidth="1"/>
    <col min="9737" max="9737" width="12.25" style="266" customWidth="1"/>
    <col min="9738" max="9738" width="11.625" style="266" customWidth="1"/>
    <col min="9739" max="9984" width="8.875" style="266"/>
    <col min="9985" max="9985" width="19.5" style="266" customWidth="1"/>
    <col min="9986" max="9987" width="12.125" style="266" customWidth="1"/>
    <col min="9988" max="9988" width="13.75" style="266" customWidth="1"/>
    <col min="9989" max="9989" width="14.625" style="266" customWidth="1"/>
    <col min="9990" max="9990" width="15.125" style="266" customWidth="1"/>
    <col min="9991" max="9991" width="12.25" style="266" customWidth="1"/>
    <col min="9992" max="9992" width="12.5" style="266" customWidth="1"/>
    <col min="9993" max="9993" width="12.25" style="266" customWidth="1"/>
    <col min="9994" max="9994" width="11.625" style="266" customWidth="1"/>
    <col min="9995" max="10240" width="8.875" style="266"/>
    <col min="10241" max="10241" width="19.5" style="266" customWidth="1"/>
    <col min="10242" max="10243" width="12.125" style="266" customWidth="1"/>
    <col min="10244" max="10244" width="13.75" style="266" customWidth="1"/>
    <col min="10245" max="10245" width="14.625" style="266" customWidth="1"/>
    <col min="10246" max="10246" width="15.125" style="266" customWidth="1"/>
    <col min="10247" max="10247" width="12.25" style="266" customWidth="1"/>
    <col min="10248" max="10248" width="12.5" style="266" customWidth="1"/>
    <col min="10249" max="10249" width="12.25" style="266" customWidth="1"/>
    <col min="10250" max="10250" width="11.625" style="266" customWidth="1"/>
    <col min="10251" max="10496" width="8.875" style="266"/>
    <col min="10497" max="10497" width="19.5" style="266" customWidth="1"/>
    <col min="10498" max="10499" width="12.125" style="266" customWidth="1"/>
    <col min="10500" max="10500" width="13.75" style="266" customWidth="1"/>
    <col min="10501" max="10501" width="14.625" style="266" customWidth="1"/>
    <col min="10502" max="10502" width="15.125" style="266" customWidth="1"/>
    <col min="10503" max="10503" width="12.25" style="266" customWidth="1"/>
    <col min="10504" max="10504" width="12.5" style="266" customWidth="1"/>
    <col min="10505" max="10505" width="12.25" style="266" customWidth="1"/>
    <col min="10506" max="10506" width="11.625" style="266" customWidth="1"/>
    <col min="10507" max="10752" width="8.875" style="266"/>
    <col min="10753" max="10753" width="19.5" style="266" customWidth="1"/>
    <col min="10754" max="10755" width="12.125" style="266" customWidth="1"/>
    <col min="10756" max="10756" width="13.75" style="266" customWidth="1"/>
    <col min="10757" max="10757" width="14.625" style="266" customWidth="1"/>
    <col min="10758" max="10758" width="15.125" style="266" customWidth="1"/>
    <col min="10759" max="10759" width="12.25" style="266" customWidth="1"/>
    <col min="10760" max="10760" width="12.5" style="266" customWidth="1"/>
    <col min="10761" max="10761" width="12.25" style="266" customWidth="1"/>
    <col min="10762" max="10762" width="11.625" style="266" customWidth="1"/>
    <col min="10763" max="11008" width="8.875" style="266"/>
    <col min="11009" max="11009" width="19.5" style="266" customWidth="1"/>
    <col min="11010" max="11011" width="12.125" style="266" customWidth="1"/>
    <col min="11012" max="11012" width="13.75" style="266" customWidth="1"/>
    <col min="11013" max="11013" width="14.625" style="266" customWidth="1"/>
    <col min="11014" max="11014" width="15.125" style="266" customWidth="1"/>
    <col min="11015" max="11015" width="12.25" style="266" customWidth="1"/>
    <col min="11016" max="11016" width="12.5" style="266" customWidth="1"/>
    <col min="11017" max="11017" width="12.25" style="266" customWidth="1"/>
    <col min="11018" max="11018" width="11.625" style="266" customWidth="1"/>
    <col min="11019" max="11264" width="8.875" style="266"/>
    <col min="11265" max="11265" width="19.5" style="266" customWidth="1"/>
    <col min="11266" max="11267" width="12.125" style="266" customWidth="1"/>
    <col min="11268" max="11268" width="13.75" style="266" customWidth="1"/>
    <col min="11269" max="11269" width="14.625" style="266" customWidth="1"/>
    <col min="11270" max="11270" width="15.125" style="266" customWidth="1"/>
    <col min="11271" max="11271" width="12.25" style="266" customWidth="1"/>
    <col min="11272" max="11272" width="12.5" style="266" customWidth="1"/>
    <col min="11273" max="11273" width="12.25" style="266" customWidth="1"/>
    <col min="11274" max="11274" width="11.625" style="266" customWidth="1"/>
    <col min="11275" max="11520" width="8.875" style="266"/>
    <col min="11521" max="11521" width="19.5" style="266" customWidth="1"/>
    <col min="11522" max="11523" width="12.125" style="266" customWidth="1"/>
    <col min="11524" max="11524" width="13.75" style="266" customWidth="1"/>
    <col min="11525" max="11525" width="14.625" style="266" customWidth="1"/>
    <col min="11526" max="11526" width="15.125" style="266" customWidth="1"/>
    <col min="11527" max="11527" width="12.25" style="266" customWidth="1"/>
    <col min="11528" max="11528" width="12.5" style="266" customWidth="1"/>
    <col min="11529" max="11529" width="12.25" style="266" customWidth="1"/>
    <col min="11530" max="11530" width="11.625" style="266" customWidth="1"/>
    <col min="11531" max="11776" width="8.875" style="266"/>
    <col min="11777" max="11777" width="19.5" style="266" customWidth="1"/>
    <col min="11778" max="11779" width="12.125" style="266" customWidth="1"/>
    <col min="11780" max="11780" width="13.75" style="266" customWidth="1"/>
    <col min="11781" max="11781" width="14.625" style="266" customWidth="1"/>
    <col min="11782" max="11782" width="15.125" style="266" customWidth="1"/>
    <col min="11783" max="11783" width="12.25" style="266" customWidth="1"/>
    <col min="11784" max="11784" width="12.5" style="266" customWidth="1"/>
    <col min="11785" max="11785" width="12.25" style="266" customWidth="1"/>
    <col min="11786" max="11786" width="11.625" style="266" customWidth="1"/>
    <col min="11787" max="12032" width="8.875" style="266"/>
    <col min="12033" max="12033" width="19.5" style="266" customWidth="1"/>
    <col min="12034" max="12035" width="12.125" style="266" customWidth="1"/>
    <col min="12036" max="12036" width="13.75" style="266" customWidth="1"/>
    <col min="12037" max="12037" width="14.625" style="266" customWidth="1"/>
    <col min="12038" max="12038" width="15.125" style="266" customWidth="1"/>
    <col min="12039" max="12039" width="12.25" style="266" customWidth="1"/>
    <col min="12040" max="12040" width="12.5" style="266" customWidth="1"/>
    <col min="12041" max="12041" width="12.25" style="266" customWidth="1"/>
    <col min="12042" max="12042" width="11.625" style="266" customWidth="1"/>
    <col min="12043" max="12288" width="8.875" style="266"/>
    <col min="12289" max="12289" width="19.5" style="266" customWidth="1"/>
    <col min="12290" max="12291" width="12.125" style="266" customWidth="1"/>
    <col min="12292" max="12292" width="13.75" style="266" customWidth="1"/>
    <col min="12293" max="12293" width="14.625" style="266" customWidth="1"/>
    <col min="12294" max="12294" width="15.125" style="266" customWidth="1"/>
    <col min="12295" max="12295" width="12.25" style="266" customWidth="1"/>
    <col min="12296" max="12296" width="12.5" style="266" customWidth="1"/>
    <col min="12297" max="12297" width="12.25" style="266" customWidth="1"/>
    <col min="12298" max="12298" width="11.625" style="266" customWidth="1"/>
    <col min="12299" max="12544" width="8.875" style="266"/>
    <col min="12545" max="12545" width="19.5" style="266" customWidth="1"/>
    <col min="12546" max="12547" width="12.125" style="266" customWidth="1"/>
    <col min="12548" max="12548" width="13.75" style="266" customWidth="1"/>
    <col min="12549" max="12549" width="14.625" style="266" customWidth="1"/>
    <col min="12550" max="12550" width="15.125" style="266" customWidth="1"/>
    <col min="12551" max="12551" width="12.25" style="266" customWidth="1"/>
    <col min="12552" max="12552" width="12.5" style="266" customWidth="1"/>
    <col min="12553" max="12553" width="12.25" style="266" customWidth="1"/>
    <col min="12554" max="12554" width="11.625" style="266" customWidth="1"/>
    <col min="12555" max="12800" width="8.875" style="266"/>
    <col min="12801" max="12801" width="19.5" style="266" customWidth="1"/>
    <col min="12802" max="12803" width="12.125" style="266" customWidth="1"/>
    <col min="12804" max="12804" width="13.75" style="266" customWidth="1"/>
    <col min="12805" max="12805" width="14.625" style="266" customWidth="1"/>
    <col min="12806" max="12806" width="15.125" style="266" customWidth="1"/>
    <col min="12807" max="12807" width="12.25" style="266" customWidth="1"/>
    <col min="12808" max="12808" width="12.5" style="266" customWidth="1"/>
    <col min="12809" max="12809" width="12.25" style="266" customWidth="1"/>
    <col min="12810" max="12810" width="11.625" style="266" customWidth="1"/>
    <col min="12811" max="13056" width="8.875" style="266"/>
    <col min="13057" max="13057" width="19.5" style="266" customWidth="1"/>
    <col min="13058" max="13059" width="12.125" style="266" customWidth="1"/>
    <col min="13060" max="13060" width="13.75" style="266" customWidth="1"/>
    <col min="13061" max="13061" width="14.625" style="266" customWidth="1"/>
    <col min="13062" max="13062" width="15.125" style="266" customWidth="1"/>
    <col min="13063" max="13063" width="12.25" style="266" customWidth="1"/>
    <col min="13064" max="13064" width="12.5" style="266" customWidth="1"/>
    <col min="13065" max="13065" width="12.25" style="266" customWidth="1"/>
    <col min="13066" max="13066" width="11.625" style="266" customWidth="1"/>
    <col min="13067" max="13312" width="8.875" style="266"/>
    <col min="13313" max="13313" width="19.5" style="266" customWidth="1"/>
    <col min="13314" max="13315" width="12.125" style="266" customWidth="1"/>
    <col min="13316" max="13316" width="13.75" style="266" customWidth="1"/>
    <col min="13317" max="13317" width="14.625" style="266" customWidth="1"/>
    <col min="13318" max="13318" width="15.125" style="266" customWidth="1"/>
    <col min="13319" max="13319" width="12.25" style="266" customWidth="1"/>
    <col min="13320" max="13320" width="12.5" style="266" customWidth="1"/>
    <col min="13321" max="13321" width="12.25" style="266" customWidth="1"/>
    <col min="13322" max="13322" width="11.625" style="266" customWidth="1"/>
    <col min="13323" max="13568" width="8.875" style="266"/>
    <col min="13569" max="13569" width="19.5" style="266" customWidth="1"/>
    <col min="13570" max="13571" width="12.125" style="266" customWidth="1"/>
    <col min="13572" max="13572" width="13.75" style="266" customWidth="1"/>
    <col min="13573" max="13573" width="14.625" style="266" customWidth="1"/>
    <col min="13574" max="13574" width="15.125" style="266" customWidth="1"/>
    <col min="13575" max="13575" width="12.25" style="266" customWidth="1"/>
    <col min="13576" max="13576" width="12.5" style="266" customWidth="1"/>
    <col min="13577" max="13577" width="12.25" style="266" customWidth="1"/>
    <col min="13578" max="13578" width="11.625" style="266" customWidth="1"/>
    <col min="13579" max="13824" width="8.875" style="266"/>
    <col min="13825" max="13825" width="19.5" style="266" customWidth="1"/>
    <col min="13826" max="13827" width="12.125" style="266" customWidth="1"/>
    <col min="13828" max="13828" width="13.75" style="266" customWidth="1"/>
    <col min="13829" max="13829" width="14.625" style="266" customWidth="1"/>
    <col min="13830" max="13830" width="15.125" style="266" customWidth="1"/>
    <col min="13831" max="13831" width="12.25" style="266" customWidth="1"/>
    <col min="13832" max="13832" width="12.5" style="266" customWidth="1"/>
    <col min="13833" max="13833" width="12.25" style="266" customWidth="1"/>
    <col min="13834" max="13834" width="11.625" style="266" customWidth="1"/>
    <col min="13835" max="14080" width="8.875" style="266"/>
    <col min="14081" max="14081" width="19.5" style="266" customWidth="1"/>
    <col min="14082" max="14083" width="12.125" style="266" customWidth="1"/>
    <col min="14084" max="14084" width="13.75" style="266" customWidth="1"/>
    <col min="14085" max="14085" width="14.625" style="266" customWidth="1"/>
    <col min="14086" max="14086" width="15.125" style="266" customWidth="1"/>
    <col min="14087" max="14087" width="12.25" style="266" customWidth="1"/>
    <col min="14088" max="14088" width="12.5" style="266" customWidth="1"/>
    <col min="14089" max="14089" width="12.25" style="266" customWidth="1"/>
    <col min="14090" max="14090" width="11.625" style="266" customWidth="1"/>
    <col min="14091" max="14336" width="8.875" style="266"/>
    <col min="14337" max="14337" width="19.5" style="266" customWidth="1"/>
    <col min="14338" max="14339" width="12.125" style="266" customWidth="1"/>
    <col min="14340" max="14340" width="13.75" style="266" customWidth="1"/>
    <col min="14341" max="14341" width="14.625" style="266" customWidth="1"/>
    <col min="14342" max="14342" width="15.125" style="266" customWidth="1"/>
    <col min="14343" max="14343" width="12.25" style="266" customWidth="1"/>
    <col min="14344" max="14344" width="12.5" style="266" customWidth="1"/>
    <col min="14345" max="14345" width="12.25" style="266" customWidth="1"/>
    <col min="14346" max="14346" width="11.625" style="266" customWidth="1"/>
    <col min="14347" max="14592" width="8.875" style="266"/>
    <col min="14593" max="14593" width="19.5" style="266" customWidth="1"/>
    <col min="14594" max="14595" width="12.125" style="266" customWidth="1"/>
    <col min="14596" max="14596" width="13.75" style="266" customWidth="1"/>
    <col min="14597" max="14597" width="14.625" style="266" customWidth="1"/>
    <col min="14598" max="14598" width="15.125" style="266" customWidth="1"/>
    <col min="14599" max="14599" width="12.25" style="266" customWidth="1"/>
    <col min="14600" max="14600" width="12.5" style="266" customWidth="1"/>
    <col min="14601" max="14601" width="12.25" style="266" customWidth="1"/>
    <col min="14602" max="14602" width="11.625" style="266" customWidth="1"/>
    <col min="14603" max="14848" width="8.875" style="266"/>
    <col min="14849" max="14849" width="19.5" style="266" customWidth="1"/>
    <col min="14850" max="14851" width="12.125" style="266" customWidth="1"/>
    <col min="14852" max="14852" width="13.75" style="266" customWidth="1"/>
    <col min="14853" max="14853" width="14.625" style="266" customWidth="1"/>
    <col min="14854" max="14854" width="15.125" style="266" customWidth="1"/>
    <col min="14855" max="14855" width="12.25" style="266" customWidth="1"/>
    <col min="14856" max="14856" width="12.5" style="266" customWidth="1"/>
    <col min="14857" max="14857" width="12.25" style="266" customWidth="1"/>
    <col min="14858" max="14858" width="11.625" style="266" customWidth="1"/>
    <col min="14859" max="15104" width="8.875" style="266"/>
    <col min="15105" max="15105" width="19.5" style="266" customWidth="1"/>
    <col min="15106" max="15107" width="12.125" style="266" customWidth="1"/>
    <col min="15108" max="15108" width="13.75" style="266" customWidth="1"/>
    <col min="15109" max="15109" width="14.625" style="266" customWidth="1"/>
    <col min="15110" max="15110" width="15.125" style="266" customWidth="1"/>
    <col min="15111" max="15111" width="12.25" style="266" customWidth="1"/>
    <col min="15112" max="15112" width="12.5" style="266" customWidth="1"/>
    <col min="15113" max="15113" width="12.25" style="266" customWidth="1"/>
    <col min="15114" max="15114" width="11.625" style="266" customWidth="1"/>
    <col min="15115" max="15360" width="8.875" style="266"/>
    <col min="15361" max="15361" width="19.5" style="266" customWidth="1"/>
    <col min="15362" max="15363" width="12.125" style="266" customWidth="1"/>
    <col min="15364" max="15364" width="13.75" style="266" customWidth="1"/>
    <col min="15365" max="15365" width="14.625" style="266" customWidth="1"/>
    <col min="15366" max="15366" width="15.125" style="266" customWidth="1"/>
    <col min="15367" max="15367" width="12.25" style="266" customWidth="1"/>
    <col min="15368" max="15368" width="12.5" style="266" customWidth="1"/>
    <col min="15369" max="15369" width="12.25" style="266" customWidth="1"/>
    <col min="15370" max="15370" width="11.625" style="266" customWidth="1"/>
    <col min="15371" max="15616" width="8.875" style="266"/>
    <col min="15617" max="15617" width="19.5" style="266" customWidth="1"/>
    <col min="15618" max="15619" width="12.125" style="266" customWidth="1"/>
    <col min="15620" max="15620" width="13.75" style="266" customWidth="1"/>
    <col min="15621" max="15621" width="14.625" style="266" customWidth="1"/>
    <col min="15622" max="15622" width="15.125" style="266" customWidth="1"/>
    <col min="15623" max="15623" width="12.25" style="266" customWidth="1"/>
    <col min="15624" max="15624" width="12.5" style="266" customWidth="1"/>
    <col min="15625" max="15625" width="12.25" style="266" customWidth="1"/>
    <col min="15626" max="15626" width="11.625" style="266" customWidth="1"/>
    <col min="15627" max="15872" width="8.875" style="266"/>
    <col min="15873" max="15873" width="19.5" style="266" customWidth="1"/>
    <col min="15874" max="15875" width="12.125" style="266" customWidth="1"/>
    <col min="15876" max="15876" width="13.75" style="266" customWidth="1"/>
    <col min="15877" max="15877" width="14.625" style="266" customWidth="1"/>
    <col min="15878" max="15878" width="15.125" style="266" customWidth="1"/>
    <col min="15879" max="15879" width="12.25" style="266" customWidth="1"/>
    <col min="15880" max="15880" width="12.5" style="266" customWidth="1"/>
    <col min="15881" max="15881" width="12.25" style="266" customWidth="1"/>
    <col min="15882" max="15882" width="11.625" style="266" customWidth="1"/>
    <col min="15883" max="16128" width="8.875" style="266"/>
    <col min="16129" max="16129" width="19.5" style="266" customWidth="1"/>
    <col min="16130" max="16131" width="12.125" style="266" customWidth="1"/>
    <col min="16132" max="16132" width="13.75" style="266" customWidth="1"/>
    <col min="16133" max="16133" width="14.625" style="266" customWidth="1"/>
    <col min="16134" max="16134" width="15.125" style="266" customWidth="1"/>
    <col min="16135" max="16135" width="12.25" style="266" customWidth="1"/>
    <col min="16136" max="16136" width="12.5" style="266" customWidth="1"/>
    <col min="16137" max="16137" width="12.25" style="266" customWidth="1"/>
    <col min="16138" max="16138" width="11.625" style="266" customWidth="1"/>
    <col min="16139" max="16384" width="8.875" style="266"/>
  </cols>
  <sheetData>
    <row r="1" spans="1:10" ht="19.5">
      <c r="A1" s="261" t="s">
        <v>478</v>
      </c>
      <c r="B1" s="262"/>
      <c r="C1" s="263"/>
      <c r="D1" s="264"/>
      <c r="E1" s="262"/>
      <c r="F1" s="263"/>
      <c r="G1" s="265"/>
    </row>
    <row r="2" spans="1:10" ht="5.25" customHeight="1">
      <c r="G2" s="269"/>
    </row>
    <row r="3" spans="1:10" ht="17.25">
      <c r="A3" s="270" t="s">
        <v>157</v>
      </c>
      <c r="B3" s="271"/>
      <c r="C3" s="271"/>
      <c r="D3" s="271"/>
      <c r="E3" s="272"/>
      <c r="F3" s="272"/>
      <c r="G3" s="272"/>
      <c r="H3" s="272"/>
      <c r="I3" s="272"/>
      <c r="J3" s="273"/>
    </row>
    <row r="4" spans="1:10" ht="17.25">
      <c r="A4" s="274" t="s">
        <v>158</v>
      </c>
      <c r="B4" s="275"/>
      <c r="C4" s="275"/>
      <c r="D4" s="275"/>
      <c r="E4" s="276"/>
      <c r="F4" s="276"/>
      <c r="G4" s="276"/>
      <c r="H4" s="276"/>
      <c r="I4" s="276"/>
      <c r="J4" s="277"/>
    </row>
    <row r="5" spans="1:10">
      <c r="A5" s="69" t="s">
        <v>471</v>
      </c>
      <c r="B5" s="8" t="s">
        <v>424</v>
      </c>
      <c r="C5" s="70" t="s">
        <v>425</v>
      </c>
      <c r="D5" s="71" t="s">
        <v>159</v>
      </c>
      <c r="E5" s="8" t="s">
        <v>424</v>
      </c>
      <c r="F5" s="70" t="s">
        <v>425</v>
      </c>
      <c r="G5" s="73" t="s">
        <v>160</v>
      </c>
      <c r="H5" s="8" t="s">
        <v>424</v>
      </c>
      <c r="I5" s="70" t="s">
        <v>425</v>
      </c>
      <c r="J5" s="200" t="s">
        <v>37</v>
      </c>
    </row>
    <row r="6" spans="1:10">
      <c r="A6" s="279"/>
      <c r="B6" s="278" t="s">
        <v>33</v>
      </c>
      <c r="C6" s="498" t="s">
        <v>420</v>
      </c>
      <c r="D6" s="502" t="s">
        <v>2</v>
      </c>
      <c r="E6" s="280" t="s">
        <v>34</v>
      </c>
      <c r="F6" s="503" t="s">
        <v>421</v>
      </c>
      <c r="G6" s="502" t="s">
        <v>2</v>
      </c>
      <c r="H6" s="281" t="s">
        <v>36</v>
      </c>
      <c r="I6" s="505" t="s">
        <v>422</v>
      </c>
      <c r="J6" s="502" t="s">
        <v>2</v>
      </c>
    </row>
    <row r="7" spans="1:10">
      <c r="A7" s="282" t="s">
        <v>5</v>
      </c>
      <c r="B7" s="283"/>
      <c r="C7" s="80"/>
      <c r="D7" s="203"/>
      <c r="E7" s="284"/>
      <c r="F7" s="80"/>
      <c r="G7" s="504"/>
      <c r="H7" s="285"/>
      <c r="I7" s="83"/>
      <c r="J7" s="204"/>
    </row>
    <row r="8" spans="1:10">
      <c r="A8" s="282" t="s">
        <v>6</v>
      </c>
      <c r="B8" s="286">
        <f>SUM(B9:B11)</f>
        <v>149151</v>
      </c>
      <c r="C8" s="499">
        <f>SUM(C9:C11)</f>
        <v>249959</v>
      </c>
      <c r="D8" s="511">
        <f>IF(C8,(B8-C8)/C8,0)</f>
        <v>-0.40329814089510679</v>
      </c>
      <c r="E8" s="287">
        <f>SUM(E9:E11)</f>
        <v>323160531</v>
      </c>
      <c r="F8" s="84">
        <f>SUM(F9:F11)</f>
        <v>458730892</v>
      </c>
      <c r="G8" s="510">
        <f>IF(F8,(E8-F8)/F8,0)</f>
        <v>-0.29553353254439207</v>
      </c>
      <c r="H8" s="86">
        <f>IF(B8,E8/B8,0)</f>
        <v>2166.6668745097249</v>
      </c>
      <c r="I8" s="87">
        <f>IF(C8,F8/C8,0)</f>
        <v>1835.2245448253514</v>
      </c>
      <c r="J8" s="512">
        <f t="shared" ref="J8:J64" si="0">IF(I8,(H8-I8)/I8,0)</f>
        <v>0.18060042332090498</v>
      </c>
    </row>
    <row r="9" spans="1:10">
      <c r="A9" s="288" t="s">
        <v>164</v>
      </c>
      <c r="B9" s="289">
        <f>電輔車!E9</f>
        <v>132353</v>
      </c>
      <c r="C9" s="88">
        <f>VLOOKUP(A9,[14]進出口值表查詢結果!$A$9:$C$68,3,0)</f>
        <v>230568</v>
      </c>
      <c r="D9" s="511">
        <f t="shared" ref="D9:D64" si="1">IF(C9,(B9-C9)/C9,0)</f>
        <v>-0.4259697789806044</v>
      </c>
      <c r="E9" s="290">
        <f>電輔車!G9</f>
        <v>287183771</v>
      </c>
      <c r="F9" s="89">
        <f>VLOOKUP(A9,[14]進出口值表查詢結果!$A$9:$C$68,2,0)</f>
        <v>418071608</v>
      </c>
      <c r="G9" s="510">
        <f t="shared" ref="G9:G64" si="2">IF(F9,(E9-F9)/F9,0)</f>
        <v>-0.31307516342989739</v>
      </c>
      <c r="H9" s="86">
        <f t="shared" ref="H9:H11" si="3">IF(B9,E9/B9,0)</f>
        <v>2169.831972074679</v>
      </c>
      <c r="I9" s="87">
        <f t="shared" ref="I9:I11" si="4">IF(C9,F9/C9,0)</f>
        <v>1813.224766663197</v>
      </c>
      <c r="J9" s="512">
        <f t="shared" si="0"/>
        <v>0.196670160240383</v>
      </c>
    </row>
    <row r="10" spans="1:10">
      <c r="A10" s="291" t="s">
        <v>7</v>
      </c>
      <c r="B10" s="289">
        <f>電輔車!E10</f>
        <v>15682</v>
      </c>
      <c r="C10" s="88">
        <f>VLOOKUP(A10,[14]進出口值表查詢結果!$A$9:$C$68,3,0)</f>
        <v>16172</v>
      </c>
      <c r="D10" s="511">
        <f t="shared" si="1"/>
        <v>-3.0299282710858272E-2</v>
      </c>
      <c r="E10" s="290">
        <f>電輔車!G10</f>
        <v>33723259</v>
      </c>
      <c r="F10" s="89">
        <f>VLOOKUP(A10,[14]進出口值表查詢結果!$A$9:$C$68,2,0)</f>
        <v>33218225</v>
      </c>
      <c r="G10" s="510">
        <f t="shared" si="2"/>
        <v>1.5203521560829936E-2</v>
      </c>
      <c r="H10" s="86">
        <f t="shared" si="3"/>
        <v>2150.4437571738299</v>
      </c>
      <c r="I10" s="87">
        <f t="shared" si="4"/>
        <v>2054.0579396487756</v>
      </c>
      <c r="J10" s="512">
        <f t="shared" si="0"/>
        <v>4.6924585555524978E-2</v>
      </c>
    </row>
    <row r="11" spans="1:10">
      <c r="A11" s="291" t="s">
        <v>8</v>
      </c>
      <c r="B11" s="289">
        <f>電輔車!E11</f>
        <v>1116</v>
      </c>
      <c r="C11" s="88">
        <f>VLOOKUP(A11,[14]進出口值表查詢結果!$A$9:$C$68,3,0)</f>
        <v>3219</v>
      </c>
      <c r="D11" s="511">
        <f t="shared" si="1"/>
        <v>-0.65330848089468774</v>
      </c>
      <c r="E11" s="290">
        <f>電輔車!G11</f>
        <v>2253501</v>
      </c>
      <c r="F11" s="89">
        <f>VLOOKUP(A11,[14]進出口值表查詢結果!$A$9:$C$68,2,0)</f>
        <v>7441059</v>
      </c>
      <c r="G11" s="510">
        <f t="shared" si="2"/>
        <v>-0.6971531874696868</v>
      </c>
      <c r="H11" s="86">
        <f t="shared" si="3"/>
        <v>2019.266129032258</v>
      </c>
      <c r="I11" s="87">
        <f t="shared" si="4"/>
        <v>2311.6057781919849</v>
      </c>
      <c r="J11" s="512">
        <f t="shared" si="0"/>
        <v>-0.12646604880369322</v>
      </c>
    </row>
    <row r="12" spans="1:10">
      <c r="A12" s="291"/>
      <c r="B12" s="289"/>
      <c r="C12" s="500"/>
      <c r="D12" s="511"/>
      <c r="E12" s="290"/>
      <c r="F12" s="89"/>
      <c r="G12" s="510"/>
      <c r="H12" s="86"/>
      <c r="I12" s="87"/>
      <c r="J12" s="512"/>
    </row>
    <row r="13" spans="1:10">
      <c r="A13" s="292" t="s">
        <v>9</v>
      </c>
      <c r="B13" s="293">
        <f>SUM(B14:B40)</f>
        <v>389972</v>
      </c>
      <c r="C13" s="501">
        <f>SUM(C14:C40)</f>
        <v>571402</v>
      </c>
      <c r="D13" s="511">
        <f t="shared" si="1"/>
        <v>-0.31751726455280171</v>
      </c>
      <c r="E13" s="293">
        <f>SUM(E14:E40)</f>
        <v>612827783</v>
      </c>
      <c r="F13" s="90">
        <f>SUM(F14:F40)</f>
        <v>722054144</v>
      </c>
      <c r="G13" s="510">
        <f t="shared" si="2"/>
        <v>-0.1512717043557332</v>
      </c>
      <c r="H13" s="86">
        <f t="shared" ref="H13:H18" si="5">IF(B13,E13/B13,0)</f>
        <v>1571.4661129516992</v>
      </c>
      <c r="I13" s="87">
        <f t="shared" ref="I13:I18" si="6">IF(C13,F13/C13,0)</f>
        <v>1263.6535118883028</v>
      </c>
      <c r="J13" s="512">
        <f t="shared" si="0"/>
        <v>0.24358940023315875</v>
      </c>
    </row>
    <row r="14" spans="1:10">
      <c r="A14" s="452" t="s">
        <v>249</v>
      </c>
      <c r="B14" s="290">
        <f>電輔車!E14</f>
        <v>230921</v>
      </c>
      <c r="C14" s="88">
        <f>VLOOKUP(A14,[14]進出口值表查詢結果!$A$9:$C$68,3,0)</f>
        <v>341580</v>
      </c>
      <c r="D14" s="511">
        <f t="shared" si="1"/>
        <v>-0.32396217577141517</v>
      </c>
      <c r="E14" s="290">
        <f>電輔車!G14</f>
        <v>384913681</v>
      </c>
      <c r="F14" s="89">
        <f>VLOOKUP(A14,[14]進出口值表查詢結果!$A$9:$C$68,2,0)</f>
        <v>473370407</v>
      </c>
      <c r="G14" s="510">
        <f t="shared" si="2"/>
        <v>-0.18686577084654976</v>
      </c>
      <c r="H14" s="86">
        <f t="shared" si="5"/>
        <v>1666.8630440713491</v>
      </c>
      <c r="I14" s="87">
        <f t="shared" si="6"/>
        <v>1385.825888518063</v>
      </c>
      <c r="J14" s="512">
        <f t="shared" si="0"/>
        <v>0.2027939857970282</v>
      </c>
    </row>
    <row r="15" spans="1:10">
      <c r="A15" s="452" t="s">
        <v>250</v>
      </c>
      <c r="B15" s="290">
        <f>電輔車!E15</f>
        <v>68474</v>
      </c>
      <c r="C15" s="88">
        <f>VLOOKUP(A15,[14]進出口值表查詢結果!$A$9:$C$68,3,0)</f>
        <v>103128</v>
      </c>
      <c r="D15" s="511">
        <f t="shared" si="1"/>
        <v>-0.33602901248933364</v>
      </c>
      <c r="E15" s="290">
        <f>電輔車!G15</f>
        <v>78606931</v>
      </c>
      <c r="F15" s="89">
        <f>VLOOKUP(A15,[14]進出口值表查詢結果!$A$9:$C$68,2,0)</f>
        <v>90173235</v>
      </c>
      <c r="G15" s="510">
        <f t="shared" si="2"/>
        <v>-0.12826759514616504</v>
      </c>
      <c r="H15" s="86">
        <f t="shared" si="5"/>
        <v>1147.9821684142887</v>
      </c>
      <c r="I15" s="87">
        <f t="shared" si="6"/>
        <v>874.38169071445191</v>
      </c>
      <c r="J15" s="512">
        <f t="shared" si="0"/>
        <v>0.31290737283883374</v>
      </c>
    </row>
    <row r="16" spans="1:10">
      <c r="A16" s="453" t="s">
        <v>10</v>
      </c>
      <c r="B16" s="290">
        <f>電輔車!E16</f>
        <v>8007</v>
      </c>
      <c r="C16" s="88">
        <f>VLOOKUP(A16,[14]進出口值表查詢結果!$A$9:$C$68,3,0)</f>
        <v>13830</v>
      </c>
      <c r="D16" s="511">
        <f t="shared" si="1"/>
        <v>-0.42104121475054229</v>
      </c>
      <c r="E16" s="290">
        <f>電輔車!G16</f>
        <v>14647569</v>
      </c>
      <c r="F16" s="89">
        <f>VLOOKUP(A16,[14]進出口值表查詢結果!$A$9:$C$68,2,0)</f>
        <v>16335517</v>
      </c>
      <c r="G16" s="510">
        <f t="shared" si="2"/>
        <v>-0.10332994052162536</v>
      </c>
      <c r="H16" s="86">
        <f t="shared" si="5"/>
        <v>1829.3454477332334</v>
      </c>
      <c r="I16" s="87">
        <f t="shared" si="6"/>
        <v>1181.1653651482286</v>
      </c>
      <c r="J16" s="512">
        <f t="shared" si="0"/>
        <v>0.54876319752540526</v>
      </c>
    </row>
    <row r="17" spans="1:10">
      <c r="A17" s="452" t="s">
        <v>251</v>
      </c>
      <c r="B17" s="290">
        <f>電輔車!E17</f>
        <v>16871</v>
      </c>
      <c r="C17" s="88">
        <f>VLOOKUP(A17,[14]進出口值表查詢結果!$A$9:$C$68,3,0)</f>
        <v>32607</v>
      </c>
      <c r="D17" s="511">
        <f t="shared" si="1"/>
        <v>-0.48259576164627227</v>
      </c>
      <c r="E17" s="290">
        <f>電輔車!G17</f>
        <v>22597245</v>
      </c>
      <c r="F17" s="89">
        <f>VLOOKUP(A17,[14]進出口值表查詢結果!$A$9:$C$68,2,0)</f>
        <v>36132312</v>
      </c>
      <c r="G17" s="510">
        <f t="shared" si="2"/>
        <v>-0.37459731334103391</v>
      </c>
      <c r="H17" s="86">
        <f t="shared" si="5"/>
        <v>1339.4134906051804</v>
      </c>
      <c r="I17" s="87">
        <f t="shared" si="6"/>
        <v>1108.1151899898796</v>
      </c>
      <c r="J17" s="512">
        <f t="shared" si="0"/>
        <v>0.20873127875578826</v>
      </c>
    </row>
    <row r="18" spans="1:10">
      <c r="A18" s="453" t="s">
        <v>11</v>
      </c>
      <c r="B18" s="290">
        <f>電輔車!E18</f>
        <v>8172</v>
      </c>
      <c r="C18" s="88">
        <f>VLOOKUP(A18,[14]進出口值表查詢結果!$A$9:$C$68,3,0)</f>
        <v>28304</v>
      </c>
      <c r="D18" s="511">
        <f t="shared" si="1"/>
        <v>-0.71127755794234027</v>
      </c>
      <c r="E18" s="290">
        <f>電輔車!G18</f>
        <v>18400415</v>
      </c>
      <c r="F18" s="89">
        <f>VLOOKUP(A18,[14]進出口值表查詢結果!$A$9:$C$68,2,0)</f>
        <v>58450334</v>
      </c>
      <c r="G18" s="510">
        <f t="shared" si="2"/>
        <v>-0.68519572531441819</v>
      </c>
      <c r="H18" s="86">
        <f t="shared" si="5"/>
        <v>2251.6415810083213</v>
      </c>
      <c r="I18" s="87">
        <f t="shared" si="6"/>
        <v>2065.090941209723</v>
      </c>
      <c r="J18" s="512">
        <f t="shared" si="0"/>
        <v>9.0335314574242195E-2</v>
      </c>
    </row>
    <row r="19" spans="1:10">
      <c r="A19" s="453" t="s">
        <v>12</v>
      </c>
      <c r="B19" s="290">
        <f>電輔車!E19</f>
        <v>10080</v>
      </c>
      <c r="C19" s="88">
        <f>VLOOKUP(A19,[14]進出口值表查詢結果!$A$9:$C$68,3,0)</f>
        <v>5063</v>
      </c>
      <c r="D19" s="511">
        <f t="shared" si="1"/>
        <v>0.99091447758246098</v>
      </c>
      <c r="E19" s="290">
        <f>電輔車!G19</f>
        <v>20754476</v>
      </c>
      <c r="F19" s="89">
        <f>VLOOKUP(A19,[14]進出口值表查詢結果!$A$9:$C$68,2,0)</f>
        <v>7802465</v>
      </c>
      <c r="G19" s="510">
        <f t="shared" si="2"/>
        <v>1.6599896314818459</v>
      </c>
      <c r="H19" s="86">
        <f>IF(B19,E19/B19,0)</f>
        <v>2058.9757936507935</v>
      </c>
      <c r="I19" s="87">
        <f>IF(C19,F19/C19,0)</f>
        <v>1541.075449338337</v>
      </c>
      <c r="J19" s="512">
        <f t="shared" si="0"/>
        <v>0.33606423652704209</v>
      </c>
    </row>
    <row r="20" spans="1:10">
      <c r="A20" s="452" t="s">
        <v>253</v>
      </c>
      <c r="B20" s="290">
        <f>電輔車!E20</f>
        <v>7553</v>
      </c>
      <c r="C20" s="88">
        <f>VLOOKUP(A20,[14]進出口值表查詢結果!$A$9:$C$68,3,0)</f>
        <v>12923</v>
      </c>
      <c r="D20" s="511">
        <f t="shared" si="1"/>
        <v>-0.41553818772730788</v>
      </c>
      <c r="E20" s="290">
        <f>電輔車!G20</f>
        <v>10441747</v>
      </c>
      <c r="F20" s="89">
        <f>VLOOKUP(A20,[14]進出口值表查詢結果!$A$9:$C$68,2,0)</f>
        <v>17712904</v>
      </c>
      <c r="G20" s="510">
        <f t="shared" si="2"/>
        <v>-0.41050055936621122</v>
      </c>
      <c r="H20" s="86">
        <f t="shared" ref="H20:H33" si="7">IF(B20,E20/B20,0)</f>
        <v>1382.4635244273798</v>
      </c>
      <c r="I20" s="87">
        <f t="shared" ref="I20:I33" si="8">IF(C20,F20/C20,0)</f>
        <v>1370.6495395805928</v>
      </c>
      <c r="J20" s="512">
        <f t="shared" si="0"/>
        <v>8.6192600702306148E-3</v>
      </c>
    </row>
    <row r="21" spans="1:10">
      <c r="A21" s="453" t="s">
        <v>13</v>
      </c>
      <c r="B21" s="290">
        <f>電輔車!E21</f>
        <v>93</v>
      </c>
      <c r="C21" s="88">
        <f>VLOOKUP(A21,[14]進出口值表查詢結果!$A$9:$C$68,3,0)</f>
        <v>28</v>
      </c>
      <c r="D21" s="511">
        <f t="shared" si="1"/>
        <v>2.3214285714285716</v>
      </c>
      <c r="E21" s="290">
        <f>電輔車!G21</f>
        <v>154188</v>
      </c>
      <c r="F21" s="89">
        <f>VLOOKUP(A21,[14]進出口值表查詢結果!$A$9:$C$68,2,0)</f>
        <v>90734</v>
      </c>
      <c r="G21" s="510">
        <f t="shared" si="2"/>
        <v>0.69934093063239799</v>
      </c>
      <c r="H21" s="86">
        <f t="shared" si="7"/>
        <v>1657.9354838709678</v>
      </c>
      <c r="I21" s="87">
        <f t="shared" si="8"/>
        <v>3240.5</v>
      </c>
      <c r="J21" s="512">
        <f t="shared" si="0"/>
        <v>-0.4883704724977726</v>
      </c>
    </row>
    <row r="22" spans="1:10">
      <c r="A22" s="452" t="s">
        <v>254</v>
      </c>
      <c r="B22" s="290">
        <f>電輔車!E22</f>
        <v>16291</v>
      </c>
      <c r="C22" s="88">
        <f>VLOOKUP(A22,[14]進出口值表查詢結果!$A$9:$C$68,3,0)</f>
        <v>576</v>
      </c>
      <c r="D22" s="511">
        <f t="shared" si="1"/>
        <v>27.282986111111111</v>
      </c>
      <c r="E22" s="290">
        <f>電輔車!G22</f>
        <v>40089880</v>
      </c>
      <c r="F22" s="89">
        <f>VLOOKUP(A22,[14]進出口值表查詢結果!$A$9:$C$68,2,0)</f>
        <v>1010546</v>
      </c>
      <c r="G22" s="510">
        <f t="shared" si="2"/>
        <v>38.671504315488853</v>
      </c>
      <c r="H22" s="86">
        <f t="shared" si="7"/>
        <v>2460.8605978761279</v>
      </c>
      <c r="I22" s="87">
        <f t="shared" si="8"/>
        <v>1754.4201388888889</v>
      </c>
      <c r="J22" s="512">
        <f t="shared" si="0"/>
        <v>0.40266321807879074</v>
      </c>
    </row>
    <row r="23" spans="1:10">
      <c r="A23" s="453" t="s">
        <v>14</v>
      </c>
      <c r="B23" s="290">
        <f>電輔車!E23</f>
        <v>0</v>
      </c>
      <c r="C23" s="88">
        <v>0</v>
      </c>
      <c r="D23" s="511">
        <f t="shared" si="1"/>
        <v>0</v>
      </c>
      <c r="E23" s="290">
        <f>電輔車!G23</f>
        <v>0</v>
      </c>
      <c r="F23" s="89">
        <f>_xlfn.IFNA(VLOOKUP(A23,[3]電出同!$C$3:$G$576,3,0),-[4]整車!$B$22)</f>
        <v>0</v>
      </c>
      <c r="G23" s="510">
        <f t="shared" si="2"/>
        <v>0</v>
      </c>
      <c r="H23" s="86">
        <f t="shared" si="7"/>
        <v>0</v>
      </c>
      <c r="I23" s="87">
        <f t="shared" si="8"/>
        <v>0</v>
      </c>
      <c r="J23" s="512">
        <f t="shared" si="0"/>
        <v>0</v>
      </c>
    </row>
    <row r="24" spans="1:10">
      <c r="A24" s="453" t="s">
        <v>15</v>
      </c>
      <c r="B24" s="290">
        <f>電輔車!E24</f>
        <v>0</v>
      </c>
      <c r="C24" s="88">
        <v>0</v>
      </c>
      <c r="D24" s="511">
        <f t="shared" si="1"/>
        <v>0</v>
      </c>
      <c r="E24" s="290">
        <f>電輔車!G24</f>
        <v>0</v>
      </c>
      <c r="F24" s="89">
        <f>_xlfn.IFNA(VLOOKUP(A24,[3]電出同!$C$3:$G$576,3,0),-[4]整車!$B$22)</f>
        <v>0</v>
      </c>
      <c r="G24" s="510">
        <f t="shared" si="2"/>
        <v>0</v>
      </c>
      <c r="H24" s="86">
        <f t="shared" si="7"/>
        <v>0</v>
      </c>
      <c r="I24" s="87">
        <f t="shared" si="8"/>
        <v>0</v>
      </c>
      <c r="J24" s="512">
        <f t="shared" si="0"/>
        <v>0</v>
      </c>
    </row>
    <row r="25" spans="1:10">
      <c r="A25" s="453" t="s">
        <v>16</v>
      </c>
      <c r="B25" s="290">
        <f>電輔車!E25</f>
        <v>2970</v>
      </c>
      <c r="C25" s="88">
        <f>VLOOKUP(A25,[14]進出口值表查詢結果!$A$9:$C$68,3,0)</f>
        <v>848</v>
      </c>
      <c r="D25" s="511">
        <f t="shared" si="1"/>
        <v>2.5023584905660377</v>
      </c>
      <c r="E25" s="290">
        <f>電輔車!G25</f>
        <v>6027913</v>
      </c>
      <c r="F25" s="89">
        <f>VLOOKUP(A25,[14]進出口值表查詢結果!$A$9:$C$68,2,0)</f>
        <v>1836323</v>
      </c>
      <c r="G25" s="510">
        <f t="shared" si="2"/>
        <v>2.282599520890388</v>
      </c>
      <c r="H25" s="86">
        <f t="shared" si="7"/>
        <v>2029.6003367003368</v>
      </c>
      <c r="I25" s="87">
        <f t="shared" si="8"/>
        <v>2165.4752358490564</v>
      </c>
      <c r="J25" s="512">
        <f t="shared" si="0"/>
        <v>-6.2745995382138223E-2</v>
      </c>
    </row>
    <row r="26" spans="1:10">
      <c r="A26" s="452" t="s">
        <v>257</v>
      </c>
      <c r="B26" s="290">
        <f>電輔車!E26</f>
        <v>8076</v>
      </c>
      <c r="C26" s="88">
        <f>VLOOKUP(A26,[14]進出口值表查詢結果!$A$9:$C$68,3,0)</f>
        <v>8958</v>
      </c>
      <c r="D26" s="511">
        <f t="shared" si="1"/>
        <v>-9.8459477561955791E-2</v>
      </c>
      <c r="E26" s="290">
        <f>電輔車!G26</f>
        <v>3695527</v>
      </c>
      <c r="F26" s="89">
        <f>VLOOKUP(A26,[14]進出口值表查詢結果!$A$9:$C$68,2,0)</f>
        <v>4538182</v>
      </c>
      <c r="G26" s="510">
        <f t="shared" si="2"/>
        <v>-0.18568118246469623</v>
      </c>
      <c r="H26" s="86">
        <f t="shared" si="7"/>
        <v>457.59373452204062</v>
      </c>
      <c r="I26" s="87">
        <f t="shared" si="8"/>
        <v>506.60660861799511</v>
      </c>
      <c r="J26" s="512">
        <f t="shared" si="0"/>
        <v>-9.6747403729414178E-2</v>
      </c>
    </row>
    <row r="27" spans="1:10">
      <c r="A27" s="452" t="s">
        <v>259</v>
      </c>
      <c r="B27" s="290">
        <f>電輔車!E27</f>
        <v>1343</v>
      </c>
      <c r="C27" s="88">
        <f>VLOOKUP(A27,[14]進出口值表查詢結果!$A$9:$C$68,3,0)</f>
        <v>1889</v>
      </c>
      <c r="D27" s="511">
        <f t="shared" si="1"/>
        <v>-0.28904182106934884</v>
      </c>
      <c r="E27" s="290">
        <f>電輔車!G27</f>
        <v>1675180</v>
      </c>
      <c r="F27" s="89">
        <f>VLOOKUP(A27,[14]進出口值表查詢結果!$A$9:$C$68,2,0)</f>
        <v>1577665</v>
      </c>
      <c r="G27" s="510">
        <f t="shared" si="2"/>
        <v>6.1809699777836236E-2</v>
      </c>
      <c r="H27" s="86">
        <f t="shared" si="7"/>
        <v>1247.3417721518988</v>
      </c>
      <c r="I27" s="87">
        <f t="shared" si="8"/>
        <v>835.18528321863425</v>
      </c>
      <c r="J27" s="512">
        <f t="shared" si="0"/>
        <v>0.49349108181707568</v>
      </c>
    </row>
    <row r="28" spans="1:10">
      <c r="A28" s="453" t="s">
        <v>260</v>
      </c>
      <c r="B28" s="290">
        <f>電輔車!E28</f>
        <v>2900</v>
      </c>
      <c r="C28" s="88">
        <f>VLOOKUP(A28,[14]進出口值表查詢結果!$A$9:$C$68,3,0)</f>
        <v>3683</v>
      </c>
      <c r="D28" s="511">
        <f t="shared" si="1"/>
        <v>-0.2125984251968504</v>
      </c>
      <c r="E28" s="290">
        <f>電輔車!G28</f>
        <v>5616085</v>
      </c>
      <c r="F28" s="89">
        <f>VLOOKUP(A28,[14]進出口值表查詢結果!$A$9:$C$68,2,0)</f>
        <v>5223752</v>
      </c>
      <c r="G28" s="510">
        <f t="shared" si="2"/>
        <v>7.5105594599437345E-2</v>
      </c>
      <c r="H28" s="86">
        <f t="shared" si="7"/>
        <v>1936.5810344827587</v>
      </c>
      <c r="I28" s="87">
        <f t="shared" si="8"/>
        <v>1418.3415693727939</v>
      </c>
      <c r="J28" s="512">
        <f t="shared" si="0"/>
        <v>0.36538410514128555</v>
      </c>
    </row>
    <row r="29" spans="1:10">
      <c r="A29" s="463" t="s">
        <v>261</v>
      </c>
      <c r="B29" s="290">
        <f>電輔車!E29</f>
        <v>7942</v>
      </c>
      <c r="C29" s="88">
        <f>VLOOKUP(A29,[14]進出口值表查詢結果!$A$9:$C$68,3,0)</f>
        <v>16118</v>
      </c>
      <c r="D29" s="511">
        <f t="shared" si="1"/>
        <v>-0.50725896513215041</v>
      </c>
      <c r="E29" s="290">
        <f>電輔車!G29</f>
        <v>4773014</v>
      </c>
      <c r="F29" s="89">
        <f>VLOOKUP(A29,[14]進出口值表查詢結果!$A$9:$C$68,2,0)</f>
        <v>6029868</v>
      </c>
      <c r="G29" s="510">
        <f t="shared" si="2"/>
        <v>-0.20843806199406023</v>
      </c>
      <c r="H29" s="86">
        <f t="shared" si="7"/>
        <v>600.9838831528582</v>
      </c>
      <c r="I29" s="87">
        <f t="shared" si="8"/>
        <v>374.10770567067874</v>
      </c>
      <c r="J29" s="512">
        <f t="shared" si="0"/>
        <v>0.60644614917901496</v>
      </c>
    </row>
    <row r="30" spans="1:10">
      <c r="A30" s="463" t="s">
        <v>262</v>
      </c>
      <c r="B30" s="290">
        <f>電輔車!E30</f>
        <v>236</v>
      </c>
      <c r="C30" s="88">
        <f>VLOOKUP(A30,[14]進出口值表查詢結果!$A$9:$C$68,3,0)</f>
        <v>209</v>
      </c>
      <c r="D30" s="511">
        <f t="shared" si="1"/>
        <v>0.12918660287081341</v>
      </c>
      <c r="E30" s="290">
        <f>電輔車!G30</f>
        <v>404514</v>
      </c>
      <c r="F30" s="89">
        <f>VLOOKUP(A30,[14]進出口值表查詢結果!$A$9:$C$68,2,0)</f>
        <v>336084</v>
      </c>
      <c r="G30" s="510">
        <f t="shared" si="2"/>
        <v>0.20360981183275609</v>
      </c>
      <c r="H30" s="86">
        <f t="shared" si="7"/>
        <v>1714.042372881356</v>
      </c>
      <c r="I30" s="87">
        <f t="shared" si="8"/>
        <v>1608.0574162679425</v>
      </c>
      <c r="J30" s="512">
        <f t="shared" si="0"/>
        <v>6.590868929256799E-2</v>
      </c>
    </row>
    <row r="31" spans="1:10">
      <c r="A31" s="463" t="s">
        <v>263</v>
      </c>
      <c r="B31" s="290">
        <f>電輔車!E31</f>
        <v>0</v>
      </c>
      <c r="C31" s="88">
        <v>0</v>
      </c>
      <c r="D31" s="511">
        <f t="shared" si="1"/>
        <v>0</v>
      </c>
      <c r="E31" s="290">
        <f>電輔車!G31</f>
        <v>0</v>
      </c>
      <c r="F31" s="89">
        <f>_xlfn.IFNA(VLOOKUP(A31,[3]電出同!$C$3:$G$576,3,0),-[4]整車!$B$22)</f>
        <v>0</v>
      </c>
      <c r="G31" s="510">
        <f t="shared" si="2"/>
        <v>0</v>
      </c>
      <c r="H31" s="86">
        <f t="shared" si="7"/>
        <v>0</v>
      </c>
      <c r="I31" s="87">
        <f t="shared" si="8"/>
        <v>0</v>
      </c>
      <c r="J31" s="512">
        <f t="shared" si="0"/>
        <v>0</v>
      </c>
    </row>
    <row r="32" spans="1:10">
      <c r="A32" s="463" t="s">
        <v>265</v>
      </c>
      <c r="B32" s="290">
        <f>電輔車!E32</f>
        <v>43</v>
      </c>
      <c r="C32" s="88">
        <f>VLOOKUP(A32,[14]進出口值表查詢結果!$A$9:$C$68,3,0)</f>
        <v>1658</v>
      </c>
      <c r="D32" s="511">
        <f t="shared" si="1"/>
        <v>-0.97406513872135103</v>
      </c>
      <c r="E32" s="290">
        <f>電輔車!G32</f>
        <v>29418</v>
      </c>
      <c r="F32" s="89">
        <f>VLOOKUP(A32,[14]進出口值表查詢結果!$A$9:$C$68,2,0)</f>
        <v>1433816</v>
      </c>
      <c r="G32" s="510">
        <f t="shared" si="2"/>
        <v>-0.9794827230272225</v>
      </c>
      <c r="H32" s="86">
        <f t="shared" si="7"/>
        <v>684.1395348837209</v>
      </c>
      <c r="I32" s="87">
        <f t="shared" si="8"/>
        <v>864.78648974668272</v>
      </c>
      <c r="J32" s="512">
        <f t="shared" si="0"/>
        <v>-0.208891971607787</v>
      </c>
    </row>
    <row r="33" spans="1:10">
      <c r="A33" s="463" t="s">
        <v>267</v>
      </c>
      <c r="B33" s="290">
        <f>電輔車!E33</f>
        <v>0</v>
      </c>
      <c r="C33" s="88">
        <v>0</v>
      </c>
      <c r="D33" s="511">
        <f t="shared" si="1"/>
        <v>0</v>
      </c>
      <c r="E33" s="290">
        <f>電輔車!G33</f>
        <v>0</v>
      </c>
      <c r="F33" s="89">
        <f>_xlfn.IFNA(VLOOKUP(A33,[3]電出同!$C$3:$G$576,3,0),-[4]整車!$B$22)</f>
        <v>0</v>
      </c>
      <c r="G33" s="510">
        <f t="shared" si="2"/>
        <v>0</v>
      </c>
      <c r="H33" s="86">
        <f t="shared" si="7"/>
        <v>0</v>
      </c>
      <c r="I33" s="87">
        <f t="shared" si="8"/>
        <v>0</v>
      </c>
      <c r="J33" s="512">
        <f t="shared" si="0"/>
        <v>0</v>
      </c>
    </row>
    <row r="34" spans="1:10">
      <c r="A34" s="463" t="s">
        <v>268</v>
      </c>
      <c r="B34" s="290">
        <f>電輔車!E34</f>
        <v>0</v>
      </c>
      <c r="C34" s="88">
        <v>0</v>
      </c>
      <c r="D34" s="511">
        <f t="shared" si="1"/>
        <v>0</v>
      </c>
      <c r="E34" s="290">
        <f>電輔車!G34</f>
        <v>0</v>
      </c>
      <c r="F34" s="89">
        <f>_xlfn.IFNA(VLOOKUP(A34,[3]電出同!$C$3:$G$576,3,0),-[4]整車!$B$22)</f>
        <v>0</v>
      </c>
      <c r="G34" s="510">
        <f t="shared" si="2"/>
        <v>0</v>
      </c>
      <c r="H34" s="86">
        <f t="shared" ref="H34:H63" si="9">IF(B34,E34/B34,0)</f>
        <v>0</v>
      </c>
      <c r="I34" s="87">
        <f t="shared" ref="I34:I63" si="10">IF(C34,F34/C34,0)</f>
        <v>0</v>
      </c>
      <c r="J34" s="512">
        <f t="shared" si="0"/>
        <v>0</v>
      </c>
    </row>
    <row r="35" spans="1:10">
      <c r="A35" s="464" t="s">
        <v>386</v>
      </c>
      <c r="B35" s="290">
        <f>電輔車!E35</f>
        <v>0</v>
      </c>
      <c r="C35" s="88">
        <v>0</v>
      </c>
      <c r="D35" s="511">
        <f t="shared" si="1"/>
        <v>0</v>
      </c>
      <c r="E35" s="290">
        <f>電輔車!G35</f>
        <v>0</v>
      </c>
      <c r="F35" s="89">
        <f>_xlfn.IFNA(VLOOKUP(A35,[3]電出同!$C$3:$G$576,3,0),-[4]整車!$B$22)</f>
        <v>0</v>
      </c>
      <c r="G35" s="510">
        <f t="shared" si="2"/>
        <v>0</v>
      </c>
      <c r="H35" s="86">
        <f t="shared" si="9"/>
        <v>0</v>
      </c>
      <c r="I35" s="87">
        <f t="shared" si="10"/>
        <v>0</v>
      </c>
      <c r="J35" s="512">
        <f t="shared" si="0"/>
        <v>0</v>
      </c>
    </row>
    <row r="36" spans="1:10">
      <c r="A36" s="463" t="s">
        <v>271</v>
      </c>
      <c r="B36" s="290">
        <f>電輔車!E36</f>
        <v>0</v>
      </c>
      <c r="C36" s="88">
        <v>0</v>
      </c>
      <c r="D36" s="511">
        <f t="shared" si="1"/>
        <v>0</v>
      </c>
      <c r="E36" s="290">
        <f>電輔車!G36</f>
        <v>0</v>
      </c>
      <c r="F36" s="89">
        <f>_xlfn.IFNA(VLOOKUP(A36,[3]電出同!$C$3:$G$576,3,0),-[4]整車!$B$22)</f>
        <v>0</v>
      </c>
      <c r="G36" s="510">
        <f t="shared" si="2"/>
        <v>0</v>
      </c>
      <c r="H36" s="86">
        <f t="shared" si="9"/>
        <v>0</v>
      </c>
      <c r="I36" s="87">
        <f t="shared" si="10"/>
        <v>0</v>
      </c>
      <c r="J36" s="512">
        <f t="shared" si="0"/>
        <v>0</v>
      </c>
    </row>
    <row r="37" spans="1:10">
      <c r="A37" s="463" t="s">
        <v>387</v>
      </c>
      <c r="B37" s="290">
        <f>電輔車!E37</f>
        <v>0</v>
      </c>
      <c r="C37" s="88">
        <v>0</v>
      </c>
      <c r="D37" s="511">
        <f t="shared" si="1"/>
        <v>0</v>
      </c>
      <c r="E37" s="290">
        <f>電輔車!G37</f>
        <v>0</v>
      </c>
      <c r="F37" s="89">
        <f>_xlfn.IFNA(VLOOKUP(A37,[3]電出同!$C$3:$G$576,3,0),-[4]整車!$B$22)</f>
        <v>0</v>
      </c>
      <c r="G37" s="510">
        <f t="shared" si="2"/>
        <v>0</v>
      </c>
      <c r="H37" s="86">
        <f t="shared" si="9"/>
        <v>0</v>
      </c>
      <c r="I37" s="87">
        <f t="shared" si="10"/>
        <v>0</v>
      </c>
      <c r="J37" s="512">
        <f t="shared" si="0"/>
        <v>0</v>
      </c>
    </row>
    <row r="38" spans="1:10">
      <c r="A38" s="463" t="s">
        <v>273</v>
      </c>
      <c r="B38" s="290">
        <f>電輔車!E38</f>
        <v>0</v>
      </c>
      <c r="C38" s="88">
        <v>0</v>
      </c>
      <c r="D38" s="511">
        <f t="shared" si="1"/>
        <v>0</v>
      </c>
      <c r="E38" s="290">
        <f>電輔車!G38</f>
        <v>0</v>
      </c>
      <c r="F38" s="89">
        <f>_xlfn.IFNA(VLOOKUP(A38,[3]電出同!$C$3:$G$576,3,0),-[4]整車!$B$22)</f>
        <v>0</v>
      </c>
      <c r="G38" s="510">
        <f t="shared" si="2"/>
        <v>0</v>
      </c>
      <c r="H38" s="86">
        <f t="shared" si="9"/>
        <v>0</v>
      </c>
      <c r="I38" s="87">
        <f t="shared" si="10"/>
        <v>0</v>
      </c>
      <c r="J38" s="512">
        <f t="shared" si="0"/>
        <v>0</v>
      </c>
    </row>
    <row r="39" spans="1:10">
      <c r="A39" s="463" t="s">
        <v>274</v>
      </c>
      <c r="B39" s="290">
        <f>電輔車!E39</f>
        <v>0</v>
      </c>
      <c r="C39" s="88">
        <v>0</v>
      </c>
      <c r="D39" s="511">
        <f t="shared" si="1"/>
        <v>0</v>
      </c>
      <c r="E39" s="290">
        <f>電輔車!G39</f>
        <v>0</v>
      </c>
      <c r="F39" s="89">
        <f>_xlfn.IFNA(VLOOKUP(A39,[3]電出同!$C$3:$G$576,3,0),-[4]整車!$B$22)</f>
        <v>0</v>
      </c>
      <c r="G39" s="510">
        <f t="shared" si="2"/>
        <v>0</v>
      </c>
      <c r="H39" s="86">
        <f t="shared" si="9"/>
        <v>0</v>
      </c>
      <c r="I39" s="87">
        <f t="shared" si="10"/>
        <v>0</v>
      </c>
      <c r="J39" s="512">
        <f t="shared" si="0"/>
        <v>0</v>
      </c>
    </row>
    <row r="40" spans="1:10">
      <c r="A40" s="453" t="s">
        <v>275</v>
      </c>
      <c r="B40" s="290">
        <f>電輔車!E40</f>
        <v>0</v>
      </c>
      <c r="C40" s="88">
        <v>0</v>
      </c>
      <c r="D40" s="511">
        <f t="shared" si="1"/>
        <v>0</v>
      </c>
      <c r="E40" s="290">
        <f>電輔車!G40</f>
        <v>0</v>
      </c>
      <c r="F40" s="89">
        <f>_xlfn.IFNA(VLOOKUP(A40,[3]電出同!$C$3:$G$576,3,0),-[4]整車!$B$22)</f>
        <v>0</v>
      </c>
      <c r="G40" s="510">
        <f t="shared" si="2"/>
        <v>0</v>
      </c>
      <c r="H40" s="86">
        <f t="shared" si="9"/>
        <v>0</v>
      </c>
      <c r="I40" s="87">
        <f t="shared" si="10"/>
        <v>0</v>
      </c>
      <c r="J40" s="512">
        <f t="shared" si="0"/>
        <v>0</v>
      </c>
    </row>
    <row r="41" spans="1:10">
      <c r="A41" s="288"/>
      <c r="B41" s="290"/>
      <c r="C41" s="500"/>
      <c r="D41" s="511"/>
      <c r="E41" s="290"/>
      <c r="F41" s="89"/>
      <c r="G41" s="510"/>
      <c r="H41" s="86"/>
      <c r="I41" s="87"/>
      <c r="J41" s="512"/>
    </row>
    <row r="42" spans="1:10">
      <c r="A42" s="294" t="s">
        <v>20</v>
      </c>
      <c r="B42" s="293">
        <f>SUM(B43:B46)</f>
        <v>18330</v>
      </c>
      <c r="C42" s="501">
        <f>SUM(C43:C46)</f>
        <v>11943</v>
      </c>
      <c r="D42" s="511">
        <f t="shared" si="1"/>
        <v>0.53479025370509925</v>
      </c>
      <c r="E42" s="293">
        <f>SUM(E43:E46)</f>
        <v>33762384</v>
      </c>
      <c r="F42" s="84">
        <f>SUM(F43:F46)</f>
        <v>23519745</v>
      </c>
      <c r="G42" s="510">
        <f t="shared" si="2"/>
        <v>0.43549107356393535</v>
      </c>
      <c r="H42" s="86">
        <f t="shared" si="9"/>
        <v>1841.9194762684124</v>
      </c>
      <c r="I42" s="87">
        <f t="shared" si="10"/>
        <v>1969.3330821401657</v>
      </c>
      <c r="J42" s="512">
        <f t="shared" si="0"/>
        <v>-6.4698860252368831E-2</v>
      </c>
    </row>
    <row r="43" spans="1:10">
      <c r="A43" s="288" t="s">
        <v>184</v>
      </c>
      <c r="B43" s="290">
        <f>電輔車!E43</f>
        <v>12844</v>
      </c>
      <c r="C43" s="88">
        <f>VLOOKUP(A43,[14]進出口值表查詢結果!$A$9:$C$68,3,0)</f>
        <v>8096</v>
      </c>
      <c r="D43" s="511">
        <f t="shared" si="1"/>
        <v>0.58646245059288538</v>
      </c>
      <c r="E43" s="290">
        <f>電輔車!G43</f>
        <v>24861447</v>
      </c>
      <c r="F43" s="89">
        <f>VLOOKUP(A43,[14]進出口值表查詢結果!$A$9:$C$68,2,0)</f>
        <v>16877885</v>
      </c>
      <c r="G43" s="510">
        <f t="shared" si="2"/>
        <v>0.47301910162321881</v>
      </c>
      <c r="H43" s="86">
        <f t="shared" si="9"/>
        <v>1935.6467611336031</v>
      </c>
      <c r="I43" s="87">
        <f t="shared" si="10"/>
        <v>2084.718997035573</v>
      </c>
      <c r="J43" s="512">
        <f t="shared" si="0"/>
        <v>-7.1507112524012817E-2</v>
      </c>
    </row>
    <row r="44" spans="1:10">
      <c r="A44" s="288" t="s">
        <v>277</v>
      </c>
      <c r="B44" s="290">
        <f>電輔車!E44</f>
        <v>5451</v>
      </c>
      <c r="C44" s="88">
        <f>VLOOKUP(A44,[14]進出口值表查詢結果!$A$9:$C$68,3,0)</f>
        <v>3832</v>
      </c>
      <c r="D44" s="511">
        <f t="shared" si="1"/>
        <v>0.42249478079331942</v>
      </c>
      <c r="E44" s="290">
        <f>電輔車!G44</f>
        <v>8832224</v>
      </c>
      <c r="F44" s="89">
        <f>VLOOKUP(A44,[14]進出口值表查詢結果!$A$9:$C$68,2,0)</f>
        <v>6610298</v>
      </c>
      <c r="G44" s="510">
        <f t="shared" si="2"/>
        <v>0.33613098834575988</v>
      </c>
      <c r="H44" s="86">
        <f t="shared" si="9"/>
        <v>1620.2942579343239</v>
      </c>
      <c r="I44" s="87">
        <f t="shared" si="10"/>
        <v>1725.0255741127348</v>
      </c>
      <c r="J44" s="512">
        <f t="shared" si="0"/>
        <v>-6.0712906376636969E-2</v>
      </c>
    </row>
    <row r="45" spans="1:10">
      <c r="A45" s="288" t="s">
        <v>278</v>
      </c>
      <c r="B45" s="290">
        <f>電輔車!E45</f>
        <v>35</v>
      </c>
      <c r="C45" s="88">
        <f>VLOOKUP(A45,[14]進出口值表查詢結果!$A$9:$C$68,3,0)</f>
        <v>15</v>
      </c>
      <c r="D45" s="511">
        <f t="shared" si="1"/>
        <v>1.3333333333333333</v>
      </c>
      <c r="E45" s="290">
        <f>電輔車!G45</f>
        <v>68713</v>
      </c>
      <c r="F45" s="89">
        <f>VLOOKUP(A45,[14]進出口值表查詢結果!$A$9:$C$68,2,0)</f>
        <v>31562</v>
      </c>
      <c r="G45" s="510">
        <f t="shared" si="2"/>
        <v>1.1770800329510172</v>
      </c>
      <c r="H45" s="86">
        <f t="shared" si="9"/>
        <v>1963.2285714285715</v>
      </c>
      <c r="I45" s="87">
        <f t="shared" si="10"/>
        <v>2104.1333333333332</v>
      </c>
      <c r="J45" s="512">
        <f t="shared" si="0"/>
        <v>-6.6965700163849742E-2</v>
      </c>
    </row>
    <row r="46" spans="1:10">
      <c r="A46" s="291" t="s">
        <v>21</v>
      </c>
      <c r="B46" s="290">
        <f>電輔車!E46</f>
        <v>0</v>
      </c>
      <c r="C46" s="88">
        <f>_xlfn.IFNA(VLOOKUP(A46,[3]電出同!$C$3:$G$676,5,0),-[4]整車!$B$22)</f>
        <v>0</v>
      </c>
      <c r="D46" s="511">
        <f t="shared" si="1"/>
        <v>0</v>
      </c>
      <c r="E46" s="290">
        <f>電輔車!G46</f>
        <v>0</v>
      </c>
      <c r="F46" s="89">
        <f>_xlfn.IFNA(VLOOKUP(A46,[3]電出同!$C$3:$G$576,3,0),-[4]整車!$B$22)</f>
        <v>0</v>
      </c>
      <c r="G46" s="510">
        <f t="shared" si="2"/>
        <v>0</v>
      </c>
      <c r="H46" s="86">
        <f t="shared" si="9"/>
        <v>0</v>
      </c>
      <c r="I46" s="87">
        <f t="shared" si="10"/>
        <v>0</v>
      </c>
      <c r="J46" s="512">
        <f t="shared" si="0"/>
        <v>0</v>
      </c>
    </row>
    <row r="47" spans="1:10">
      <c r="A47" s="291"/>
      <c r="B47" s="290"/>
      <c r="C47" s="500"/>
      <c r="D47" s="511"/>
      <c r="E47" s="290"/>
      <c r="F47" s="89"/>
      <c r="G47" s="510"/>
      <c r="H47" s="86"/>
      <c r="I47" s="87"/>
      <c r="J47" s="512"/>
    </row>
    <row r="48" spans="1:10">
      <c r="A48" s="294" t="s">
        <v>22</v>
      </c>
      <c r="B48" s="293">
        <f>SUM(B49:B62)</f>
        <v>88692</v>
      </c>
      <c r="C48" s="501">
        <f>SUM(C49:C62)</f>
        <v>112679</v>
      </c>
      <c r="D48" s="511">
        <f t="shared" si="1"/>
        <v>-0.21287906353446517</v>
      </c>
      <c r="E48" s="293">
        <f>SUM(E49:E62)</f>
        <v>157450903</v>
      </c>
      <c r="F48" s="90">
        <f>SUM(F49:F62)</f>
        <v>202293914</v>
      </c>
      <c r="G48" s="510">
        <f t="shared" si="2"/>
        <v>-0.22167256598732871</v>
      </c>
      <c r="H48" s="86">
        <f t="shared" si="9"/>
        <v>1775.254848238849</v>
      </c>
      <c r="I48" s="87">
        <f t="shared" si="10"/>
        <v>1795.3115842348618</v>
      </c>
      <c r="J48" s="512">
        <f t="shared" si="0"/>
        <v>-1.1171729839063392E-2</v>
      </c>
    </row>
    <row r="49" spans="1:10">
      <c r="A49" s="294" t="s">
        <v>163</v>
      </c>
      <c r="B49" s="290">
        <f>電輔車!E49</f>
        <v>44702</v>
      </c>
      <c r="C49" s="88">
        <f>VLOOKUP(A49,[14]進出口值表查詢結果!$A$9:$C$68,3,0)</f>
        <v>55561</v>
      </c>
      <c r="D49" s="511">
        <f t="shared" si="1"/>
        <v>-0.19544284660103309</v>
      </c>
      <c r="E49" s="290">
        <f>電輔車!G49</f>
        <v>65091651</v>
      </c>
      <c r="F49" s="89">
        <f>VLOOKUP(A49,[14]進出口值表查詢結果!$A$9:$C$68,2,0)</f>
        <v>85717734</v>
      </c>
      <c r="G49" s="510">
        <f t="shared" si="2"/>
        <v>-0.24062795453738897</v>
      </c>
      <c r="H49" s="86">
        <f t="shared" si="9"/>
        <v>1456.1239094447676</v>
      </c>
      <c r="I49" s="87">
        <f t="shared" si="10"/>
        <v>1542.7680207339681</v>
      </c>
      <c r="J49" s="512">
        <f t="shared" si="0"/>
        <v>-5.6161464409911599E-2</v>
      </c>
    </row>
    <row r="50" spans="1:10">
      <c r="A50" s="452" t="s">
        <v>388</v>
      </c>
      <c r="B50" s="290">
        <f>電輔車!E50</f>
        <v>8854</v>
      </c>
      <c r="C50" s="88">
        <f>VLOOKUP(A50,[14]進出口值表查詢結果!$A$9:$C$68,3,0)</f>
        <v>8626</v>
      </c>
      <c r="D50" s="511">
        <f t="shared" si="1"/>
        <v>2.643171806167401E-2</v>
      </c>
      <c r="E50" s="290">
        <f>電輔車!G50</f>
        <v>10144781</v>
      </c>
      <c r="F50" s="89">
        <f>VLOOKUP(A50,[14]進出口值表查詢結果!$A$9:$C$68,2,0)</f>
        <v>9261312</v>
      </c>
      <c r="G50" s="510">
        <f t="shared" si="2"/>
        <v>9.5393503641816618E-2</v>
      </c>
      <c r="H50" s="86">
        <f t="shared" si="9"/>
        <v>1145.7850688954145</v>
      </c>
      <c r="I50" s="87">
        <f t="shared" si="10"/>
        <v>1073.6508230929746</v>
      </c>
      <c r="J50" s="512">
        <f t="shared" si="0"/>
        <v>6.7185945608121869E-2</v>
      </c>
    </row>
    <row r="51" spans="1:10">
      <c r="A51" s="452" t="s">
        <v>459</v>
      </c>
      <c r="B51" s="290">
        <f>電輔車!E51</f>
        <v>304</v>
      </c>
      <c r="C51" s="88">
        <f>VLOOKUP(A51,[14]進出口值表查詢結果!$A$9:$C$68,3,0)</f>
        <v>43</v>
      </c>
      <c r="D51" s="511">
        <f t="shared" si="1"/>
        <v>6.0697674418604652</v>
      </c>
      <c r="E51" s="290">
        <f>電輔車!G51</f>
        <v>342593</v>
      </c>
      <c r="F51" s="89">
        <f>VLOOKUP(A51,[14]進出口值表查詢結果!$A$9:$C$68,2,0)</f>
        <v>94128</v>
      </c>
      <c r="G51" s="510">
        <f t="shared" si="2"/>
        <v>2.6396502634710184</v>
      </c>
      <c r="H51" s="86">
        <f t="shared" si="9"/>
        <v>1126.9506578947369</v>
      </c>
      <c r="I51" s="87">
        <f t="shared" si="10"/>
        <v>2189.0232558139537</v>
      </c>
      <c r="J51" s="512">
        <f t="shared" si="0"/>
        <v>-0.48518104825903363</v>
      </c>
    </row>
    <row r="52" spans="1:10">
      <c r="A52" s="452" t="s">
        <v>301</v>
      </c>
      <c r="B52" s="290">
        <f>電輔車!E52</f>
        <v>482</v>
      </c>
      <c r="C52" s="88">
        <f>VLOOKUP(A52,[14]進出口值表查詢結果!$A$9:$C$68,3,0)</f>
        <v>1827</v>
      </c>
      <c r="D52" s="511">
        <f t="shared" si="1"/>
        <v>-0.73617952928297758</v>
      </c>
      <c r="E52" s="290">
        <f>電輔車!G52</f>
        <v>1300542</v>
      </c>
      <c r="F52" s="89">
        <f>VLOOKUP(A52,[14]進出口值表查詢結果!$A$9:$C$68,2,0)</f>
        <v>4583055</v>
      </c>
      <c r="G52" s="510">
        <f t="shared" si="2"/>
        <v>-0.71622814912760158</v>
      </c>
      <c r="H52" s="86">
        <f t="shared" si="9"/>
        <v>2698.2199170124481</v>
      </c>
      <c r="I52" s="87">
        <f t="shared" si="10"/>
        <v>2508.5139573070605</v>
      </c>
      <c r="J52" s="512">
        <f t="shared" si="0"/>
        <v>7.5624837227950173E-2</v>
      </c>
    </row>
    <row r="53" spans="1:10">
      <c r="A53" s="453" t="s">
        <v>23</v>
      </c>
      <c r="B53" s="290">
        <f>電輔車!E53</f>
        <v>31</v>
      </c>
      <c r="C53" s="88">
        <f>VLOOKUP(A53,[14]進出口值表查詢結果!$A$9:$C$68,3,0)</f>
        <v>227</v>
      </c>
      <c r="D53" s="511">
        <f t="shared" si="1"/>
        <v>-0.86343612334801767</v>
      </c>
      <c r="E53" s="290">
        <f>電輔車!G53</f>
        <v>89805</v>
      </c>
      <c r="F53" s="89">
        <f>VLOOKUP(A53,[14]進出口值表查詢結果!$A$9:$C$68,2,0)</f>
        <v>556122</v>
      </c>
      <c r="G53" s="510">
        <f t="shared" si="2"/>
        <v>-0.83851564944382706</v>
      </c>
      <c r="H53" s="86">
        <f t="shared" si="9"/>
        <v>2896.9354838709678</v>
      </c>
      <c r="I53" s="87">
        <f t="shared" si="10"/>
        <v>2449.8766519823789</v>
      </c>
      <c r="J53" s="512">
        <f t="shared" si="0"/>
        <v>0.1824821798790727</v>
      </c>
    </row>
    <row r="54" spans="1:10">
      <c r="A54" s="452" t="s">
        <v>307</v>
      </c>
      <c r="B54" s="290">
        <f>電輔車!E54</f>
        <v>945</v>
      </c>
      <c r="C54" s="88">
        <f>VLOOKUP(A54,[14]進出口值表查詢結果!$A$9:$C$68,3,0)</f>
        <v>3264</v>
      </c>
      <c r="D54" s="511">
        <f t="shared" si="1"/>
        <v>-0.71047794117647056</v>
      </c>
      <c r="E54" s="290">
        <f>電輔車!G54</f>
        <v>2582185</v>
      </c>
      <c r="F54" s="89">
        <f>VLOOKUP(A54,[14]進出口值表查詢結果!$A$9:$C$68,2,0)</f>
        <v>8341052</v>
      </c>
      <c r="G54" s="510">
        <f t="shared" si="2"/>
        <v>-0.69042454117298391</v>
      </c>
      <c r="H54" s="86">
        <f t="shared" si="9"/>
        <v>2732.4708994708994</v>
      </c>
      <c r="I54" s="87">
        <f t="shared" si="10"/>
        <v>2555.4693627450979</v>
      </c>
      <c r="J54" s="512">
        <f t="shared" si="0"/>
        <v>6.9263806996169824E-2</v>
      </c>
    </row>
    <row r="55" spans="1:10">
      <c r="A55" s="453" t="s">
        <v>389</v>
      </c>
      <c r="B55" s="290">
        <f>電輔車!E55</f>
        <v>15460</v>
      </c>
      <c r="C55" s="88">
        <f>VLOOKUP(A55,[14]進出口值表查詢結果!$A$9:$C$68,3,0)</f>
        <v>22824</v>
      </c>
      <c r="D55" s="511">
        <f t="shared" si="1"/>
        <v>-0.32264283210655448</v>
      </c>
      <c r="E55" s="290">
        <f>電輔車!G55</f>
        <v>35333375</v>
      </c>
      <c r="F55" s="89">
        <f>VLOOKUP(A55,[14]進出口值表查詢結果!$A$9:$C$68,2,0)</f>
        <v>46957672</v>
      </c>
      <c r="G55" s="510">
        <f t="shared" si="2"/>
        <v>-0.24754840912897044</v>
      </c>
      <c r="H55" s="86">
        <f t="shared" si="9"/>
        <v>2285.4705692108669</v>
      </c>
      <c r="I55" s="87">
        <f t="shared" si="10"/>
        <v>2057.3813529617946</v>
      </c>
      <c r="J55" s="512">
        <f t="shared" si="0"/>
        <v>0.11086384929109827</v>
      </c>
    </row>
    <row r="56" spans="1:10">
      <c r="A56" s="453" t="s">
        <v>24</v>
      </c>
      <c r="B56" s="290">
        <f>電輔車!E56</f>
        <v>237</v>
      </c>
      <c r="C56" s="88">
        <f>VLOOKUP(A56,[14]進出口值表查詢結果!$A$9:$C$68,3,0)</f>
        <v>607</v>
      </c>
      <c r="D56" s="511">
        <f t="shared" si="1"/>
        <v>-0.60955518945634268</v>
      </c>
      <c r="E56" s="290">
        <f>電輔車!G56</f>
        <v>711547</v>
      </c>
      <c r="F56" s="89">
        <f>VLOOKUP(A56,[14]進出口值表查詢結果!$A$9:$C$68,2,0)</f>
        <v>1777406</v>
      </c>
      <c r="G56" s="510">
        <f t="shared" si="2"/>
        <v>-0.59967109371747362</v>
      </c>
      <c r="H56" s="86">
        <f t="shared" si="9"/>
        <v>3002.3080168776373</v>
      </c>
      <c r="I56" s="87">
        <f t="shared" si="10"/>
        <v>2928.1812191103791</v>
      </c>
      <c r="J56" s="512">
        <f t="shared" si="0"/>
        <v>2.5314962504191931E-2</v>
      </c>
    </row>
    <row r="57" spans="1:10">
      <c r="A57" s="453" t="s">
        <v>243</v>
      </c>
      <c r="B57" s="290">
        <f>電輔車!E57</f>
        <v>261</v>
      </c>
      <c r="C57" s="88">
        <f>VLOOKUP(A57,[14]進出口值表查詢結果!$A$9:$C$68,3,0)</f>
        <v>66</v>
      </c>
      <c r="D57" s="511">
        <f t="shared" si="1"/>
        <v>2.9545454545454546</v>
      </c>
      <c r="E57" s="290">
        <f>電輔車!G57</f>
        <v>424751</v>
      </c>
      <c r="F57" s="89">
        <f>VLOOKUP(A57,[14]進出口值表查詢結果!$A$9:$C$68,2,0)</f>
        <v>82290</v>
      </c>
      <c r="G57" s="510">
        <f t="shared" si="2"/>
        <v>4.1616356786972899</v>
      </c>
      <c r="H57" s="86">
        <f t="shared" si="9"/>
        <v>1627.3984674329502</v>
      </c>
      <c r="I57" s="87">
        <f t="shared" si="10"/>
        <v>1246.8181818181818</v>
      </c>
      <c r="J57" s="512">
        <f t="shared" si="0"/>
        <v>0.30524120610736072</v>
      </c>
    </row>
    <row r="58" spans="1:10">
      <c r="A58" s="453" t="s">
        <v>236</v>
      </c>
      <c r="B58" s="290">
        <f>電輔車!E58</f>
        <v>2610</v>
      </c>
      <c r="C58" s="88">
        <f>VLOOKUP(A58,[14]進出口值表查詢結果!$A$9:$C$68,3,0)</f>
        <v>3192</v>
      </c>
      <c r="D58" s="511">
        <f t="shared" si="1"/>
        <v>-0.18233082706766918</v>
      </c>
      <c r="E58" s="290">
        <f>電輔車!G58</f>
        <v>5883919</v>
      </c>
      <c r="F58" s="89">
        <f>VLOOKUP(A58,[14]進出口值表查詢結果!$A$9:$C$68,2,0)</f>
        <v>6268859</v>
      </c>
      <c r="G58" s="510">
        <f t="shared" si="2"/>
        <v>-6.1405113753555472E-2</v>
      </c>
      <c r="H58" s="86">
        <f t="shared" si="9"/>
        <v>2254.3750957854404</v>
      </c>
      <c r="I58" s="87">
        <f t="shared" si="10"/>
        <v>1963.9282581453633</v>
      </c>
      <c r="J58" s="512">
        <f t="shared" si="0"/>
        <v>0.14789075743243327</v>
      </c>
    </row>
    <row r="59" spans="1:10">
      <c r="A59" s="453" t="s">
        <v>281</v>
      </c>
      <c r="B59" s="290">
        <f>電輔車!E59</f>
        <v>88</v>
      </c>
      <c r="C59" s="88">
        <v>0</v>
      </c>
      <c r="D59" s="511">
        <f t="shared" si="1"/>
        <v>0</v>
      </c>
      <c r="E59" s="290">
        <f>電輔車!G59</f>
        <v>129938</v>
      </c>
      <c r="F59" s="89">
        <f>_xlfn.IFNA(VLOOKUP(A59,[3]電出同!$C$3:$G$756,3,0),-[4]整車!$B$22)</f>
        <v>0</v>
      </c>
      <c r="G59" s="510">
        <f t="shared" si="2"/>
        <v>0</v>
      </c>
      <c r="H59" s="86">
        <f t="shared" si="9"/>
        <v>1476.5681818181818</v>
      </c>
      <c r="I59" s="87">
        <f t="shared" si="10"/>
        <v>0</v>
      </c>
      <c r="J59" s="512">
        <f t="shared" si="0"/>
        <v>0</v>
      </c>
    </row>
    <row r="60" spans="1:10">
      <c r="A60" s="453" t="s">
        <v>286</v>
      </c>
      <c r="B60" s="290">
        <f>電輔車!E60</f>
        <v>0</v>
      </c>
      <c r="C60" s="88">
        <v>0</v>
      </c>
      <c r="D60" s="511">
        <f t="shared" si="1"/>
        <v>0</v>
      </c>
      <c r="E60" s="290">
        <f>電輔車!G60</f>
        <v>0</v>
      </c>
      <c r="F60" s="89">
        <f>_xlfn.IFNA(VLOOKUP(A60,[3]電出同!$C$3:$G$756,3,0),-[4]整車!$B$22)</f>
        <v>0</v>
      </c>
      <c r="G60" s="510">
        <f t="shared" si="2"/>
        <v>0</v>
      </c>
      <c r="H60" s="86">
        <f t="shared" si="9"/>
        <v>0</v>
      </c>
      <c r="I60" s="87">
        <f t="shared" si="10"/>
        <v>0</v>
      </c>
      <c r="J60" s="512">
        <f t="shared" si="0"/>
        <v>0</v>
      </c>
    </row>
    <row r="61" spans="1:10">
      <c r="A61" s="453" t="s">
        <v>292</v>
      </c>
      <c r="B61" s="290">
        <f>電輔車!E61</f>
        <v>11717</v>
      </c>
      <c r="C61" s="88">
        <f>VLOOKUP(A61,[14]進出口值表查詢結果!$A$9:$C$68,3,0)</f>
        <v>13059</v>
      </c>
      <c r="D61" s="511">
        <f t="shared" si="1"/>
        <v>-0.10276437705796769</v>
      </c>
      <c r="E61" s="290">
        <f>電輔車!G61</f>
        <v>27421643</v>
      </c>
      <c r="F61" s="89">
        <f>VLOOKUP(A61,[14]進出口值表查詢結果!$A$9:$C$68,2,0)</f>
        <v>30007289</v>
      </c>
      <c r="G61" s="510">
        <f t="shared" si="2"/>
        <v>-8.6167264227034968E-2</v>
      </c>
      <c r="H61" s="86">
        <f t="shared" si="9"/>
        <v>2340.3296919006571</v>
      </c>
      <c r="I61" s="87">
        <f t="shared" si="10"/>
        <v>2297.8244122827168</v>
      </c>
      <c r="J61" s="512">
        <f t="shared" si="0"/>
        <v>1.8498053807216024E-2</v>
      </c>
    </row>
    <row r="62" spans="1:10">
      <c r="A62" s="453" t="s">
        <v>340</v>
      </c>
      <c r="B62" s="290">
        <f>電輔車!E62</f>
        <v>3001</v>
      </c>
      <c r="C62" s="88">
        <f>VLOOKUP(A62,[14]進出口值表查詢結果!$A$9:$C$68,3,0)</f>
        <v>3383</v>
      </c>
      <c r="D62" s="511">
        <f t="shared" si="1"/>
        <v>-0.11291752882057346</v>
      </c>
      <c r="E62" s="290">
        <f>電輔車!G62</f>
        <v>7994173</v>
      </c>
      <c r="F62" s="89">
        <f>VLOOKUP(A62,[14]進出口值表查詢結果!$A$9:$C$68,2,0)</f>
        <v>8646995</v>
      </c>
      <c r="G62" s="510">
        <f t="shared" si="2"/>
        <v>-7.5496979008314452E-2</v>
      </c>
      <c r="H62" s="86">
        <f t="shared" si="9"/>
        <v>2663.8363878707096</v>
      </c>
      <c r="I62" s="87">
        <f t="shared" si="10"/>
        <v>2556.0138929943837</v>
      </c>
      <c r="J62" s="512">
        <f t="shared" si="0"/>
        <v>4.218384538982739E-2</v>
      </c>
    </row>
    <row r="63" spans="1:10">
      <c r="A63" s="291" t="s">
        <v>30</v>
      </c>
      <c r="B63" s="290">
        <f>B64-B48-B42-B13-B8</f>
        <v>2814</v>
      </c>
      <c r="C63" s="89">
        <f>C64-C48-C42-C13-C8</f>
        <v>6351</v>
      </c>
      <c r="D63" s="511">
        <f t="shared" si="1"/>
        <v>-0.55692017005196037</v>
      </c>
      <c r="E63" s="290">
        <f>E64-E48-E42-E13-E8</f>
        <v>7984010</v>
      </c>
      <c r="F63" s="89">
        <f>F64-F48-F42-F13-F8</f>
        <v>15528217</v>
      </c>
      <c r="G63" s="510">
        <f t="shared" si="2"/>
        <v>-0.48583858661944251</v>
      </c>
      <c r="H63" s="86">
        <f t="shared" si="9"/>
        <v>2837.2459132906893</v>
      </c>
      <c r="I63" s="87">
        <f t="shared" si="10"/>
        <v>2445.0034640214139</v>
      </c>
      <c r="J63" s="512">
        <f t="shared" si="0"/>
        <v>0.16042613233117284</v>
      </c>
    </row>
    <row r="64" spans="1:10">
      <c r="A64" s="292" t="s">
        <v>404</v>
      </c>
      <c r="B64" s="293">
        <f>電輔車!E64</f>
        <v>648959</v>
      </c>
      <c r="C64" s="88">
        <f>VLOOKUP(A64,[14]進出口值表查詢結果!$A$9:$C$68,3,0)</f>
        <v>952334</v>
      </c>
      <c r="D64" s="511">
        <f t="shared" si="1"/>
        <v>-0.31855945498113059</v>
      </c>
      <c r="E64" s="290">
        <f>電輔車!G64</f>
        <v>1135185611</v>
      </c>
      <c r="F64" s="89">
        <f>VLOOKUP(A64,[14]進出口值表查詢結果!$A$9:$C$68,2,0)</f>
        <v>1422126912</v>
      </c>
      <c r="G64" s="510">
        <f t="shared" si="2"/>
        <v>-0.20176912382345802</v>
      </c>
      <c r="H64" s="86">
        <f t="shared" ref="H64" si="11">E64/B64</f>
        <v>1749.240878083207</v>
      </c>
      <c r="I64" s="87">
        <f t="shared" ref="I64" si="12">F64/C64</f>
        <v>1493.306877629067</v>
      </c>
      <c r="J64" s="512">
        <f t="shared" si="0"/>
        <v>0.1713874115817963</v>
      </c>
    </row>
    <row r="65" spans="1:7">
      <c r="A65" s="295"/>
      <c r="B65" s="296"/>
      <c r="C65" s="297"/>
      <c r="D65" s="298"/>
      <c r="E65" s="296"/>
      <c r="F65" s="297"/>
      <c r="G65" s="298"/>
    </row>
    <row r="66" spans="1:7" ht="13.5" customHeight="1">
      <c r="A66" s="299" t="s">
        <v>60</v>
      </c>
    </row>
  </sheetData>
  <phoneticPr fontId="3" type="noConversion"/>
  <conditionalFormatting sqref="D1:D5">
    <cfRule type="cellIs" dxfId="58" priority="3" operator="greaterThanOrEqual">
      <formula>0</formula>
    </cfRule>
    <cfRule type="cellIs" dxfId="57" priority="4" operator="lessThan">
      <formula>0</formula>
    </cfRule>
  </conditionalFormatting>
  <conditionalFormatting sqref="D7:D1048576">
    <cfRule type="cellIs" dxfId="56" priority="43" operator="greaterThanOrEqual">
      <formula>0</formula>
    </cfRule>
    <cfRule type="cellIs" dxfId="55" priority="44" operator="lessThan">
      <formula>0</formula>
    </cfRule>
  </conditionalFormatting>
  <conditionalFormatting sqref="G1:G5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7:G1048576 J7:J1048576">
    <cfRule type="cellIs" dxfId="52" priority="5" operator="greaterThanOrEqual">
      <formula>0</formula>
    </cfRule>
    <cfRule type="cellIs" dxfId="51" priority="6" operator="lessThan">
      <formula>0</formula>
    </cfRule>
  </conditionalFormatting>
  <conditionalFormatting sqref="J1:J4">
    <cfRule type="cellIs" dxfId="50" priority="39" operator="greaterThanOrEqual">
      <formula>0</formula>
    </cfRule>
    <cfRule type="cellIs" dxfId="4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I19" sqref="I19"/>
    </sheetView>
  </sheetViews>
  <sheetFormatPr defaultRowHeight="16.5"/>
  <cols>
    <col min="1" max="1" width="7.125" style="5" customWidth="1"/>
    <col min="2" max="2" width="11.25" style="5" customWidth="1"/>
    <col min="3" max="3" width="13" style="303" customWidth="1"/>
    <col min="4" max="4" width="10.75" style="304" customWidth="1"/>
    <col min="5" max="5" width="15.125" style="5" customWidth="1"/>
    <col min="6" max="6" width="17.5" style="303" customWidth="1"/>
    <col min="7" max="7" width="11" style="304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479</v>
      </c>
      <c r="B1" s="128"/>
      <c r="C1" s="301"/>
      <c r="D1" s="302"/>
      <c r="E1" s="128"/>
      <c r="F1" s="301"/>
      <c r="G1" s="302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1" customFormat="1" ht="18" customHeight="1">
      <c r="A3" s="131" t="s">
        <v>423</v>
      </c>
      <c r="B3" s="132"/>
      <c r="C3" s="133"/>
      <c r="D3" s="134"/>
      <c r="E3" s="132"/>
      <c r="F3" s="135"/>
      <c r="G3" s="136"/>
      <c r="I3"/>
      <c r="J3"/>
      <c r="K3"/>
      <c r="L3"/>
      <c r="M3"/>
      <c r="N3"/>
      <c r="O3"/>
      <c r="P3"/>
    </row>
    <row r="4" spans="1:16" ht="18" customHeight="1">
      <c r="A4" s="137" t="s">
        <v>462</v>
      </c>
      <c r="B4" s="67"/>
      <c r="C4" s="305"/>
      <c r="D4" s="306"/>
      <c r="E4" s="67"/>
      <c r="F4" s="307"/>
      <c r="G4" s="141"/>
      <c r="I4"/>
      <c r="J4"/>
      <c r="K4"/>
      <c r="L4"/>
      <c r="M4"/>
      <c r="N4"/>
      <c r="O4"/>
      <c r="P4"/>
    </row>
    <row r="5" spans="1:16" ht="18" customHeight="1">
      <c r="A5" s="76" t="s">
        <v>52</v>
      </c>
      <c r="B5" s="142" t="s">
        <v>53</v>
      </c>
      <c r="C5" s="143"/>
      <c r="D5" s="144"/>
      <c r="E5" s="145" t="s">
        <v>54</v>
      </c>
      <c r="F5" s="143"/>
      <c r="G5" s="144"/>
      <c r="I5"/>
      <c r="J5"/>
      <c r="K5"/>
      <c r="L5"/>
      <c r="M5"/>
      <c r="N5"/>
      <c r="O5"/>
      <c r="P5"/>
    </row>
    <row r="6" spans="1:16" ht="18" customHeight="1">
      <c r="A6" s="93"/>
      <c r="B6" s="30" t="s">
        <v>436</v>
      </c>
      <c r="C6" s="146" t="s">
        <v>437</v>
      </c>
      <c r="D6" s="308" t="s">
        <v>61</v>
      </c>
      <c r="E6" s="30" t="s">
        <v>436</v>
      </c>
      <c r="F6" s="146" t="s">
        <v>437</v>
      </c>
      <c r="G6" s="308" t="s">
        <v>61</v>
      </c>
      <c r="I6" s="486"/>
      <c r="J6" s="486"/>
      <c r="K6" s="486"/>
      <c r="L6" s="486"/>
    </row>
    <row r="7" spans="1:16" ht="18" customHeight="1">
      <c r="A7" s="31">
        <v>1</v>
      </c>
      <c r="B7" s="382">
        <v>102575</v>
      </c>
      <c r="C7" s="383">
        <v>77057</v>
      </c>
      <c r="D7" s="512">
        <f t="shared" ref="D7:D19" si="0">(B7-C7)/C7</f>
        <v>0.33115745487106946</v>
      </c>
      <c r="E7" s="382">
        <v>157168031</v>
      </c>
      <c r="F7" s="383">
        <v>109267734</v>
      </c>
      <c r="G7" s="512">
        <f t="shared" ref="G7:G19" si="1">(E7-F7)/F7</f>
        <v>0.43837549518506536</v>
      </c>
      <c r="I7" s="486"/>
      <c r="J7" s="486"/>
    </row>
    <row r="8" spans="1:16" ht="18" customHeight="1">
      <c r="A8" s="31">
        <v>2</v>
      </c>
      <c r="B8" s="382">
        <v>68335</v>
      </c>
      <c r="C8" s="383">
        <v>84202</v>
      </c>
      <c r="D8" s="512">
        <f t="shared" si="0"/>
        <v>-0.18843970452008266</v>
      </c>
      <c r="E8" s="382">
        <v>114935015</v>
      </c>
      <c r="F8" s="383">
        <v>117807310</v>
      </c>
      <c r="G8" s="512">
        <f t="shared" si="1"/>
        <v>-2.4381296882171402E-2</v>
      </c>
      <c r="I8" s="486"/>
      <c r="J8" s="486"/>
      <c r="K8" s="486"/>
      <c r="L8" s="486"/>
    </row>
    <row r="9" spans="1:16" ht="18" customHeight="1">
      <c r="A9" s="31">
        <v>3</v>
      </c>
      <c r="B9" s="382">
        <v>67324</v>
      </c>
      <c r="C9" s="487">
        <v>92187</v>
      </c>
      <c r="D9" s="512">
        <f t="shared" si="0"/>
        <v>-0.26970180177248421</v>
      </c>
      <c r="E9" s="375">
        <v>108657809</v>
      </c>
      <c r="F9" s="383">
        <v>132866407</v>
      </c>
      <c r="G9" s="512">
        <f t="shared" si="1"/>
        <v>-0.18220254876012415</v>
      </c>
      <c r="J9" s="486"/>
      <c r="K9" s="486"/>
    </row>
    <row r="10" spans="1:16" ht="18" customHeight="1">
      <c r="A10" s="31">
        <v>4</v>
      </c>
      <c r="B10" s="384">
        <v>78722</v>
      </c>
      <c r="C10" s="385">
        <v>79297</v>
      </c>
      <c r="D10" s="512">
        <f t="shared" si="0"/>
        <v>-7.2512200965988627E-3</v>
      </c>
      <c r="E10" s="384">
        <v>135497637</v>
      </c>
      <c r="F10" s="385">
        <v>114259116</v>
      </c>
      <c r="G10" s="512">
        <f t="shared" si="1"/>
        <v>0.18588031960618354</v>
      </c>
    </row>
    <row r="11" spans="1:16" ht="18" customHeight="1">
      <c r="A11" s="31">
        <v>5</v>
      </c>
      <c r="B11" s="382">
        <v>66723</v>
      </c>
      <c r="C11" s="383">
        <v>87198</v>
      </c>
      <c r="D11" s="512">
        <f t="shared" si="0"/>
        <v>-0.23481043143191357</v>
      </c>
      <c r="E11" s="382">
        <v>116784135</v>
      </c>
      <c r="F11" s="383">
        <v>130912557</v>
      </c>
      <c r="G11" s="512">
        <f t="shared" si="1"/>
        <v>-0.10792258835796784</v>
      </c>
    </row>
    <row r="12" spans="1:16" ht="18" customHeight="1">
      <c r="A12" s="31">
        <v>6</v>
      </c>
      <c r="B12" s="382">
        <v>63099</v>
      </c>
      <c r="C12" s="383">
        <v>76230</v>
      </c>
      <c r="D12" s="512">
        <f t="shared" si="0"/>
        <v>-0.17225501770956317</v>
      </c>
      <c r="E12" s="382">
        <v>106973248</v>
      </c>
      <c r="F12" s="383">
        <v>122116613</v>
      </c>
      <c r="G12" s="512">
        <f t="shared" si="1"/>
        <v>-0.12400741085080701</v>
      </c>
      <c r="J12" s="486"/>
      <c r="K12" s="486"/>
    </row>
    <row r="13" spans="1:16" ht="18" customHeight="1">
      <c r="A13" s="31">
        <v>7</v>
      </c>
      <c r="B13" s="386">
        <v>50927</v>
      </c>
      <c r="C13" s="383">
        <v>101495</v>
      </c>
      <c r="D13" s="512">
        <f t="shared" si="0"/>
        <v>-0.49823143997241243</v>
      </c>
      <c r="E13" s="386">
        <v>88792506</v>
      </c>
      <c r="F13" s="383">
        <v>159255261</v>
      </c>
      <c r="G13" s="512">
        <f t="shared" si="1"/>
        <v>-0.44245166255449481</v>
      </c>
    </row>
    <row r="14" spans="1:16" ht="18" customHeight="1">
      <c r="A14" s="31">
        <v>8</v>
      </c>
      <c r="B14" s="382">
        <v>44985</v>
      </c>
      <c r="C14" s="383">
        <v>78657</v>
      </c>
      <c r="D14" s="512">
        <f t="shared" si="0"/>
        <v>-0.42808650215492583</v>
      </c>
      <c r="E14" s="382">
        <v>90712357</v>
      </c>
      <c r="F14" s="383">
        <v>117735520</v>
      </c>
      <c r="G14" s="512">
        <f t="shared" si="1"/>
        <v>-0.22952430158715059</v>
      </c>
      <c r="J14" s="486"/>
      <c r="K14" s="486"/>
    </row>
    <row r="15" spans="1:16" ht="18" customHeight="1">
      <c r="A15" s="31">
        <v>9</v>
      </c>
      <c r="B15" s="27">
        <v>39289</v>
      </c>
      <c r="C15" s="383">
        <v>91644</v>
      </c>
      <c r="D15" s="512">
        <f t="shared" si="0"/>
        <v>-0.57128671817031118</v>
      </c>
      <c r="E15" s="27">
        <v>79224306</v>
      </c>
      <c r="F15" s="383">
        <v>133267573</v>
      </c>
      <c r="G15" s="512">
        <f t="shared" si="1"/>
        <v>-0.40552450820125613</v>
      </c>
    </row>
    <row r="16" spans="1:16" ht="18" customHeight="1">
      <c r="A16" s="31">
        <v>10</v>
      </c>
      <c r="B16" s="27">
        <v>28734</v>
      </c>
      <c r="C16" s="383">
        <v>95220</v>
      </c>
      <c r="D16" s="512">
        <f t="shared" si="0"/>
        <v>-0.6982356647763075</v>
      </c>
      <c r="E16" s="27">
        <v>58393920</v>
      </c>
      <c r="F16" s="383">
        <v>149753129</v>
      </c>
      <c r="G16" s="512">
        <f t="shared" si="1"/>
        <v>-0.6100654431067013</v>
      </c>
    </row>
    <row r="17" spans="1:18" ht="18" customHeight="1">
      <c r="A17" s="31">
        <v>11</v>
      </c>
      <c r="B17" s="27">
        <v>38247</v>
      </c>
      <c r="C17" s="508">
        <v>89156</v>
      </c>
      <c r="D17" s="512">
        <f t="shared" si="0"/>
        <v>-0.57101036385661086</v>
      </c>
      <c r="E17" s="27">
        <v>78049576</v>
      </c>
      <c r="F17" s="509">
        <v>134885692</v>
      </c>
      <c r="G17" s="512">
        <f t="shared" si="1"/>
        <v>-0.42136504737655939</v>
      </c>
    </row>
    <row r="18" spans="1:18" ht="18" customHeight="1">
      <c r="A18" s="31">
        <v>12</v>
      </c>
      <c r="B18" s="27"/>
      <c r="C18" s="508"/>
      <c r="D18" s="512"/>
      <c r="E18" s="27"/>
      <c r="F18" s="509"/>
      <c r="G18" s="512"/>
      <c r="I18" s="488"/>
      <c r="J18" s="488"/>
      <c r="K18" s="488"/>
      <c r="L18" s="488"/>
      <c r="M18"/>
      <c r="N18"/>
      <c r="O18"/>
      <c r="P18"/>
      <c r="Q18"/>
      <c r="R18"/>
    </row>
    <row r="19" spans="1:18" s="114" customFormat="1" ht="18" customHeight="1">
      <c r="A19" s="32" t="s">
        <v>51</v>
      </c>
      <c r="B19" s="33">
        <f>SUM(B7:B18)</f>
        <v>648960</v>
      </c>
      <c r="C19" s="309">
        <f>SUM(C7:C18)</f>
        <v>952343</v>
      </c>
      <c r="D19" s="512">
        <f t="shared" si="0"/>
        <v>-0.31856484480906566</v>
      </c>
      <c r="E19" s="33">
        <f>SUM(E7:E18)</f>
        <v>1135188540</v>
      </c>
      <c r="F19" s="309">
        <f>SUM(F7:F18)</f>
        <v>1422126912</v>
      </c>
      <c r="G19" s="512">
        <f t="shared" si="1"/>
        <v>-0.20176706423230953</v>
      </c>
      <c r="H19" s="5"/>
      <c r="I19" s="488"/>
      <c r="J19" s="488"/>
      <c r="K19" s="488"/>
      <c r="L19" s="488"/>
      <c r="M19"/>
      <c r="N19"/>
      <c r="O19"/>
      <c r="P19"/>
      <c r="Q19"/>
      <c r="R19"/>
    </row>
    <row r="20" spans="1:18" s="114" customFormat="1">
      <c r="A20" s="38"/>
      <c r="B20" s="39"/>
      <c r="C20" s="489"/>
      <c r="D20" s="310"/>
      <c r="E20" s="39"/>
      <c r="F20" s="489"/>
      <c r="G20" s="310"/>
      <c r="H20" s="5"/>
      <c r="I20" s="488"/>
      <c r="J20" s="488"/>
      <c r="K20"/>
      <c r="L20"/>
      <c r="M20"/>
      <c r="N20"/>
      <c r="O20"/>
      <c r="P20"/>
      <c r="Q20"/>
      <c r="R20"/>
    </row>
    <row r="21" spans="1:18" s="114" customFormat="1">
      <c r="A21" s="38"/>
      <c r="B21" s="39"/>
      <c r="C21" s="489"/>
      <c r="D21" s="310"/>
      <c r="E21" s="39"/>
      <c r="F21" s="489"/>
      <c r="G21" s="310"/>
      <c r="H21" s="5"/>
      <c r="I21" s="488"/>
      <c r="J21" s="488"/>
      <c r="K21" s="488"/>
      <c r="L21" s="488"/>
      <c r="M21"/>
      <c r="N21"/>
      <c r="O21"/>
      <c r="P21"/>
      <c r="Q21"/>
      <c r="R21"/>
    </row>
    <row r="22" spans="1:18" ht="19.5">
      <c r="A22" s="1" t="s">
        <v>480</v>
      </c>
      <c r="B22" s="128"/>
      <c r="C22" s="301"/>
      <c r="D22" s="302"/>
      <c r="E22" s="128"/>
      <c r="F22" s="301"/>
      <c r="G22" s="302"/>
      <c r="I22"/>
      <c r="J22"/>
      <c r="K22"/>
      <c r="L22"/>
      <c r="M22"/>
      <c r="N22"/>
      <c r="O22"/>
      <c r="P22"/>
      <c r="Q22"/>
      <c r="R22"/>
    </row>
    <row r="23" spans="1:18" ht="17.25" customHeight="1">
      <c r="A23" s="1"/>
      <c r="B23" s="128"/>
      <c r="C23" s="301"/>
      <c r="D23" s="302"/>
      <c r="E23" s="128"/>
      <c r="F23" s="301"/>
      <c r="G23" s="302"/>
      <c r="I23"/>
      <c r="J23"/>
      <c r="K23"/>
      <c r="L23"/>
      <c r="M23"/>
      <c r="N23"/>
      <c r="O23"/>
      <c r="P23"/>
      <c r="Q23"/>
      <c r="R23"/>
    </row>
    <row r="24" spans="1:18" s="121" customFormat="1" ht="18" customHeight="1">
      <c r="A24" s="152" t="s">
        <v>419</v>
      </c>
      <c r="B24" s="153"/>
      <c r="C24" s="154"/>
      <c r="D24" s="155"/>
      <c r="E24" s="153"/>
      <c r="F24" s="156"/>
      <c r="G24" s="157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7" t="s">
        <v>460</v>
      </c>
      <c r="B25" s="158"/>
      <c r="C25" s="311"/>
      <c r="D25" s="312"/>
      <c r="E25" s="158"/>
      <c r="F25" s="313"/>
      <c r="G25" s="162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6" t="s">
        <v>52</v>
      </c>
      <c r="B26" s="163" t="s">
        <v>53</v>
      </c>
      <c r="C26" s="164"/>
      <c r="D26" s="165"/>
      <c r="E26" s="166" t="s">
        <v>54</v>
      </c>
      <c r="F26" s="164"/>
      <c r="G26" s="165"/>
    </row>
    <row r="27" spans="1:18" ht="18" customHeight="1">
      <c r="A27" s="93"/>
      <c r="B27" s="30" t="s">
        <v>436</v>
      </c>
      <c r="C27" s="146" t="s">
        <v>437</v>
      </c>
      <c r="D27" s="308" t="s">
        <v>412</v>
      </c>
      <c r="E27" s="30" t="s">
        <v>436</v>
      </c>
      <c r="F27" s="146" t="s">
        <v>437</v>
      </c>
      <c r="G27" s="308" t="s">
        <v>413</v>
      </c>
    </row>
    <row r="28" spans="1:18" ht="18" customHeight="1">
      <c r="A28" s="31">
        <v>1</v>
      </c>
      <c r="B28" s="382">
        <v>661</v>
      </c>
      <c r="C28" s="506">
        <v>1361</v>
      </c>
      <c r="D28" s="512">
        <f>(B28-C28)/C28</f>
        <v>-0.51432770022042618</v>
      </c>
      <c r="E28" s="382">
        <v>457222</v>
      </c>
      <c r="F28" s="506">
        <v>889149</v>
      </c>
      <c r="G28" s="512">
        <f>(E28-F28)/F28</f>
        <v>-0.48577572487850745</v>
      </c>
    </row>
    <row r="29" spans="1:18" ht="18" customHeight="1">
      <c r="A29" s="31">
        <v>2</v>
      </c>
      <c r="B29" s="382">
        <v>306</v>
      </c>
      <c r="C29" s="506">
        <v>1529</v>
      </c>
      <c r="D29" s="512">
        <f>(B29-C29)/C29</f>
        <v>-0.79986919555264879</v>
      </c>
      <c r="E29" s="382">
        <v>343954</v>
      </c>
      <c r="F29" s="506">
        <v>1057175</v>
      </c>
      <c r="G29" s="512">
        <f>(E29-F29)/F29</f>
        <v>-0.67464800056755037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82">
        <v>1748</v>
      </c>
      <c r="C30" s="506">
        <v>2239</v>
      </c>
      <c r="D30" s="512">
        <f>(B30-C30)/C30</f>
        <v>-0.21929432782492184</v>
      </c>
      <c r="E30" s="382">
        <v>1134184</v>
      </c>
      <c r="F30" s="506">
        <v>1443327</v>
      </c>
      <c r="G30" s="512">
        <f>(E30-F30)/F30</f>
        <v>-0.21418777588169555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82">
        <v>413</v>
      </c>
      <c r="C31" s="507">
        <v>161</v>
      </c>
      <c r="D31" s="512">
        <f>(B31-C31)/C31</f>
        <v>1.5652173913043479</v>
      </c>
      <c r="E31" s="384">
        <v>387680</v>
      </c>
      <c r="F31" s="507">
        <v>188582</v>
      </c>
      <c r="G31" s="512">
        <f>(E31-F31)/F31</f>
        <v>1.0557635405287886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82">
        <v>2715</v>
      </c>
      <c r="C32" s="506">
        <v>896</v>
      </c>
      <c r="D32" s="512">
        <f>(B32-C32)/C32</f>
        <v>2.0301339285714284</v>
      </c>
      <c r="E32" s="382">
        <v>1301531</v>
      </c>
      <c r="F32" s="506">
        <v>627673</v>
      </c>
      <c r="G32" s="512">
        <f>(E32-F32)/F32</f>
        <v>1.0735813074642369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82">
        <v>947</v>
      </c>
      <c r="C33" s="506">
        <v>1539</v>
      </c>
      <c r="D33" s="512">
        <f t="shared" ref="D33:D38" si="2">(B33-C33)/C33</f>
        <v>-0.38466536712150745</v>
      </c>
      <c r="E33" s="382">
        <v>961015</v>
      </c>
      <c r="F33" s="506">
        <v>1266801</v>
      </c>
      <c r="G33" s="512">
        <f t="shared" ref="G33:G38" si="3">(E33-F33)/F33</f>
        <v>-0.24138440054909965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82">
        <v>670</v>
      </c>
      <c r="C34" s="506">
        <v>2783</v>
      </c>
      <c r="D34" s="512">
        <f t="shared" si="2"/>
        <v>-0.75925260510240744</v>
      </c>
      <c r="E34" s="382">
        <v>485378</v>
      </c>
      <c r="F34" s="506">
        <v>1385783</v>
      </c>
      <c r="G34" s="512">
        <f t="shared" si="3"/>
        <v>-0.64974458483038111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82">
        <v>994</v>
      </c>
      <c r="C35" s="506">
        <v>1100</v>
      </c>
      <c r="D35" s="512">
        <f t="shared" si="2"/>
        <v>-9.636363636363636E-2</v>
      </c>
      <c r="E35" s="382">
        <v>648641</v>
      </c>
      <c r="F35" s="506">
        <v>960434</v>
      </c>
      <c r="G35" s="512">
        <f t="shared" si="3"/>
        <v>-0.32463761174635636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>
        <v>915</v>
      </c>
      <c r="C36" s="506">
        <v>512</v>
      </c>
      <c r="D36" s="512">
        <f t="shared" si="2"/>
        <v>0.787109375</v>
      </c>
      <c r="E36" s="27">
        <v>818658</v>
      </c>
      <c r="F36" s="506">
        <v>435006</v>
      </c>
      <c r="G36" s="512">
        <f t="shared" si="3"/>
        <v>0.881946455910953</v>
      </c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>
        <v>5</v>
      </c>
      <c r="C37" s="506">
        <v>1248</v>
      </c>
      <c r="D37" s="512">
        <f t="shared" si="2"/>
        <v>-0.99599358974358976</v>
      </c>
      <c r="E37" s="27">
        <v>1738</v>
      </c>
      <c r="F37" s="506">
        <v>987575</v>
      </c>
      <c r="G37" s="512">
        <f t="shared" si="3"/>
        <v>-0.99824013366073461</v>
      </c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>
        <v>75</v>
      </c>
      <c r="C38" s="89">
        <v>1505</v>
      </c>
      <c r="D38" s="512">
        <f t="shared" si="2"/>
        <v>-0.95016611295681064</v>
      </c>
      <c r="E38" s="27">
        <v>68775</v>
      </c>
      <c r="F38" s="89">
        <v>902291</v>
      </c>
      <c r="G38" s="512">
        <f t="shared" si="3"/>
        <v>-0.92377736229220953</v>
      </c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9"/>
      <c r="D39" s="512"/>
      <c r="E39" s="27"/>
      <c r="F39" s="89"/>
      <c r="G39" s="512"/>
      <c r="I39" s="488"/>
      <c r="J39" s="488"/>
      <c r="K39"/>
      <c r="L39"/>
      <c r="M39"/>
      <c r="N39"/>
      <c r="O39"/>
      <c r="P39"/>
    </row>
    <row r="40" spans="1:16" s="114" customFormat="1" ht="18" customHeight="1">
      <c r="A40" s="32" t="s">
        <v>51</v>
      </c>
      <c r="B40" s="33">
        <f>SUM(B28:B39)</f>
        <v>9449</v>
      </c>
      <c r="C40" s="90">
        <f>SUM(C28:C39)</f>
        <v>14873</v>
      </c>
      <c r="D40" s="512">
        <f t="shared" ref="D40" si="4">(B40-C40)/C40</f>
        <v>-0.36468768910105559</v>
      </c>
      <c r="E40" s="33">
        <f>SUM(E28:E39)</f>
        <v>6608776</v>
      </c>
      <c r="F40" s="90">
        <f>SUM(F28:F39)</f>
        <v>10143796</v>
      </c>
      <c r="G40" s="512">
        <f t="shared" ref="G40" si="5">(E40-F40)/F40</f>
        <v>-0.34849084110129974</v>
      </c>
      <c r="H40" s="5"/>
      <c r="I40"/>
      <c r="J40"/>
      <c r="K40"/>
      <c r="L40"/>
      <c r="M40"/>
      <c r="N40"/>
      <c r="O40"/>
      <c r="P40"/>
    </row>
    <row r="41" spans="1:16" s="114" customFormat="1">
      <c r="A41" s="38"/>
      <c r="B41" s="39"/>
      <c r="C41" s="489"/>
      <c r="D41" s="310"/>
      <c r="E41" s="39"/>
      <c r="F41" s="489"/>
      <c r="G41" s="310"/>
      <c r="H41" s="5"/>
      <c r="I41" s="488"/>
      <c r="J41" s="488"/>
      <c r="K41" s="488"/>
      <c r="L41" s="488"/>
      <c r="M41"/>
      <c r="N41"/>
      <c r="O41"/>
      <c r="P41"/>
    </row>
    <row r="42" spans="1:16" s="13" customFormat="1">
      <c r="A42" s="53" t="s">
        <v>414</v>
      </c>
      <c r="C42" s="168"/>
      <c r="D42" s="169"/>
      <c r="F42" s="168"/>
      <c r="G42" s="169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31">
    <cfRule type="cellIs" dxfId="48" priority="5" operator="lessThan">
      <formula>0</formula>
    </cfRule>
  </conditionalFormatting>
  <conditionalFormatting sqref="B7:C8 B9 E9">
    <cfRule type="cellIs" dxfId="47" priority="35" operator="lessThan">
      <formula>0</formula>
    </cfRule>
  </conditionalFormatting>
  <conditionalFormatting sqref="B11:C14">
    <cfRule type="cellIs" dxfId="46" priority="4" operator="lessThan">
      <formula>0</formula>
    </cfRule>
  </conditionalFormatting>
  <conditionalFormatting sqref="B28:C30 C36:C37">
    <cfRule type="cellIs" dxfId="45" priority="33" operator="lessThan">
      <formula>0</formula>
    </cfRule>
  </conditionalFormatting>
  <conditionalFormatting sqref="B32:C35">
    <cfRule type="cellIs" dxfId="44" priority="2" operator="lessThan">
      <formula>0</formula>
    </cfRule>
  </conditionalFormatting>
  <conditionalFormatting sqref="C15:C16">
    <cfRule type="cellIs" dxfId="43" priority="31" operator="lessThan">
      <formula>0</formula>
    </cfRule>
  </conditionalFormatting>
  <conditionalFormatting sqref="D7:D19">
    <cfRule type="cellIs" dxfId="42" priority="28" operator="greaterThanOrEqual">
      <formula>0</formula>
    </cfRule>
    <cfRule type="cellIs" dxfId="41" priority="29" operator="lessThan">
      <formula>0</formula>
    </cfRule>
  </conditionalFormatting>
  <conditionalFormatting sqref="D28:D40">
    <cfRule type="cellIs" dxfId="40" priority="20" operator="greaterThanOrEqual">
      <formula>0</formula>
    </cfRule>
    <cfRule type="cellIs" dxfId="39" priority="21" operator="lessThan">
      <formula>0</formula>
    </cfRule>
  </conditionalFormatting>
  <conditionalFormatting sqref="E7:F9">
    <cfRule type="cellIs" dxfId="38" priority="34" operator="lessThan">
      <formula>0</formula>
    </cfRule>
  </conditionalFormatting>
  <conditionalFormatting sqref="E11:F14">
    <cfRule type="cellIs" dxfId="37" priority="3" operator="lessThan">
      <formula>0</formula>
    </cfRule>
  </conditionalFormatting>
  <conditionalFormatting sqref="E28:F30 F36:F37">
    <cfRule type="cellIs" dxfId="36" priority="32" operator="lessThan">
      <formula>0</formula>
    </cfRule>
  </conditionalFormatting>
  <conditionalFormatting sqref="E32:F35">
    <cfRule type="cellIs" dxfId="35" priority="1" operator="lessThan">
      <formula>0</formula>
    </cfRule>
  </conditionalFormatting>
  <conditionalFormatting sqref="F15:F16">
    <cfRule type="cellIs" dxfId="34" priority="30" operator="lessThan">
      <formula>0</formula>
    </cfRule>
  </conditionalFormatting>
  <conditionalFormatting sqref="G7:G19">
    <cfRule type="cellIs" dxfId="33" priority="26" operator="greaterThanOrEqual">
      <formula>0</formula>
    </cfRule>
    <cfRule type="cellIs" dxfId="32" priority="27" operator="lessThan">
      <formula>0</formula>
    </cfRule>
  </conditionalFormatting>
  <conditionalFormatting sqref="G28:G40">
    <cfRule type="cellIs" dxfId="31" priority="16" operator="greaterThanOrEqual">
      <formula>0</formula>
    </cfRule>
    <cfRule type="cellIs" dxfId="3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="102" zoomScaleNormal="102" workbookViewId="0">
      <pane xSplit="1" topLeftCell="B1" activePane="topRight" state="frozen"/>
      <selection pane="topRight" activeCell="A2" sqref="A2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8" customWidth="1"/>
    <col min="4" max="4" width="16.625" style="318" customWidth="1"/>
    <col min="5" max="5" width="2.375" style="318" customWidth="1"/>
    <col min="6" max="6" width="17.125" style="318" customWidth="1"/>
    <col min="7" max="7" width="19" style="318" customWidth="1"/>
    <col min="8" max="8" width="2.125" style="318" customWidth="1"/>
    <col min="9" max="9" width="15.625" style="318" customWidth="1"/>
    <col min="10" max="10" width="17.875" style="318" customWidth="1"/>
    <col min="11" max="11" width="2.5" style="318" customWidth="1"/>
    <col min="12" max="12" width="17.125" style="318" customWidth="1"/>
    <col min="13" max="13" width="18.5" style="318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5" customFormat="1" ht="19.5">
      <c r="A1" s="1" t="s">
        <v>481</v>
      </c>
      <c r="B1" s="1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3" s="315" customFormat="1">
      <c r="C2" s="316"/>
      <c r="D2" s="316"/>
      <c r="E2" s="316"/>
      <c r="F2" s="316"/>
      <c r="G2" s="316"/>
      <c r="H2" s="316"/>
      <c r="I2" s="316"/>
      <c r="J2" s="316"/>
      <c r="K2" s="316"/>
      <c r="L2" s="5"/>
      <c r="M2" s="316" t="s">
        <v>62</v>
      </c>
    </row>
    <row r="3" spans="1:13" s="315" customFormat="1">
      <c r="A3" s="317"/>
      <c r="B3" s="317"/>
      <c r="C3" s="316"/>
      <c r="D3" s="316"/>
      <c r="E3" s="316"/>
      <c r="F3" s="316"/>
      <c r="G3" s="316"/>
      <c r="H3" s="316"/>
      <c r="I3" s="316"/>
      <c r="J3" s="316"/>
      <c r="K3" s="316"/>
      <c r="L3" s="5"/>
      <c r="M3" s="316" t="s">
        <v>63</v>
      </c>
    </row>
    <row r="4" spans="1:13">
      <c r="M4" s="5"/>
    </row>
    <row r="5" spans="1:13" s="315" customFormat="1">
      <c r="A5" s="319" t="s">
        <v>64</v>
      </c>
      <c r="B5" s="320"/>
      <c r="C5" s="542" t="s">
        <v>482</v>
      </c>
      <c r="D5" s="543" t="s">
        <v>483</v>
      </c>
      <c r="E5" s="320"/>
      <c r="F5" s="321" t="s">
        <v>484</v>
      </c>
      <c r="G5" s="322" t="s">
        <v>485</v>
      </c>
      <c r="H5" s="320"/>
      <c r="I5" s="542" t="s">
        <v>486</v>
      </c>
      <c r="J5" s="543" t="s">
        <v>487</v>
      </c>
      <c r="K5" s="320"/>
      <c r="L5" s="321" t="s">
        <v>488</v>
      </c>
      <c r="M5" s="322" t="s">
        <v>489</v>
      </c>
    </row>
    <row r="6" spans="1:13">
      <c r="A6" s="323">
        <v>85121010001</v>
      </c>
      <c r="B6" s="479"/>
      <c r="C6" s="478"/>
      <c r="D6" s="324"/>
      <c r="E6" s="478"/>
      <c r="F6" s="478"/>
      <c r="G6" s="324"/>
      <c r="H6" s="478"/>
      <c r="I6" s="478"/>
      <c r="J6" s="324"/>
      <c r="K6" s="478"/>
      <c r="L6" s="478"/>
      <c r="M6" s="324"/>
    </row>
    <row r="7" spans="1:13">
      <c r="A7" s="325" t="s">
        <v>65</v>
      </c>
      <c r="B7" s="315"/>
      <c r="C7" s="467">
        <v>6356</v>
      </c>
      <c r="D7" s="467">
        <v>828901</v>
      </c>
      <c r="F7" s="467">
        <v>83071</v>
      </c>
      <c r="G7" s="467">
        <v>9702778</v>
      </c>
      <c r="I7" s="467">
        <v>5255</v>
      </c>
      <c r="J7" s="467">
        <v>256960</v>
      </c>
      <c r="L7" s="467">
        <v>40946</v>
      </c>
      <c r="M7" s="467">
        <v>2697933</v>
      </c>
    </row>
    <row r="8" spans="1:13">
      <c r="A8" s="325" t="s">
        <v>66</v>
      </c>
      <c r="B8" s="13" t="s">
        <v>67</v>
      </c>
      <c r="C8" s="467">
        <v>53848</v>
      </c>
      <c r="D8" s="466" t="s">
        <v>396</v>
      </c>
      <c r="E8" s="13" t="s">
        <v>67</v>
      </c>
      <c r="F8" s="467">
        <v>704377</v>
      </c>
      <c r="G8" s="466" t="s">
        <v>396</v>
      </c>
      <c r="H8" s="13" t="s">
        <v>67</v>
      </c>
      <c r="I8" s="467">
        <v>56799</v>
      </c>
      <c r="J8" s="466" t="s">
        <v>396</v>
      </c>
      <c r="K8" s="318" t="s">
        <v>67</v>
      </c>
      <c r="L8" s="467">
        <v>716428</v>
      </c>
      <c r="M8" s="466" t="s">
        <v>396</v>
      </c>
    </row>
    <row r="9" spans="1:13">
      <c r="A9" s="327">
        <v>85121020009</v>
      </c>
      <c r="B9" s="477"/>
      <c r="C9" s="475"/>
      <c r="D9" s="472"/>
      <c r="E9" s="476"/>
      <c r="F9" s="472"/>
      <c r="G9" s="468"/>
      <c r="H9" s="476"/>
      <c r="I9" s="475"/>
      <c r="J9" s="475"/>
      <c r="K9" s="476"/>
      <c r="L9" s="475"/>
      <c r="M9" s="475"/>
    </row>
    <row r="10" spans="1:13">
      <c r="A10" s="325" t="s">
        <v>68</v>
      </c>
      <c r="B10" s="315"/>
      <c r="C10" s="467">
        <v>3247</v>
      </c>
      <c r="D10" s="467">
        <v>548929</v>
      </c>
      <c r="F10" s="467">
        <v>34886</v>
      </c>
      <c r="G10" s="467">
        <v>6099707</v>
      </c>
      <c r="I10" s="467">
        <v>2806</v>
      </c>
      <c r="J10" s="467">
        <v>160335</v>
      </c>
      <c r="L10" s="467">
        <v>21438</v>
      </c>
      <c r="M10" s="467">
        <v>1770415</v>
      </c>
    </row>
    <row r="11" spans="1:13">
      <c r="A11" s="325" t="s">
        <v>69</v>
      </c>
      <c r="B11" s="13" t="s">
        <v>67</v>
      </c>
      <c r="C11" s="467">
        <v>30463</v>
      </c>
      <c r="D11" s="466" t="s">
        <v>396</v>
      </c>
      <c r="E11" s="13" t="s">
        <v>67</v>
      </c>
      <c r="F11" s="467">
        <v>399282</v>
      </c>
      <c r="G11" s="466" t="s">
        <v>396</v>
      </c>
      <c r="H11" s="13" t="s">
        <v>67</v>
      </c>
      <c r="I11" s="467">
        <v>50146</v>
      </c>
      <c r="J11" s="466" t="s">
        <v>395</v>
      </c>
      <c r="K11" s="318" t="s">
        <v>67</v>
      </c>
      <c r="L11" s="467">
        <v>404153</v>
      </c>
      <c r="M11" s="466" t="s">
        <v>396</v>
      </c>
    </row>
    <row r="12" spans="1:13">
      <c r="A12" s="328">
        <v>87149120007</v>
      </c>
      <c r="B12" s="471"/>
      <c r="C12" s="468"/>
      <c r="D12" s="472"/>
      <c r="E12" s="470"/>
      <c r="F12" s="472"/>
      <c r="G12" s="468"/>
      <c r="H12" s="470"/>
      <c r="I12" s="472"/>
      <c r="J12" s="468"/>
      <c r="K12" s="470"/>
      <c r="L12" s="475"/>
      <c r="M12" s="475"/>
    </row>
    <row r="13" spans="1:13">
      <c r="A13" s="325" t="s">
        <v>71</v>
      </c>
      <c r="B13" s="315"/>
      <c r="C13" s="467">
        <f>VLOOKUP(A12,[15]進出口值表查詢結果!$A$3:$E$19,4,0)</f>
        <v>544871</v>
      </c>
      <c r="D13" s="467">
        <f>VLOOKUP(A12,[15]進出口值表查詢結果!$A$3:$E$19,3,0)</f>
        <v>38141008</v>
      </c>
      <c r="F13" s="467">
        <f>VLOOKUP(A12,[16]進出口值表查詢結果!$A$3:$E$19,4,0)</f>
        <v>9959783</v>
      </c>
      <c r="G13" s="467">
        <f>VLOOKUP(A12,[16]進出口值表查詢結果!$A$3:$E$19,3,0)</f>
        <v>649975654</v>
      </c>
      <c r="I13" s="467">
        <f>VLOOKUP(A12,[17]進出口值表查詢結果!$A$3:$E$19,4,0)</f>
        <v>312121</v>
      </c>
      <c r="J13" s="467">
        <f>VLOOKUP(A12,[17]進出口值表查詢結果!$A$3:$E$19,3,0)</f>
        <v>25355381</v>
      </c>
      <c r="L13" s="467">
        <f>VLOOKUP(A12,[18]進出口值表查詢結果!$A$3:$E$19,4,0)</f>
        <v>5335768</v>
      </c>
      <c r="M13" s="467">
        <f>VLOOKUP(A12,[18]進出口值表查詢結果!$A$3:$E$19,3,0)</f>
        <v>358189512</v>
      </c>
    </row>
    <row r="14" spans="1:13">
      <c r="A14" s="325" t="s">
        <v>72</v>
      </c>
      <c r="B14" s="13" t="s">
        <v>67</v>
      </c>
      <c r="C14" s="467">
        <f>VLOOKUP(A12,[19]出!$B$11:$G$350,6,0)</f>
        <v>0</v>
      </c>
      <c r="D14" s="466"/>
      <c r="E14" s="13" t="s">
        <v>67</v>
      </c>
      <c r="F14" s="467">
        <f>VLOOKUP(A12,[19]出同!$B$11:$J$301,9,0)</f>
        <v>0</v>
      </c>
      <c r="G14" s="466"/>
      <c r="I14" s="467"/>
      <c r="J14" s="466"/>
      <c r="L14" s="467"/>
      <c r="M14" s="466"/>
    </row>
    <row r="15" spans="1:13">
      <c r="A15" s="328">
        <v>87149200108</v>
      </c>
      <c r="B15" s="471"/>
      <c r="C15" s="472"/>
      <c r="D15" s="468"/>
      <c r="E15" s="470"/>
      <c r="F15" s="472"/>
      <c r="G15" s="468"/>
      <c r="H15" s="470"/>
      <c r="I15" s="472"/>
      <c r="J15" s="468"/>
      <c r="K15" s="470"/>
      <c r="L15" s="472"/>
      <c r="M15" s="468"/>
    </row>
    <row r="16" spans="1:13">
      <c r="A16" s="325" t="s">
        <v>73</v>
      </c>
      <c r="B16" s="315"/>
      <c r="C16" s="467">
        <f>VLOOKUP(A15,[15]進出口值表查詢結果!$A$3:$E$19,4,0)</f>
        <v>130893</v>
      </c>
      <c r="D16" s="467">
        <f>VLOOKUP(A15,[15]進出口值表查詢結果!$A$3:$E$19,3,0)</f>
        <v>2495991</v>
      </c>
      <c r="F16" s="467">
        <f>VLOOKUP(A15,[16]進出口值表查詢結果!$A$3:$E$19,4,0)</f>
        <v>1501988</v>
      </c>
      <c r="G16" s="467">
        <f>VLOOKUP(A15,[16]進出口值表查詢結果!$A$3:$E$19,3,0)</f>
        <v>32908249</v>
      </c>
      <c r="I16" s="467">
        <f>VLOOKUP(A15,[17]進出口值表查詢結果!$A$3:$E$19,4,0)</f>
        <v>38827</v>
      </c>
      <c r="J16" s="467">
        <f>VLOOKUP(A15,[17]進出口值表查詢結果!$A$3:$E$19,3,0)</f>
        <v>4254378</v>
      </c>
      <c r="L16" s="467">
        <f>VLOOKUP(A15,[18]進出口值表查詢結果!$A$3:$E$19,4,0)</f>
        <v>768147</v>
      </c>
      <c r="M16" s="467">
        <f>VLOOKUP(A15,[18]進出口值表查詢結果!$A$3:$E$19,3,0)</f>
        <v>55415667</v>
      </c>
    </row>
    <row r="17" spans="1:13">
      <c r="A17" s="325"/>
      <c r="B17" s="13" t="s">
        <v>67</v>
      </c>
      <c r="C17" s="467">
        <f>VLOOKUP(A15,[15]進出口值表查詢結果!$A$3:$E$19,5,0)</f>
        <v>228074</v>
      </c>
      <c r="D17" s="466" t="s">
        <v>155</v>
      </c>
      <c r="E17" s="13" t="s">
        <v>67</v>
      </c>
      <c r="F17" s="467">
        <f>VLOOKUP(A15,[16]進出口值表查詢結果!$A$3:$E$19,5,0)</f>
        <v>2798912</v>
      </c>
      <c r="G17" s="466" t="s">
        <v>70</v>
      </c>
      <c r="H17" s="13" t="s">
        <v>67</v>
      </c>
      <c r="I17" s="467">
        <f>VLOOKUP(A15,[17]進出口值表查詢結果!$A$3:$E$19,5,0)</f>
        <v>82708</v>
      </c>
      <c r="J17" s="466" t="s">
        <v>70</v>
      </c>
      <c r="K17" s="318" t="s">
        <v>67</v>
      </c>
      <c r="L17" s="467">
        <f>VLOOKUP(A15,[18]進出口值表查詢結果!$A$3:$E$19,5,0)</f>
        <v>1464506</v>
      </c>
      <c r="M17" s="466" t="s">
        <v>70</v>
      </c>
    </row>
    <row r="18" spans="1:13">
      <c r="A18" s="328">
        <v>87149200206</v>
      </c>
      <c r="B18" s="471"/>
      <c r="C18" s="472"/>
      <c r="D18" s="468"/>
      <c r="E18" s="470"/>
      <c r="F18" s="472"/>
      <c r="G18" s="468"/>
      <c r="H18" s="470"/>
      <c r="I18" s="469"/>
      <c r="J18" s="468"/>
      <c r="K18" s="470"/>
      <c r="L18" s="469"/>
      <c r="M18" s="468"/>
    </row>
    <row r="19" spans="1:13">
      <c r="A19" s="325" t="s">
        <v>57</v>
      </c>
      <c r="B19" s="315"/>
      <c r="C19" s="467">
        <f>VLOOKUP(A18,[15]進出口值表查詢結果!$A$3:$E$19,4,0)</f>
        <v>67922</v>
      </c>
      <c r="D19" s="467">
        <f>VLOOKUP(A18,[15]進出口值表查詢結果!$A$3:$E$19,3,0)</f>
        <v>858295</v>
      </c>
      <c r="F19" s="467">
        <f>VLOOKUP(A18,[16]進出口值表查詢結果!$A$3:$E$19,4,0)</f>
        <v>731170</v>
      </c>
      <c r="G19" s="467">
        <f>VLOOKUP(A18,[16]進出口值表查詢結果!$A$3:$E$19,3,0)</f>
        <v>9519018</v>
      </c>
      <c r="I19" s="467">
        <f>VLOOKUP(A18,[17]進出口值表查詢結果!$A$3:$E$19,4,0)</f>
        <v>10374</v>
      </c>
      <c r="J19" s="467">
        <f>VLOOKUP(A18,[17]進出口值表查詢結果!$A$3:$E$19,3,0)</f>
        <v>699802</v>
      </c>
      <c r="L19" s="467">
        <f>VLOOKUP(A18,[18]進出口值表查詢結果!$A$3:$E$19,4,0)</f>
        <v>95141</v>
      </c>
      <c r="M19" s="467">
        <f>VLOOKUP(A18,[18]進出口值表查詢結果!$A$3:$E$19,3,0)</f>
        <v>7609302</v>
      </c>
    </row>
    <row r="20" spans="1:13">
      <c r="A20" s="325"/>
      <c r="B20" s="13" t="s">
        <v>67</v>
      </c>
      <c r="C20" s="467">
        <f>VLOOKUP(A18,[15]進出口值表查詢結果!$A$3:$E$19,5,0)</f>
        <v>10795446</v>
      </c>
      <c r="D20" s="466" t="s">
        <v>155</v>
      </c>
      <c r="E20" s="13" t="s">
        <v>67</v>
      </c>
      <c r="F20" s="467">
        <f>VLOOKUP(A18,[16]進出口值表查詢結果!$A$3:$E$19,5,0)</f>
        <v>103983279</v>
      </c>
      <c r="G20" s="466" t="s">
        <v>70</v>
      </c>
      <c r="H20" s="13" t="s">
        <v>67</v>
      </c>
      <c r="I20" s="467">
        <f>VLOOKUP(A18,[17]進出口值表查詢結果!$A$3:$E$19,5,0)</f>
        <v>1623851</v>
      </c>
      <c r="J20" s="466" t="s">
        <v>70</v>
      </c>
      <c r="K20" s="318" t="s">
        <v>67</v>
      </c>
      <c r="L20" s="467">
        <f>VLOOKUP(A18,[18]進出口值表查詢結果!$A$3:$E$19,5,0)</f>
        <v>16165208</v>
      </c>
      <c r="M20" s="466" t="s">
        <v>70</v>
      </c>
    </row>
    <row r="21" spans="1:13">
      <c r="A21" s="328">
        <v>87149200304</v>
      </c>
      <c r="B21" s="471"/>
      <c r="C21" s="472"/>
      <c r="D21" s="468"/>
      <c r="E21" s="470"/>
      <c r="F21" s="472"/>
      <c r="G21" s="468"/>
      <c r="H21" s="470"/>
      <c r="I21" s="469"/>
      <c r="J21" s="468"/>
      <c r="K21" s="470"/>
      <c r="L21" s="469"/>
      <c r="M21" s="468"/>
    </row>
    <row r="22" spans="1:13">
      <c r="A22" s="325" t="s">
        <v>58</v>
      </c>
      <c r="B22" s="315"/>
      <c r="C22" s="467">
        <f>VLOOKUP(A21,[15]進出口值表查詢結果!$A$3:$E$19,4,0)</f>
        <v>48055</v>
      </c>
      <c r="D22" s="467">
        <f>VLOOKUP(A21,[15]進出口值表查詢結果!$A$3:$E$19,3,0)</f>
        <v>5248715</v>
      </c>
      <c r="E22" s="318">
        <f>[20]二全年出口類別合計驗算!U18</f>
        <v>0</v>
      </c>
      <c r="F22" s="467">
        <f>VLOOKUP(A21,[16]進出口值表查詢結果!$A$3:$E$19,4,0)</f>
        <v>636902</v>
      </c>
      <c r="G22" s="467">
        <f>VLOOKUP(A21,[16]進出口值表查詢結果!$A$3:$E$19,3,0)</f>
        <v>76171795</v>
      </c>
      <c r="I22" s="467">
        <f>VLOOKUP(A21,[17]進出口值表查詢結果!$A$3:$E$19,4,0)</f>
        <v>25098</v>
      </c>
      <c r="J22" s="467">
        <f>VLOOKUP(A21,[17]進出口值表查詢結果!$A$3:$E$19,3,0)</f>
        <v>818377</v>
      </c>
      <c r="L22" s="467">
        <f>VLOOKUP(A21,[18]進出口值表查詢結果!$A$3:$E$19,4,0)</f>
        <v>205168</v>
      </c>
      <c r="M22" s="467">
        <f>VLOOKUP(A21,[18]進出口值表查詢結果!$A$3:$E$19,3,0)</f>
        <v>8033472</v>
      </c>
    </row>
    <row r="23" spans="1:13">
      <c r="A23" s="328">
        <v>87149310007</v>
      </c>
      <c r="B23" s="471"/>
      <c r="C23" s="472"/>
      <c r="D23" s="468"/>
      <c r="E23" s="470"/>
      <c r="F23" s="472"/>
      <c r="G23" s="468"/>
      <c r="H23" s="470"/>
      <c r="I23" s="469"/>
      <c r="J23" s="468"/>
      <c r="K23" s="470"/>
      <c r="L23" s="469"/>
      <c r="M23" s="468"/>
    </row>
    <row r="24" spans="1:13">
      <c r="A24" s="325" t="s">
        <v>74</v>
      </c>
      <c r="B24" s="315"/>
      <c r="C24" s="467">
        <f>VLOOKUP(A23,[15]進出口值表查詢結果!$A$3:$E$19,4,0)</f>
        <v>31372</v>
      </c>
      <c r="D24" s="467">
        <f>VLOOKUP(A23,[15]進出口值表查詢結果!$A$3:$E$19,3,0)</f>
        <v>2198756</v>
      </c>
      <c r="F24" s="467">
        <f>VLOOKUP(A23,[16]進出口值表查詢結果!$A$3:$E$19,4,0)</f>
        <v>809473</v>
      </c>
      <c r="G24" s="467">
        <f>VLOOKUP(A23,[16]進出口值表查詢結果!$A$3:$E$19,3,0)</f>
        <v>43843951</v>
      </c>
      <c r="I24" s="467">
        <f>VLOOKUP(A23,[17]進出口值表查詢結果!$A$3:$E$19,4,0)</f>
        <v>47568</v>
      </c>
      <c r="J24" s="467">
        <f>VLOOKUP(A23,[17]進出口值表查詢結果!$A$3:$E$19,3,0)</f>
        <v>2292110</v>
      </c>
      <c r="L24" s="467">
        <f>VLOOKUP(A23,[18]進出口值表查詢結果!$A$3:$E$19,4,0)</f>
        <v>976204</v>
      </c>
      <c r="M24" s="467">
        <f>VLOOKUP(A23,[18]進出口值表查詢結果!$A$3:$E$19,3,0)</f>
        <v>37236031</v>
      </c>
    </row>
    <row r="25" spans="1:13">
      <c r="A25" s="325" t="s">
        <v>75</v>
      </c>
      <c r="B25" s="315"/>
      <c r="C25" s="467"/>
      <c r="D25" s="466"/>
      <c r="F25" s="467"/>
      <c r="G25" s="466"/>
      <c r="I25" s="467"/>
      <c r="J25" s="466"/>
      <c r="L25" s="467"/>
      <c r="M25" s="466"/>
    </row>
    <row r="26" spans="1:13">
      <c r="A26" s="325" t="s">
        <v>76</v>
      </c>
      <c r="B26" s="315"/>
      <c r="C26" s="467"/>
      <c r="D26" s="466"/>
      <c r="F26" s="467"/>
      <c r="G26" s="466"/>
      <c r="I26" s="467"/>
      <c r="J26" s="466"/>
      <c r="L26" s="467"/>
      <c r="M26" s="466"/>
    </row>
    <row r="27" spans="1:13">
      <c r="A27" s="328">
        <v>87149320103</v>
      </c>
      <c r="B27" s="471"/>
      <c r="C27" s="472"/>
      <c r="D27" s="468"/>
      <c r="E27" s="470"/>
      <c r="F27" s="472"/>
      <c r="G27" s="468"/>
      <c r="H27" s="470"/>
      <c r="I27" s="469"/>
      <c r="J27" s="468"/>
      <c r="K27" s="470"/>
      <c r="L27" s="469"/>
      <c r="M27" s="468"/>
    </row>
    <row r="28" spans="1:13">
      <c r="A28" s="325" t="s">
        <v>408</v>
      </c>
      <c r="B28" s="315"/>
      <c r="C28" s="467">
        <f>VLOOKUP(A27,[15]進出口值表查詢結果!$A$3:$E$19,4,0)</f>
        <v>1350</v>
      </c>
      <c r="D28" s="467">
        <f>VLOOKUP(A27,[15]進出口值表查詢結果!$A$3:$E$19,3,0)</f>
        <v>47784</v>
      </c>
      <c r="F28" s="467">
        <f>VLOOKUP(A27,[16]進出口值表查詢結果!$A$3:$E$19,4,0)</f>
        <v>19883</v>
      </c>
      <c r="G28" s="467">
        <f>VLOOKUP(A27,[16]進出口值表查詢結果!$A$3:$E$19,3,0)</f>
        <v>706049</v>
      </c>
      <c r="I28" s="467">
        <f>VLOOKUP(A27,[17]進出口值表查詢結果!$A$3:$E$19,4,0)</f>
        <v>2255</v>
      </c>
      <c r="J28" s="467">
        <f>VLOOKUP(A27,[17]進出口值表查詢結果!$A$3:$E$19,3,0)</f>
        <v>119612</v>
      </c>
      <c r="L28" s="467">
        <f>VLOOKUP(A27,[18]進出口值表查詢結果!$A$3:$E$19,4,0)</f>
        <v>81525</v>
      </c>
      <c r="M28" s="467">
        <f>VLOOKUP(A27,[18]進出口值表查詢結果!$A$3:$E$19,3,0)</f>
        <v>4320284</v>
      </c>
    </row>
    <row r="29" spans="1:13">
      <c r="A29" s="328">
        <v>87149410006</v>
      </c>
      <c r="B29" s="471"/>
      <c r="C29" s="472"/>
      <c r="D29" s="468"/>
      <c r="E29" s="470"/>
      <c r="F29" s="472"/>
      <c r="G29" s="468"/>
      <c r="H29" s="470"/>
      <c r="I29" s="469"/>
      <c r="J29" s="468"/>
      <c r="K29" s="470"/>
      <c r="L29" s="469"/>
      <c r="M29" s="468"/>
    </row>
    <row r="30" spans="1:13">
      <c r="A30" s="325" t="s">
        <v>77</v>
      </c>
      <c r="B30" s="315"/>
      <c r="C30" s="467">
        <f>VLOOKUP(A29,[15]進出口值表查詢結果!$A$3:$E$19,4,0)</f>
        <v>14105</v>
      </c>
      <c r="D30" s="467">
        <f>VLOOKUP(A29,[15]進出口值表查詢結果!$A$3:$E$19,3,0)</f>
        <v>350511</v>
      </c>
      <c r="F30" s="467">
        <f>VLOOKUP(A29,[16]進出口值表查詢結果!$A$3:$E$19,4,0)</f>
        <v>170671</v>
      </c>
      <c r="G30" s="467">
        <f>VLOOKUP(A29,[16]進出口值表查詢結果!$A$3:$E$19,3,0)</f>
        <v>4556666</v>
      </c>
      <c r="I30" s="467">
        <f>VLOOKUP(A29,[17]進出口值表查詢結果!$A$3:$E$19,4,0)</f>
        <v>2801</v>
      </c>
      <c r="J30" s="467">
        <f>VLOOKUP(A29,[17]進出口值表查詢結果!$A$3:$E$19,3,0)</f>
        <v>201985</v>
      </c>
      <c r="L30" s="467">
        <f>VLOOKUP(A29,[18]進出口值表查詢結果!$A$3:$E$19,4,0)</f>
        <v>55898</v>
      </c>
      <c r="M30" s="467">
        <f>VLOOKUP(A29,[18]進出口值表查詢結果!$A$3:$E$19,3,0)</f>
        <v>3177712</v>
      </c>
    </row>
    <row r="31" spans="1:13">
      <c r="A31" s="325" t="s">
        <v>78</v>
      </c>
      <c r="B31" s="315"/>
      <c r="C31" s="467"/>
      <c r="D31" s="466"/>
      <c r="F31" s="467"/>
      <c r="G31" s="466"/>
      <c r="I31" s="467"/>
      <c r="J31" s="466"/>
      <c r="L31" s="467"/>
      <c r="M31" s="466"/>
    </row>
    <row r="32" spans="1:13">
      <c r="A32" s="328">
        <v>87149490009</v>
      </c>
      <c r="B32" s="471"/>
      <c r="C32" s="472"/>
      <c r="D32" s="468"/>
      <c r="E32" s="470"/>
      <c r="F32" s="472"/>
      <c r="G32" s="468"/>
      <c r="H32" s="470"/>
      <c r="I32" s="469"/>
      <c r="J32" s="468"/>
      <c r="K32" s="470"/>
      <c r="L32" s="469"/>
      <c r="M32" s="468"/>
    </row>
    <row r="33" spans="1:13">
      <c r="A33" s="325" t="s">
        <v>79</v>
      </c>
      <c r="B33" s="315"/>
      <c r="C33" s="467">
        <f>VLOOKUP(A32,[15]進出口值表查詢結果!$A$3:$E$19,4,0)</f>
        <v>254694</v>
      </c>
      <c r="D33" s="467">
        <f>VLOOKUP(A32,[15]進出口值表查詢結果!$A$3:$E$19,3,0)</f>
        <v>10575339</v>
      </c>
      <c r="F33" s="467">
        <f>VLOOKUP(A32,[16]進出口值表查詢結果!$A$3:$E$19,4,0)</f>
        <v>3379412</v>
      </c>
      <c r="G33" s="467">
        <f>VLOOKUP(A32,[16]進出口值表查詢結果!$A$3:$E$19,3,0)</f>
        <v>172042646</v>
      </c>
      <c r="I33" s="467">
        <f>VLOOKUP(A32,[17]進出口值表查詢結果!$A$3:$E$19,4,0)</f>
        <v>107574</v>
      </c>
      <c r="J33" s="467">
        <f>VLOOKUP(A32,[17]進出口值表查詢結果!$A$3:$E$19,3,0)</f>
        <v>8248782</v>
      </c>
      <c r="L33" s="467">
        <f>VLOOKUP(A32,[18]進出口值表查詢結果!$A$3:$E$19,4,0)</f>
        <v>1399838</v>
      </c>
      <c r="M33" s="467">
        <f>VLOOKUP(A32,[18]進出口值表查詢結果!$A$3:$E$19,3,0)</f>
        <v>104212031</v>
      </c>
    </row>
    <row r="34" spans="1:13">
      <c r="A34" s="325" t="s">
        <v>80</v>
      </c>
      <c r="B34" s="315"/>
      <c r="C34" s="467"/>
      <c r="D34" s="466"/>
      <c r="F34" s="467"/>
      <c r="G34" s="466"/>
      <c r="I34" s="467"/>
      <c r="J34" s="466"/>
      <c r="L34" s="467"/>
      <c r="M34" s="466"/>
    </row>
    <row r="35" spans="1:13">
      <c r="A35" s="328">
        <v>87149500007</v>
      </c>
      <c r="B35" s="471"/>
      <c r="C35" s="469"/>
      <c r="D35" s="468"/>
      <c r="E35" s="470"/>
      <c r="F35" s="469"/>
      <c r="G35" s="468"/>
      <c r="H35" s="470"/>
      <c r="I35" s="469"/>
      <c r="J35" s="468"/>
      <c r="K35" s="470"/>
      <c r="L35" s="469"/>
      <c r="M35" s="468"/>
    </row>
    <row r="36" spans="1:13">
      <c r="A36" s="325" t="s">
        <v>81</v>
      </c>
      <c r="B36" s="315"/>
      <c r="C36" s="467">
        <f>VLOOKUP(A35,[15]進出口值表查詢結果!$A$3:$E$19,4,0)</f>
        <v>99283</v>
      </c>
      <c r="D36" s="467">
        <f>VLOOKUP(A35,[15]進出口值表查詢結果!$A$3:$E$19,3,0)</f>
        <v>1691591</v>
      </c>
      <c r="F36" s="467">
        <f>VLOOKUP(A35,[16]進出口值表查詢結果!$A$3:$E$19,4,0)</f>
        <v>1225596</v>
      </c>
      <c r="G36" s="467">
        <f>VLOOKUP(A35,[16]進出口值表查詢結果!$A$3:$E$19,3,0)</f>
        <v>30390630</v>
      </c>
      <c r="I36" s="467">
        <f>VLOOKUP(A35,[17]進出口值表查詢結果!$A$3:$E$19,4,0)</f>
        <v>31392</v>
      </c>
      <c r="J36" s="467">
        <f>VLOOKUP(A35,[17]進出口值表查詢結果!$A$3:$E$19,3,0)</f>
        <v>593677</v>
      </c>
      <c r="L36" s="467">
        <f>VLOOKUP(A35,[18]進出口值表查詢結果!$A$3:$E$19,4,0)</f>
        <v>570344</v>
      </c>
      <c r="M36" s="467">
        <f>VLOOKUP(A35,[18]進出口值表查詢結果!$A$3:$E$19,3,0)</f>
        <v>9682694</v>
      </c>
    </row>
    <row r="37" spans="1:13">
      <c r="A37" s="328">
        <v>87149610004</v>
      </c>
      <c r="B37" s="471"/>
      <c r="C37" s="469"/>
      <c r="D37" s="468"/>
      <c r="E37" s="470"/>
      <c r="F37" s="469"/>
      <c r="G37" s="468"/>
      <c r="H37" s="470"/>
      <c r="I37" s="469"/>
      <c r="J37" s="468"/>
      <c r="K37" s="470"/>
      <c r="L37" s="469"/>
      <c r="M37" s="468"/>
    </row>
    <row r="38" spans="1:13">
      <c r="A38" s="325" t="s">
        <v>82</v>
      </c>
      <c r="B38" s="315"/>
      <c r="C38" s="467">
        <f>VLOOKUP(A37,[15]進出口值表查詢結果!$A$3:$E$19,4,0)</f>
        <v>76114</v>
      </c>
      <c r="D38" s="467">
        <f>VLOOKUP(A37,[15]進出口值表查詢結果!$A$3:$E$19,3,0)</f>
        <v>2088958</v>
      </c>
      <c r="F38" s="467">
        <f>VLOOKUP(A37,[16]進出口值表查詢結果!$A$3:$E$19,4,0)</f>
        <v>1662750</v>
      </c>
      <c r="G38" s="467">
        <f>VLOOKUP(A37,[16]進出口值表查詢結果!$A$3:$E$19,3,0)</f>
        <v>41414219</v>
      </c>
      <c r="I38" s="467">
        <f>VLOOKUP(A37,[17]進出口值表查詢結果!$A$3:$E$19,4,0)</f>
        <v>21740</v>
      </c>
      <c r="J38" s="467">
        <f>VLOOKUP(A37,[17]進出口值表查詢結果!$A$3:$E$19,3,0)</f>
        <v>182370</v>
      </c>
      <c r="L38" s="467">
        <f>VLOOKUP(A37,[18]進出口值表查詢結果!$A$3:$E$19,4,0)</f>
        <v>227350</v>
      </c>
      <c r="M38" s="467">
        <f>VLOOKUP(A37,[18]進出口值表查詢結果!$A$3:$E$19,3,0)</f>
        <v>3941801</v>
      </c>
    </row>
    <row r="39" spans="1:13">
      <c r="A39" s="328">
        <v>87149620002</v>
      </c>
      <c r="B39" s="471"/>
      <c r="C39" s="472"/>
      <c r="D39" s="468"/>
      <c r="E39" s="470"/>
      <c r="F39" s="472"/>
      <c r="G39" s="468"/>
      <c r="H39" s="470"/>
      <c r="I39" s="469"/>
      <c r="J39" s="468"/>
      <c r="K39" s="470"/>
      <c r="L39" s="469"/>
      <c r="M39" s="468"/>
    </row>
    <row r="40" spans="1:13">
      <c r="A40" s="325" t="s">
        <v>83</v>
      </c>
      <c r="B40" s="315"/>
      <c r="C40" s="467">
        <f>VLOOKUP(A39,[15]進出口值表查詢結果!$A$3:$E$19,4,0)</f>
        <v>90923</v>
      </c>
      <c r="D40" s="467">
        <f>VLOOKUP(A39,[15]進出口值表查詢結果!$A$3:$E$19,3,0)</f>
        <v>4936800</v>
      </c>
      <c r="F40" s="467">
        <f>VLOOKUP(A39,[16]進出口值表查詢結果!$A$3:$E$19,4,0)</f>
        <v>1627775</v>
      </c>
      <c r="G40" s="467">
        <f>VLOOKUP(A39,[16]進出口值表查詢結果!$A$3:$E$19,3,0)</f>
        <v>86544229</v>
      </c>
      <c r="I40" s="467">
        <f>VLOOKUP(A39,[17]進出口值表查詢結果!$A$3:$E$19,4,0)</f>
        <v>79746</v>
      </c>
      <c r="J40" s="467">
        <f>VLOOKUP(A39,[17]進出口值表查詢結果!$A$3:$E$19,3,0)</f>
        <v>3072141</v>
      </c>
      <c r="L40" s="467">
        <f>VLOOKUP(A39,[18]進出口值表查詢結果!$A$3:$E$19,4,0)</f>
        <v>1116069</v>
      </c>
      <c r="M40" s="467">
        <f>VLOOKUP(A39,[18]進出口值表查詢結果!$A$3:$E$19,3,0)</f>
        <v>36785663</v>
      </c>
    </row>
    <row r="41" spans="1:13">
      <c r="A41" s="325" t="s">
        <v>78</v>
      </c>
      <c r="B41" s="315"/>
      <c r="C41" s="467"/>
      <c r="D41" s="467"/>
      <c r="F41" s="467"/>
      <c r="G41" s="467"/>
      <c r="I41" s="467"/>
      <c r="J41" s="467"/>
      <c r="L41" s="467"/>
      <c r="M41" s="467"/>
    </row>
    <row r="42" spans="1:13">
      <c r="A42" s="328">
        <v>73151100209</v>
      </c>
      <c r="B42" s="471"/>
      <c r="C42" s="468"/>
      <c r="D42" s="472"/>
      <c r="E42" s="470"/>
      <c r="F42" s="469"/>
      <c r="G42" s="468"/>
      <c r="H42" s="470"/>
      <c r="I42" s="469"/>
      <c r="J42" s="468"/>
      <c r="K42" s="470"/>
      <c r="L42" s="469"/>
      <c r="M42" s="468"/>
    </row>
    <row r="43" spans="1:13">
      <c r="A43" s="325" t="s">
        <v>84</v>
      </c>
      <c r="B43" s="315"/>
      <c r="C43" s="467">
        <v>32580</v>
      </c>
      <c r="D43" s="467">
        <v>726944</v>
      </c>
      <c r="F43" s="467">
        <v>1096344</v>
      </c>
      <c r="G43" s="467">
        <v>28938588</v>
      </c>
      <c r="I43" s="467">
        <v>60796</v>
      </c>
      <c r="J43" s="467">
        <v>622354</v>
      </c>
      <c r="L43" s="467">
        <v>716807</v>
      </c>
      <c r="M43" s="467">
        <v>9350969</v>
      </c>
    </row>
    <row r="44" spans="1:13">
      <c r="A44" s="325" t="s">
        <v>85</v>
      </c>
      <c r="B44" s="315"/>
      <c r="C44" s="467"/>
      <c r="D44" s="466"/>
      <c r="F44" s="467"/>
      <c r="G44" s="466"/>
      <c r="I44" s="467"/>
      <c r="J44" s="466"/>
      <c r="L44" s="467"/>
      <c r="M44" s="466"/>
    </row>
    <row r="45" spans="1:13">
      <c r="A45" s="328">
        <v>87149990111</v>
      </c>
      <c r="B45" s="471"/>
      <c r="C45" s="472"/>
      <c r="D45" s="468"/>
      <c r="E45" s="470"/>
      <c r="F45" s="472"/>
      <c r="G45" s="468"/>
      <c r="H45" s="470"/>
      <c r="I45" s="469"/>
      <c r="J45" s="468"/>
      <c r="K45" s="470"/>
      <c r="L45" s="469"/>
      <c r="M45" s="468"/>
    </row>
    <row r="46" spans="1:13">
      <c r="A46" s="329" t="s">
        <v>86</v>
      </c>
      <c r="B46" s="317"/>
      <c r="C46" s="467">
        <f>VLOOKUP(A45,[15]進出口值表查詢結果!$A$3:$E$19,4,0)</f>
        <v>34933</v>
      </c>
      <c r="D46" s="467">
        <f>VLOOKUP(A45,[15]進出口值表查詢結果!$A$3:$E$19,3,0)</f>
        <v>4351469</v>
      </c>
      <c r="F46" s="467">
        <f>VLOOKUP(A45,[16]進出口值表查詢結果!$A$3:$E$19,4,0)</f>
        <v>825334</v>
      </c>
      <c r="G46" s="467">
        <f>VLOOKUP(A45,[16]進出口值表查詢結果!$A$3:$E$19,3,0)</f>
        <v>94259642</v>
      </c>
      <c r="I46" s="467">
        <f>VLOOKUP(A45,[17]進出口值表查詢結果!$A$3:$E$19,4,0)</f>
        <v>33370</v>
      </c>
      <c r="J46" s="467">
        <f>VLOOKUP(A45,[17]進出口值表查詢結果!$A$3:$E$19,3,0)</f>
        <v>3586028</v>
      </c>
      <c r="L46" s="467">
        <f>VLOOKUP(A45,[18]進出口值表查詢結果!$A$3:$E$19,4,0)</f>
        <v>530207</v>
      </c>
      <c r="M46" s="467">
        <f>VLOOKUP(A45,[18]進出口值表查詢結果!$A$3:$E$19,3,0)</f>
        <v>53554344</v>
      </c>
    </row>
    <row r="47" spans="1:13">
      <c r="A47" s="325" t="s">
        <v>87</v>
      </c>
      <c r="B47" s="315"/>
      <c r="C47" s="467"/>
      <c r="D47" s="466"/>
      <c r="F47" s="467"/>
      <c r="G47" s="466"/>
      <c r="I47" s="467"/>
      <c r="J47" s="466"/>
      <c r="L47" s="467"/>
      <c r="M47" s="466"/>
    </row>
    <row r="48" spans="1:13">
      <c r="A48" s="328">
        <v>87149320906</v>
      </c>
      <c r="B48" s="471"/>
      <c r="C48" s="472"/>
      <c r="D48" s="468"/>
      <c r="E48" s="470"/>
      <c r="F48" s="472"/>
      <c r="G48" s="468"/>
      <c r="H48" s="470"/>
      <c r="I48" s="469"/>
      <c r="J48" s="468"/>
      <c r="K48" s="470"/>
      <c r="L48" s="469"/>
      <c r="M48" s="468"/>
    </row>
    <row r="49" spans="1:13">
      <c r="A49" s="325" t="s">
        <v>409</v>
      </c>
      <c r="B49" s="315"/>
      <c r="C49" s="467">
        <f>VLOOKUP(A48,[15]進出口值表查詢結果!$A$3:$E$19,4,0)</f>
        <v>87421</v>
      </c>
      <c r="D49" s="467">
        <f>VLOOKUP(A48,[15]進出口值表查詢結果!$A$3:$E$19,3,0)</f>
        <v>3510415</v>
      </c>
      <c r="F49" s="467">
        <f>VLOOKUP(A48,[16]進出口值表查詢結果!$A$3:$E$19,4,0)</f>
        <v>1818072</v>
      </c>
      <c r="G49" s="467">
        <f>VLOOKUP(A48,[16]進出口值表查詢結果!$A$3:$E$19,3,0)</f>
        <v>90263899</v>
      </c>
      <c r="I49" s="467">
        <f>VLOOKUP(A48,[17]進出口值表查詢結果!$A$3:$E$19,4,0)</f>
        <v>27642</v>
      </c>
      <c r="J49" s="467">
        <f>VLOOKUP(A48,[17]進出口值表查詢結果!$A$3:$E$19,3,0)</f>
        <v>1338096</v>
      </c>
      <c r="L49" s="467">
        <f>VLOOKUP(A48,[18]進出口值表查詢結果!$A$3:$E$19,4,0)</f>
        <v>426562</v>
      </c>
      <c r="M49" s="467">
        <f>VLOOKUP(A48,[18]進出口值表查詢結果!$A$3:$E$19,3,0)</f>
        <v>16864853</v>
      </c>
    </row>
    <row r="50" spans="1:13">
      <c r="A50" s="328">
        <v>87149990139</v>
      </c>
      <c r="B50" s="471"/>
      <c r="C50" s="472"/>
      <c r="D50" s="468"/>
      <c r="E50" s="470"/>
      <c r="F50" s="472"/>
      <c r="G50" s="468"/>
      <c r="H50" s="470"/>
      <c r="I50" s="469"/>
      <c r="J50" s="468"/>
      <c r="K50" s="470"/>
      <c r="L50" s="469"/>
      <c r="M50" s="468"/>
    </row>
    <row r="51" spans="1:13">
      <c r="A51" s="325" t="s">
        <v>88</v>
      </c>
      <c r="B51" s="315"/>
      <c r="C51" s="467">
        <f>VLOOKUP(A50,[15]進出口值表查詢結果!$A$3:$E$19,4,0)</f>
        <v>27803</v>
      </c>
      <c r="D51" s="467">
        <f>VLOOKUP(A50,[15]進出口值表查詢結果!$A$3:$E$19,3,0)</f>
        <v>421582</v>
      </c>
      <c r="F51" s="467">
        <f>VLOOKUP(A50,[16]進出口值表查詢結果!$A$3:$E$19,4,0)</f>
        <v>198861</v>
      </c>
      <c r="G51" s="467">
        <f>VLOOKUP(A50,[16]進出口值表查詢結果!$A$3:$E$19,3,0)</f>
        <v>3664320</v>
      </c>
      <c r="I51" s="467">
        <f>VLOOKUP(A50,[17]進出口值表查詢結果!$A$3:$E$19,4,0)</f>
        <v>3094</v>
      </c>
      <c r="J51" s="467">
        <f>VLOOKUP(A50,[17]進出口值表查詢結果!$A$3:$E$19,3,0)</f>
        <v>51535</v>
      </c>
      <c r="L51" s="467">
        <f>VLOOKUP(A50,[18]進出口值表查詢結果!$A$3:$E$19,4,0)</f>
        <v>92766</v>
      </c>
      <c r="M51" s="467">
        <f>VLOOKUP(A50,[18]進出口值表查詢結果!$A$3:$E$19,3,0)</f>
        <v>1271624</v>
      </c>
    </row>
    <row r="52" spans="1:13">
      <c r="A52" s="328">
        <v>87149990148</v>
      </c>
      <c r="B52" s="471"/>
      <c r="C52" s="472"/>
      <c r="D52" s="468"/>
      <c r="E52" s="470"/>
      <c r="F52" s="472"/>
      <c r="G52" s="468"/>
      <c r="H52" s="470"/>
      <c r="I52" s="469"/>
      <c r="J52" s="468"/>
      <c r="K52" s="470"/>
      <c r="L52" s="469"/>
      <c r="M52" s="468"/>
    </row>
    <row r="53" spans="1:13">
      <c r="A53" s="330" t="s">
        <v>89</v>
      </c>
      <c r="B53" s="474"/>
      <c r="C53" s="467">
        <f>VLOOKUP(A52,[15]進出口值表查詢結果!$A$3:$E$19,4,0)</f>
        <v>38444</v>
      </c>
      <c r="D53" s="467">
        <f>VLOOKUP(A52,[15]進出口值表查詢結果!$A$3:$E$19,3,0)</f>
        <v>1612464</v>
      </c>
      <c r="F53" s="467">
        <f>VLOOKUP(A52,[16]進出口值表查詢結果!$A$3:$E$19,4,0)</f>
        <v>679609</v>
      </c>
      <c r="G53" s="467">
        <f>VLOOKUP(A52,[16]進出口值表查詢結果!$A$3:$E$19,3,0)</f>
        <v>26366998</v>
      </c>
      <c r="I53" s="467">
        <f>VLOOKUP(A52,[17]進出口值表查詢結果!$A$3:$E$19,4,0)</f>
        <v>11903</v>
      </c>
      <c r="J53" s="467">
        <f>VLOOKUP(A52,[17]進出口值表查詢結果!$A$3:$E$19,3,0)</f>
        <v>301458</v>
      </c>
      <c r="L53" s="467">
        <f>VLOOKUP(A52,[18]進出口值表查詢結果!$A$3:$E$19,4,0)</f>
        <v>141507</v>
      </c>
      <c r="M53" s="467">
        <f>VLOOKUP(A52,[18]進出口值表查詢結果!$A$3:$E$19,3,0)</f>
        <v>4188418</v>
      </c>
    </row>
    <row r="54" spans="1:13">
      <c r="A54" s="325" t="s">
        <v>90</v>
      </c>
      <c r="B54" s="315"/>
      <c r="C54" s="467"/>
      <c r="D54" s="466"/>
      <c r="F54" s="467"/>
      <c r="G54" s="466"/>
      <c r="I54" s="467"/>
      <c r="J54" s="473"/>
      <c r="L54" s="467"/>
      <c r="M54" s="466"/>
    </row>
    <row r="55" spans="1:13">
      <c r="A55" s="328">
        <v>87149990157</v>
      </c>
      <c r="B55" s="471"/>
      <c r="C55" s="472"/>
      <c r="D55" s="468"/>
      <c r="E55" s="470"/>
      <c r="F55" s="472"/>
      <c r="G55" s="468"/>
      <c r="H55" s="470"/>
      <c r="I55" s="469"/>
      <c r="J55" s="468"/>
      <c r="K55" s="470"/>
      <c r="L55" s="469"/>
      <c r="M55" s="468"/>
    </row>
    <row r="56" spans="1:13">
      <c r="A56" s="325" t="s">
        <v>91</v>
      </c>
      <c r="B56" s="315"/>
      <c r="C56" s="467">
        <f>VLOOKUP(A55,[15]進出口值表查詢結果!$A$3:$E$19,4,0)</f>
        <v>55292</v>
      </c>
      <c r="D56" s="467">
        <f>VLOOKUP(A55,[15]進出口值表查詢結果!$A$3:$E$19,3,0)</f>
        <v>2279772</v>
      </c>
      <c r="F56" s="467">
        <f>VLOOKUP(A55,[16]進出口值表查詢結果!$A$3:$E$19,4,0)</f>
        <v>1216781</v>
      </c>
      <c r="G56" s="467">
        <f>VLOOKUP(A55,[16]進出口值表查詢結果!$A$3:$E$19,3,0)</f>
        <v>53807272</v>
      </c>
      <c r="I56" s="467">
        <f>VLOOKUP(A55,[17]進出口值表查詢結果!$A$3:$E$19,4,0)</f>
        <v>23268</v>
      </c>
      <c r="J56" s="467">
        <f>VLOOKUP(A55,[17]進出口值表查詢結果!$A$3:$E$19,3,0)</f>
        <v>1052016</v>
      </c>
      <c r="L56" s="467">
        <f>VLOOKUP(A55,[18]進出口值表查詢結果!$A$3:$E$19,4,0)</f>
        <v>331730</v>
      </c>
      <c r="M56" s="467">
        <f>VLOOKUP(A55,[18]進出口值表查詢結果!$A$3:$E$19,3,0)</f>
        <v>12906082</v>
      </c>
    </row>
    <row r="57" spans="1:13">
      <c r="A57" s="325" t="s">
        <v>92</v>
      </c>
      <c r="B57" s="315"/>
      <c r="C57" s="467"/>
      <c r="D57" s="466"/>
      <c r="F57" s="467"/>
      <c r="G57" s="466"/>
      <c r="I57" s="467"/>
      <c r="J57" s="467"/>
      <c r="L57" s="467"/>
      <c r="M57" s="466"/>
    </row>
    <row r="58" spans="1:13">
      <c r="A58" s="328">
        <v>87149990166</v>
      </c>
      <c r="B58" s="471"/>
      <c r="C58" s="472"/>
      <c r="D58" s="468"/>
      <c r="E58" s="470"/>
      <c r="F58" s="472"/>
      <c r="G58" s="468"/>
      <c r="H58" s="470"/>
      <c r="I58" s="469"/>
      <c r="J58" s="469"/>
      <c r="K58" s="470"/>
      <c r="L58" s="469"/>
      <c r="M58" s="468"/>
    </row>
    <row r="59" spans="1:13">
      <c r="A59" s="325" t="s">
        <v>89</v>
      </c>
      <c r="B59" s="315"/>
      <c r="C59" s="467">
        <f>VLOOKUP(A58,[15]進出口值表查詢結果!$A$3:$E$19,4,0)</f>
        <v>69510</v>
      </c>
      <c r="D59" s="467">
        <f>VLOOKUP(A58,[15]進出口值表查詢結果!$A$3:$E$19,3,0)</f>
        <v>2866629</v>
      </c>
      <c r="F59" s="467">
        <f>VLOOKUP(A58,[16]進出口值表查詢結果!$A$3:$E$19,4,0)</f>
        <v>1338072</v>
      </c>
      <c r="G59" s="467">
        <f>VLOOKUP(A58,[16]進出口值表查詢結果!$A$3:$E$19,3,0)</f>
        <v>46572891</v>
      </c>
      <c r="I59" s="467">
        <f>VLOOKUP(A58,[17]進出口值表查詢結果!$A$3:$E$19,4,0)</f>
        <v>28017</v>
      </c>
      <c r="J59" s="467">
        <f>VLOOKUP(A58,[17]進出口值表查詢結果!$A$3:$E$19,3,0)</f>
        <v>1980768</v>
      </c>
      <c r="L59" s="467">
        <f>VLOOKUP(A58,[18]進出口值表查詢結果!$A$3:$E$19,4,0)</f>
        <v>370466</v>
      </c>
      <c r="M59" s="467">
        <f>VLOOKUP(A58,[18]進出口值表查詢結果!$A$3:$E$19,3,0)</f>
        <v>21103567</v>
      </c>
    </row>
    <row r="60" spans="1:13">
      <c r="A60" s="328">
        <v>40115000008</v>
      </c>
      <c r="B60" s="471"/>
      <c r="C60" s="469"/>
      <c r="D60" s="469"/>
      <c r="E60" s="470"/>
      <c r="F60" s="469"/>
      <c r="G60" s="469"/>
      <c r="H60" s="470"/>
      <c r="I60" s="469"/>
      <c r="J60" s="469"/>
      <c r="K60" s="470"/>
      <c r="L60" s="469"/>
      <c r="M60" s="468"/>
    </row>
    <row r="61" spans="1:13">
      <c r="A61" s="325" t="s">
        <v>93</v>
      </c>
      <c r="B61" s="315"/>
      <c r="C61" s="467">
        <v>266152</v>
      </c>
      <c r="D61" s="467">
        <v>4336526</v>
      </c>
      <c r="F61" s="467">
        <v>3961324</v>
      </c>
      <c r="G61" s="467">
        <v>69798040</v>
      </c>
      <c r="I61" s="467">
        <v>108522</v>
      </c>
      <c r="J61" s="467">
        <v>1681560</v>
      </c>
      <c r="L61" s="467">
        <v>1810856</v>
      </c>
      <c r="M61" s="467">
        <v>20838847</v>
      </c>
    </row>
    <row r="62" spans="1:13">
      <c r="A62" s="325" t="s">
        <v>94</v>
      </c>
      <c r="B62" s="315" t="s">
        <v>67</v>
      </c>
      <c r="C62" s="467">
        <v>377250</v>
      </c>
      <c r="D62" s="466" t="s">
        <v>70</v>
      </c>
      <c r="E62" s="13" t="s">
        <v>67</v>
      </c>
      <c r="F62" s="467">
        <v>5394891</v>
      </c>
      <c r="G62" s="466" t="s">
        <v>70</v>
      </c>
      <c r="H62" s="13" t="s">
        <v>67</v>
      </c>
      <c r="I62" s="467">
        <v>172066</v>
      </c>
      <c r="J62" s="466" t="s">
        <v>70</v>
      </c>
      <c r="K62" s="318" t="s">
        <v>67</v>
      </c>
      <c r="L62" s="467">
        <v>2612890</v>
      </c>
      <c r="M62" s="466" t="s">
        <v>70</v>
      </c>
    </row>
    <row r="63" spans="1:13">
      <c r="A63" s="328">
        <v>40132000003</v>
      </c>
      <c r="B63" s="471"/>
      <c r="C63" s="469"/>
      <c r="D63" s="469"/>
      <c r="E63" s="470"/>
      <c r="F63" s="469"/>
      <c r="G63" s="469"/>
      <c r="H63" s="470"/>
      <c r="I63" s="469"/>
      <c r="J63" s="469"/>
      <c r="K63" s="470"/>
      <c r="L63" s="469"/>
      <c r="M63" s="468"/>
    </row>
    <row r="64" spans="1:13">
      <c r="A64" s="325" t="s">
        <v>95</v>
      </c>
      <c r="B64" s="315"/>
      <c r="C64" s="467">
        <v>33521</v>
      </c>
      <c r="D64" s="467">
        <v>372990</v>
      </c>
      <c r="F64" s="467">
        <v>533421</v>
      </c>
      <c r="G64" s="467">
        <v>5473808</v>
      </c>
      <c r="I64" s="467">
        <v>17982</v>
      </c>
      <c r="J64" s="467">
        <v>94222</v>
      </c>
      <c r="L64" s="467">
        <v>335244</v>
      </c>
      <c r="M64" s="467">
        <v>2200746</v>
      </c>
    </row>
    <row r="65" spans="1:13">
      <c r="A65" s="325" t="s">
        <v>96</v>
      </c>
      <c r="B65" s="315" t="s">
        <v>67</v>
      </c>
      <c r="C65" s="467">
        <v>184610</v>
      </c>
      <c r="D65" s="466" t="s">
        <v>70</v>
      </c>
      <c r="E65" s="13" t="s">
        <v>67</v>
      </c>
      <c r="F65" s="467">
        <v>2922050</v>
      </c>
      <c r="G65" s="466" t="s">
        <v>70</v>
      </c>
      <c r="H65" s="13" t="s">
        <v>67</v>
      </c>
      <c r="I65" s="467">
        <v>83524</v>
      </c>
      <c r="J65" s="466" t="s">
        <v>70</v>
      </c>
      <c r="K65" s="318" t="s">
        <v>67</v>
      </c>
      <c r="L65" s="467">
        <v>1679567</v>
      </c>
      <c r="M65" s="466" t="s">
        <v>70</v>
      </c>
    </row>
    <row r="66" spans="1:13">
      <c r="A66" s="325"/>
      <c r="B66" s="315"/>
      <c r="D66" s="326"/>
      <c r="G66" s="326"/>
      <c r="J66" s="326"/>
      <c r="M66" s="326"/>
    </row>
    <row r="67" spans="1:13">
      <c r="A67" s="319" t="s">
        <v>97</v>
      </c>
      <c r="B67" s="331"/>
      <c r="C67" s="332">
        <f>SUM(C6:C66)-C65-C62-C20-C17-C11-C8-C14</f>
        <v>2014841</v>
      </c>
      <c r="D67" s="333">
        <f>SUM(D6:D66)</f>
        <v>90490369</v>
      </c>
      <c r="E67" s="332"/>
      <c r="F67" s="332">
        <f>SUM(F6:F66)-F65-F62-F20-F17-F11-F8-F14</f>
        <v>33511178</v>
      </c>
      <c r="G67" s="333">
        <f>SUM(G7:G66)</f>
        <v>1583021049</v>
      </c>
      <c r="H67" s="332"/>
      <c r="I67" s="332">
        <f>SUM(I6:I66)-I65-I62-I20-I17-I11-I8</f>
        <v>1002151</v>
      </c>
      <c r="J67" s="333">
        <f>SUM(J6:J66)</f>
        <v>56963947</v>
      </c>
      <c r="K67" s="332"/>
      <c r="L67" s="332">
        <f>SUM(L6:L66)-L65-L62-L20-L17-L11-L8</f>
        <v>15649981</v>
      </c>
      <c r="M67" s="333">
        <f>SUM(M6:M66)</f>
        <v>775351967</v>
      </c>
    </row>
    <row r="68" spans="1:13">
      <c r="G68" s="5"/>
    </row>
    <row r="69" spans="1:13">
      <c r="A69" s="54" t="s">
        <v>32</v>
      </c>
      <c r="B69" s="54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workbookViewId="0">
      <selection activeCell="A2" sqref="A2"/>
    </sheetView>
  </sheetViews>
  <sheetFormatPr defaultColWidth="10" defaultRowHeight="16.5"/>
  <cols>
    <col min="1" max="1" width="22.375" style="13" customWidth="1"/>
    <col min="2" max="2" width="16.625" style="318" customWidth="1"/>
    <col min="3" max="3" width="17.25" style="361" customWidth="1"/>
    <col min="4" max="4" width="15.75" style="362" customWidth="1"/>
    <col min="5" max="5" width="16.75" style="318" customWidth="1"/>
    <col min="6" max="6" width="16.875" style="361" customWidth="1"/>
    <col min="7" max="7" width="14.875" style="362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5" customFormat="1" ht="21">
      <c r="A1" s="334" t="s">
        <v>490</v>
      </c>
      <c r="B1" s="335"/>
      <c r="C1" s="336"/>
      <c r="D1" s="337"/>
      <c r="E1" s="335"/>
      <c r="F1" s="336"/>
      <c r="G1" s="337"/>
    </row>
    <row r="2" spans="1:7" s="315" customFormat="1" ht="12" customHeight="1">
      <c r="B2" s="316"/>
      <c r="C2" s="338"/>
      <c r="D2" s="339"/>
      <c r="E2" s="316"/>
      <c r="F2" s="338"/>
      <c r="G2" s="339"/>
    </row>
    <row r="3" spans="1:7" s="315" customFormat="1" ht="12" customHeight="1">
      <c r="A3" s="317"/>
      <c r="B3" s="316"/>
      <c r="C3" s="338"/>
      <c r="D3" s="339"/>
      <c r="E3" s="316"/>
      <c r="F3" s="338"/>
      <c r="G3" s="339"/>
    </row>
    <row r="4" spans="1:7">
      <c r="A4" s="42" t="s">
        <v>98</v>
      </c>
      <c r="B4" s="526" t="s">
        <v>424</v>
      </c>
      <c r="C4" s="70" t="s">
        <v>425</v>
      </c>
      <c r="D4" s="340" t="s">
        <v>37</v>
      </c>
      <c r="E4" s="72" t="s">
        <v>424</v>
      </c>
      <c r="F4" s="70" t="s">
        <v>425</v>
      </c>
      <c r="G4" s="200" t="s">
        <v>37</v>
      </c>
    </row>
    <row r="5" spans="1:7" s="315" customFormat="1" ht="18" customHeight="1">
      <c r="A5" s="45"/>
      <c r="B5" s="76" t="s">
        <v>99</v>
      </c>
      <c r="C5" s="75" t="s">
        <v>99</v>
      </c>
      <c r="D5" s="201" t="s">
        <v>2</v>
      </c>
      <c r="E5" s="76" t="s">
        <v>34</v>
      </c>
      <c r="F5" s="75" t="s">
        <v>100</v>
      </c>
      <c r="G5" s="201" t="s">
        <v>2</v>
      </c>
    </row>
    <row r="6" spans="1:7">
      <c r="A6" s="341">
        <v>85121010001</v>
      </c>
      <c r="B6" s="342"/>
      <c r="C6" s="343"/>
      <c r="D6" s="344"/>
      <c r="E6" s="342"/>
      <c r="F6" s="343"/>
      <c r="G6" s="345"/>
    </row>
    <row r="7" spans="1:7">
      <c r="A7" s="325" t="s">
        <v>65</v>
      </c>
      <c r="B7" s="346">
        <f>零件!F7</f>
        <v>83071</v>
      </c>
      <c r="C7" s="347">
        <v>199539</v>
      </c>
      <c r="D7" s="513">
        <f>(B7-C7)/C7</f>
        <v>-0.58368539483509485</v>
      </c>
      <c r="E7" s="346">
        <f>零件!G7</f>
        <v>9702778</v>
      </c>
      <c r="F7" s="347">
        <v>25079128</v>
      </c>
      <c r="G7" s="513">
        <f>(E7-F7)/F7</f>
        <v>-0.61311342244435296</v>
      </c>
    </row>
    <row r="8" spans="1:7">
      <c r="A8" s="325" t="s">
        <v>66</v>
      </c>
      <c r="B8" s="346"/>
      <c r="C8" s="350"/>
      <c r="D8" s="349"/>
      <c r="E8" s="350"/>
      <c r="F8" s="347"/>
      <c r="G8" s="350"/>
    </row>
    <row r="9" spans="1:7">
      <c r="A9" s="327">
        <v>85121020009</v>
      </c>
      <c r="B9" s="351"/>
      <c r="C9" s="351"/>
      <c r="D9" s="352"/>
      <c r="E9" s="351"/>
      <c r="F9" s="351"/>
      <c r="G9" s="351"/>
    </row>
    <row r="10" spans="1:7">
      <c r="A10" s="325" t="s">
        <v>68</v>
      </c>
      <c r="B10" s="346">
        <f>零件!F10</f>
        <v>34886</v>
      </c>
      <c r="C10" s="347">
        <v>77942</v>
      </c>
      <c r="D10" s="514">
        <f>(B10-C10)/C10</f>
        <v>-0.55241076698057534</v>
      </c>
      <c r="E10" s="346">
        <f>零件!G10</f>
        <v>6099707</v>
      </c>
      <c r="F10" s="347">
        <v>11465162</v>
      </c>
      <c r="G10" s="514">
        <f>(E10-F10)/F10</f>
        <v>-0.46797899584846686</v>
      </c>
    </row>
    <row r="11" spans="1:7">
      <c r="A11" s="325" t="s">
        <v>69</v>
      </c>
      <c r="B11" s="346"/>
      <c r="C11" s="350"/>
      <c r="D11" s="353"/>
      <c r="E11" s="350"/>
      <c r="F11" s="347"/>
      <c r="G11" s="350"/>
    </row>
    <row r="12" spans="1:7">
      <c r="A12" s="328">
        <v>87149120007</v>
      </c>
      <c r="B12" s="351"/>
      <c r="C12" s="351"/>
      <c r="D12" s="355"/>
      <c r="E12" s="356"/>
      <c r="F12" s="351"/>
      <c r="G12" s="356"/>
    </row>
    <row r="13" spans="1:7">
      <c r="A13" s="325" t="s">
        <v>71</v>
      </c>
      <c r="B13" s="346">
        <f>零件!F13</f>
        <v>9959783</v>
      </c>
      <c r="C13" s="347">
        <v>18822814</v>
      </c>
      <c r="D13" s="513">
        <f>(B13-C13)/C13</f>
        <v>-0.47086641774178928</v>
      </c>
      <c r="E13" s="346">
        <f>零件!G13</f>
        <v>649975654</v>
      </c>
      <c r="F13" s="347">
        <v>1053246722</v>
      </c>
      <c r="G13" s="514">
        <f>(E13-F13)/F13</f>
        <v>-0.38288376272772295</v>
      </c>
    </row>
    <row r="14" spans="1:7">
      <c r="A14" s="325" t="s">
        <v>72</v>
      </c>
      <c r="B14" s="353"/>
      <c r="C14" s="348"/>
      <c r="D14" s="346"/>
      <c r="E14" s="350"/>
      <c r="F14" s="347"/>
      <c r="G14" s="350"/>
    </row>
    <row r="15" spans="1:7">
      <c r="A15" s="328">
        <v>87149200108</v>
      </c>
      <c r="B15" s="351"/>
      <c r="C15" s="354"/>
      <c r="D15" s="355"/>
      <c r="E15" s="356"/>
      <c r="F15" s="357"/>
      <c r="G15" s="356"/>
    </row>
    <row r="16" spans="1:7">
      <c r="A16" s="325" t="s">
        <v>73</v>
      </c>
      <c r="B16" s="346">
        <f>零件!F16</f>
        <v>1501988</v>
      </c>
      <c r="C16" s="347">
        <v>2341320</v>
      </c>
      <c r="D16" s="514">
        <f>(B16-C16)/C16</f>
        <v>-0.35848666564160386</v>
      </c>
      <c r="E16" s="346">
        <f>零件!G16</f>
        <v>32908249</v>
      </c>
      <c r="F16" s="347">
        <v>49823034</v>
      </c>
      <c r="G16" s="513">
        <f>(E16-F16)/F16</f>
        <v>-0.33949728954683894</v>
      </c>
    </row>
    <row r="17" spans="1:7">
      <c r="A17" s="325"/>
      <c r="B17" s="346"/>
      <c r="C17" s="348"/>
      <c r="D17" s="346"/>
      <c r="E17" s="350"/>
      <c r="F17" s="347"/>
      <c r="G17" s="350"/>
    </row>
    <row r="18" spans="1:7">
      <c r="A18" s="328">
        <v>87149200206</v>
      </c>
      <c r="B18" s="351"/>
      <c r="C18" s="354"/>
      <c r="D18" s="355"/>
      <c r="E18" s="356"/>
      <c r="F18" s="357"/>
      <c r="G18" s="356"/>
    </row>
    <row r="19" spans="1:7">
      <c r="A19" s="325" t="s">
        <v>57</v>
      </c>
      <c r="B19" s="346">
        <f>零件!F19</f>
        <v>731170</v>
      </c>
      <c r="C19" s="347">
        <v>1730157</v>
      </c>
      <c r="D19" s="514">
        <f>(B19-C19)/C19</f>
        <v>-0.57739673336003616</v>
      </c>
      <c r="E19" s="346">
        <f>零件!G19</f>
        <v>9519018</v>
      </c>
      <c r="F19" s="347">
        <v>18432089</v>
      </c>
      <c r="G19" s="514">
        <f>(E19-F19)/F19</f>
        <v>-0.48356271500208142</v>
      </c>
    </row>
    <row r="20" spans="1:7">
      <c r="A20" s="325"/>
      <c r="B20" s="346"/>
      <c r="C20" s="348"/>
      <c r="D20" s="346"/>
      <c r="E20" s="350"/>
      <c r="F20" s="347"/>
      <c r="G20" s="350"/>
    </row>
    <row r="21" spans="1:7">
      <c r="A21" s="328">
        <v>87149200304</v>
      </c>
      <c r="B21" s="351"/>
      <c r="C21" s="354"/>
      <c r="D21" s="355"/>
      <c r="E21" s="356"/>
      <c r="F21" s="357"/>
      <c r="G21" s="356"/>
    </row>
    <row r="22" spans="1:7">
      <c r="A22" s="325" t="s">
        <v>58</v>
      </c>
      <c r="B22" s="346">
        <f>零件!F22</f>
        <v>636902</v>
      </c>
      <c r="C22" s="347">
        <v>1020605</v>
      </c>
      <c r="D22" s="513">
        <f>(B22-C22)/C22</f>
        <v>-0.37595641800696644</v>
      </c>
      <c r="E22" s="346">
        <f>零件!G22</f>
        <v>76171795</v>
      </c>
      <c r="F22" s="347">
        <v>94390049</v>
      </c>
      <c r="G22" s="514">
        <f>(E22-F22)/F22</f>
        <v>-0.19301032463708118</v>
      </c>
    </row>
    <row r="23" spans="1:7">
      <c r="A23" s="328">
        <v>87149310007</v>
      </c>
      <c r="B23" s="351"/>
      <c r="C23" s="354"/>
      <c r="D23" s="355"/>
      <c r="E23" s="356"/>
      <c r="F23" s="357"/>
      <c r="G23" s="356"/>
    </row>
    <row r="24" spans="1:7">
      <c r="A24" s="325" t="s">
        <v>74</v>
      </c>
      <c r="B24" s="346">
        <f>零件!F24</f>
        <v>809473</v>
      </c>
      <c r="C24" s="347">
        <v>1635499</v>
      </c>
      <c r="D24" s="514">
        <f>(B24-C24)/C24</f>
        <v>-0.50506053504159898</v>
      </c>
      <c r="E24" s="346">
        <f>零件!G24</f>
        <v>43843951</v>
      </c>
      <c r="F24" s="347">
        <v>90907273</v>
      </c>
      <c r="G24" s="514">
        <f>(E24-F24)/F24</f>
        <v>-0.51770689458477104</v>
      </c>
    </row>
    <row r="25" spans="1:7">
      <c r="A25" s="325" t="s">
        <v>101</v>
      </c>
      <c r="B25" s="346"/>
      <c r="C25" s="348"/>
      <c r="D25" s="514"/>
      <c r="E25" s="350"/>
      <c r="F25" s="347"/>
      <c r="G25" s="514"/>
    </row>
    <row r="26" spans="1:7">
      <c r="A26" s="328">
        <v>87149320103</v>
      </c>
      <c r="B26" s="351"/>
      <c r="C26" s="544"/>
      <c r="D26" s="548"/>
      <c r="E26" s="546"/>
      <c r="F26" s="547"/>
      <c r="G26" s="548"/>
    </row>
    <row r="27" spans="1:7">
      <c r="A27" s="325" t="s">
        <v>408</v>
      </c>
      <c r="B27" s="346">
        <f>零件!F28</f>
        <v>19883</v>
      </c>
      <c r="C27" s="347">
        <v>38692</v>
      </c>
      <c r="D27" s="514">
        <f t="shared" ref="D27" si="0">(B27-C27)/C27</f>
        <v>-0.48612116199731209</v>
      </c>
      <c r="E27" s="346">
        <f>零件!G28</f>
        <v>706049</v>
      </c>
      <c r="F27" s="347">
        <v>1297797</v>
      </c>
      <c r="G27" s="514">
        <f t="shared" ref="G27" si="1">(E27-F27)/F27</f>
        <v>-0.4559634519112003</v>
      </c>
    </row>
    <row r="28" spans="1:7">
      <c r="A28" s="328">
        <v>87149410006</v>
      </c>
      <c r="B28" s="351"/>
      <c r="C28" s="354"/>
      <c r="D28" s="355"/>
      <c r="E28" s="356"/>
      <c r="F28" s="357"/>
      <c r="G28" s="356"/>
    </row>
    <row r="29" spans="1:7">
      <c r="A29" s="325" t="s">
        <v>77</v>
      </c>
      <c r="B29" s="346">
        <f>零件!F30</f>
        <v>170671</v>
      </c>
      <c r="C29" s="347">
        <v>353111</v>
      </c>
      <c r="D29" s="514">
        <f>(B29-C29)/C29</f>
        <v>-0.51666473148669967</v>
      </c>
      <c r="E29" s="346">
        <f>零件!G30</f>
        <v>4556666</v>
      </c>
      <c r="F29" s="347">
        <v>8742630</v>
      </c>
      <c r="G29" s="513">
        <f>(E29-F29)/F29</f>
        <v>-0.47879917141638156</v>
      </c>
    </row>
    <row r="30" spans="1:7">
      <c r="A30" s="325" t="s">
        <v>78</v>
      </c>
      <c r="B30" s="346"/>
      <c r="C30" s="348"/>
      <c r="D30" s="346"/>
      <c r="E30" s="350"/>
      <c r="F30" s="347"/>
      <c r="G30" s="350"/>
    </row>
    <row r="31" spans="1:7">
      <c r="A31" s="328">
        <v>87149490009</v>
      </c>
      <c r="B31" s="351"/>
      <c r="C31" s="354"/>
      <c r="D31" s="355"/>
      <c r="E31" s="356"/>
      <c r="F31" s="357"/>
      <c r="G31" s="356"/>
    </row>
    <row r="32" spans="1:7">
      <c r="A32" s="325" t="s">
        <v>79</v>
      </c>
      <c r="B32" s="346">
        <f>零件!F33</f>
        <v>3379412</v>
      </c>
      <c r="C32" s="347">
        <v>9310044</v>
      </c>
      <c r="D32" s="513">
        <f>(B32-C32)/C32</f>
        <v>-0.63701439005014371</v>
      </c>
      <c r="E32" s="346">
        <f>零件!G33</f>
        <v>172042646</v>
      </c>
      <c r="F32" s="347">
        <v>398074000</v>
      </c>
      <c r="G32" s="514">
        <f>(E32-F32)/F32</f>
        <v>-0.56781240171425418</v>
      </c>
    </row>
    <row r="33" spans="1:7">
      <c r="A33" s="325" t="s">
        <v>80</v>
      </c>
      <c r="B33" s="346"/>
      <c r="C33" s="348"/>
      <c r="D33" s="346"/>
      <c r="E33" s="350"/>
      <c r="F33" s="347"/>
      <c r="G33" s="350"/>
    </row>
    <row r="34" spans="1:7">
      <c r="A34" s="328">
        <v>87149500007</v>
      </c>
      <c r="B34" s="355"/>
      <c r="C34" s="354"/>
      <c r="D34" s="355"/>
      <c r="E34" s="356"/>
      <c r="F34" s="357"/>
      <c r="G34" s="356"/>
    </row>
    <row r="35" spans="1:7">
      <c r="A35" s="325" t="s">
        <v>81</v>
      </c>
      <c r="B35" s="346">
        <f>零件!F36</f>
        <v>1225596</v>
      </c>
      <c r="C35" s="347">
        <v>2361716</v>
      </c>
      <c r="D35" s="514">
        <f>(B35-C35)/C35</f>
        <v>-0.48105699415171005</v>
      </c>
      <c r="E35" s="346">
        <f>零件!G36</f>
        <v>30390630</v>
      </c>
      <c r="F35" s="347">
        <v>55226509</v>
      </c>
      <c r="G35" s="514">
        <f>(E35-F35)/F35</f>
        <v>-0.4497093777917413</v>
      </c>
    </row>
    <row r="36" spans="1:7">
      <c r="A36" s="328">
        <v>87149610004</v>
      </c>
      <c r="B36" s="355"/>
      <c r="C36" s="354"/>
      <c r="D36" s="355"/>
      <c r="E36" s="356"/>
      <c r="F36" s="357"/>
      <c r="G36" s="356"/>
    </row>
    <row r="37" spans="1:7">
      <c r="A37" s="325" t="s">
        <v>82</v>
      </c>
      <c r="B37" s="346">
        <f>零件!F38</f>
        <v>1662750</v>
      </c>
      <c r="C37" s="347">
        <v>4169025</v>
      </c>
      <c r="D37" s="514">
        <f>(B37-C37)/C37</f>
        <v>-0.60116574019105185</v>
      </c>
      <c r="E37" s="346">
        <f>零件!G38</f>
        <v>41414219</v>
      </c>
      <c r="F37" s="347">
        <v>93362732</v>
      </c>
      <c r="G37" s="514">
        <f>(E37-F37)/F37</f>
        <v>-0.55641594763957847</v>
      </c>
    </row>
    <row r="38" spans="1:7">
      <c r="A38" s="328">
        <v>87149620002</v>
      </c>
      <c r="B38" s="351"/>
      <c r="C38" s="354"/>
      <c r="D38" s="355"/>
      <c r="E38" s="356"/>
      <c r="F38" s="357"/>
      <c r="G38" s="356"/>
    </row>
    <row r="39" spans="1:7">
      <c r="A39" s="325" t="s">
        <v>83</v>
      </c>
      <c r="B39" s="346">
        <f>零件!F40</f>
        <v>1627775</v>
      </c>
      <c r="C39" s="347">
        <v>3517262</v>
      </c>
      <c r="D39" s="513">
        <f>(B39-C39)/C39</f>
        <v>-0.53720393874553563</v>
      </c>
      <c r="E39" s="346">
        <f>零件!G40</f>
        <v>86544229</v>
      </c>
      <c r="F39" s="347">
        <v>144727642</v>
      </c>
      <c r="G39" s="513">
        <f>(E39-F39)/F39</f>
        <v>-0.40202004396644558</v>
      </c>
    </row>
    <row r="40" spans="1:7">
      <c r="A40" s="325" t="s">
        <v>78</v>
      </c>
      <c r="B40" s="346"/>
      <c r="C40" s="350"/>
      <c r="D40" s="346"/>
      <c r="E40" s="350"/>
      <c r="F40" s="347"/>
      <c r="G40" s="350"/>
    </row>
    <row r="41" spans="1:7">
      <c r="A41" s="328">
        <v>73151100209</v>
      </c>
      <c r="B41" s="351"/>
      <c r="C41" s="355"/>
      <c r="D41" s="355"/>
      <c r="E41" s="356"/>
      <c r="F41" s="356"/>
      <c r="G41" s="356"/>
    </row>
    <row r="42" spans="1:7">
      <c r="A42" s="325" t="s">
        <v>84</v>
      </c>
      <c r="B42" s="346">
        <f>零件!F43</f>
        <v>1096344</v>
      </c>
      <c r="C42" s="347">
        <v>2582662</v>
      </c>
      <c r="D42" s="514">
        <f>(B42-C42)/C42</f>
        <v>-0.5754984585671683</v>
      </c>
      <c r="E42" s="346">
        <f>零件!G43</f>
        <v>28938588</v>
      </c>
      <c r="F42" s="347">
        <v>59384044</v>
      </c>
      <c r="G42" s="514">
        <f>(E42-F42)/F42</f>
        <v>-0.51268748217955651</v>
      </c>
    </row>
    <row r="43" spans="1:7">
      <c r="A43" s="325" t="s">
        <v>85</v>
      </c>
      <c r="B43" s="346"/>
      <c r="C43" s="348"/>
      <c r="D43" s="346"/>
      <c r="E43" s="350"/>
      <c r="F43" s="347"/>
      <c r="G43" s="350"/>
    </row>
    <row r="44" spans="1:7">
      <c r="A44" s="328">
        <v>87149990111</v>
      </c>
      <c r="B44" s="351"/>
      <c r="C44" s="354"/>
      <c r="D44" s="355"/>
      <c r="E44" s="356"/>
      <c r="F44" s="357"/>
      <c r="G44" s="356"/>
    </row>
    <row r="45" spans="1:7">
      <c r="A45" s="329" t="s">
        <v>86</v>
      </c>
      <c r="B45" s="346">
        <f>零件!F46</f>
        <v>825334</v>
      </c>
      <c r="C45" s="347">
        <v>2087374</v>
      </c>
      <c r="D45" s="513">
        <f>(B45-C45)/C45</f>
        <v>-0.60460655349736081</v>
      </c>
      <c r="E45" s="346">
        <f>零件!G46</f>
        <v>94259642</v>
      </c>
      <c r="F45" s="347">
        <v>168590623</v>
      </c>
      <c r="G45" s="513">
        <f>(E45-F45)/F45</f>
        <v>-0.44089629468894009</v>
      </c>
    </row>
    <row r="46" spans="1:7">
      <c r="A46" s="325" t="s">
        <v>87</v>
      </c>
      <c r="B46" s="346"/>
      <c r="C46" s="348"/>
      <c r="D46" s="513"/>
      <c r="E46" s="350"/>
      <c r="F46" s="347"/>
      <c r="G46" s="350"/>
    </row>
    <row r="47" spans="1:7">
      <c r="A47" s="328">
        <v>87149320906</v>
      </c>
      <c r="B47" s="351"/>
      <c r="C47" s="544"/>
      <c r="D47" s="545"/>
      <c r="E47" s="546"/>
      <c r="F47" s="547"/>
      <c r="G47" s="356"/>
    </row>
    <row r="48" spans="1:7">
      <c r="A48" s="325" t="s">
        <v>411</v>
      </c>
      <c r="B48" s="346">
        <f>零件!F49</f>
        <v>1818072</v>
      </c>
      <c r="C48" s="347">
        <v>2808114</v>
      </c>
      <c r="D48" s="513">
        <f t="shared" ref="D48" si="2">(B48-C48)/C48</f>
        <v>-0.35256474630303469</v>
      </c>
      <c r="E48" s="346">
        <f>零件!G49</f>
        <v>90263899</v>
      </c>
      <c r="F48" s="347">
        <v>115460594</v>
      </c>
      <c r="G48" s="514">
        <f t="shared" ref="G48" si="3">(E48-F48)/F48</f>
        <v>-0.21822765782757017</v>
      </c>
    </row>
    <row r="49" spans="1:7">
      <c r="A49" s="328">
        <v>87149990139</v>
      </c>
      <c r="B49" s="351"/>
      <c r="C49" s="354"/>
      <c r="D49" s="355"/>
      <c r="E49" s="356"/>
      <c r="F49" s="357"/>
      <c r="G49" s="548"/>
    </row>
    <row r="50" spans="1:7">
      <c r="A50" s="325" t="s">
        <v>88</v>
      </c>
      <c r="B50" s="346">
        <f>零件!F51</f>
        <v>198861</v>
      </c>
      <c r="C50" s="347">
        <v>314228</v>
      </c>
      <c r="D50" s="514">
        <f>(B50-C50)/C50</f>
        <v>-0.36714423921483763</v>
      </c>
      <c r="E50" s="346">
        <f>零件!G51</f>
        <v>3664320</v>
      </c>
      <c r="F50" s="347">
        <v>7407620</v>
      </c>
      <c r="G50" s="514">
        <f>(E50-F50)/F50</f>
        <v>-0.50533099700038608</v>
      </c>
    </row>
    <row r="51" spans="1:7">
      <c r="A51" s="328">
        <v>87149990148</v>
      </c>
      <c r="B51" s="351"/>
      <c r="C51" s="354"/>
      <c r="D51" s="355"/>
      <c r="E51" s="356"/>
      <c r="F51" s="357"/>
      <c r="G51" s="356"/>
    </row>
    <row r="52" spans="1:7">
      <c r="A52" s="330" t="s">
        <v>89</v>
      </c>
      <c r="B52" s="346">
        <f>零件!F53</f>
        <v>679609</v>
      </c>
      <c r="C52" s="347">
        <v>1409022</v>
      </c>
      <c r="D52" s="514">
        <f>(B52-C52)/C52</f>
        <v>-0.51767325137577691</v>
      </c>
      <c r="E52" s="346">
        <f>零件!G53</f>
        <v>26366998</v>
      </c>
      <c r="F52" s="347">
        <v>47815428</v>
      </c>
      <c r="G52" s="514">
        <f>(E52-F52)/F52</f>
        <v>-0.44856714447897444</v>
      </c>
    </row>
    <row r="53" spans="1:7">
      <c r="A53" s="325" t="s">
        <v>90</v>
      </c>
      <c r="B53" s="346"/>
      <c r="C53" s="348"/>
      <c r="D53" s="346"/>
      <c r="E53" s="350"/>
      <c r="F53" s="347"/>
      <c r="G53" s="350"/>
    </row>
    <row r="54" spans="1:7">
      <c r="A54" s="328">
        <v>87149990157</v>
      </c>
      <c r="B54" s="351"/>
      <c r="C54" s="354"/>
      <c r="D54" s="355"/>
      <c r="E54" s="356"/>
      <c r="F54" s="357"/>
      <c r="G54" s="356"/>
    </row>
    <row r="55" spans="1:7">
      <c r="A55" s="325" t="s">
        <v>91</v>
      </c>
      <c r="B55" s="346">
        <f>零件!F56</f>
        <v>1216781</v>
      </c>
      <c r="C55" s="347">
        <v>2574252</v>
      </c>
      <c r="D55" s="514">
        <f>(B55-C55)/C55</f>
        <v>-0.52732638451868741</v>
      </c>
      <c r="E55" s="346">
        <f>零件!G56</f>
        <v>53807272</v>
      </c>
      <c r="F55" s="347">
        <v>113689707</v>
      </c>
      <c r="G55" s="514">
        <f>(E55-F55)/F55</f>
        <v>-0.52671817511149011</v>
      </c>
    </row>
    <row r="56" spans="1:7">
      <c r="A56" s="325" t="s">
        <v>92</v>
      </c>
      <c r="B56" s="346"/>
      <c r="C56" s="348"/>
      <c r="D56" s="346"/>
      <c r="E56" s="350"/>
      <c r="F56" s="347"/>
      <c r="G56" s="350"/>
    </row>
    <row r="57" spans="1:7">
      <c r="A57" s="328">
        <v>87149990166</v>
      </c>
      <c r="B57" s="351"/>
      <c r="C57" s="354"/>
      <c r="D57" s="355"/>
      <c r="E57" s="356"/>
      <c r="F57" s="357"/>
      <c r="G57" s="356"/>
    </row>
    <row r="58" spans="1:7">
      <c r="A58" s="325" t="s">
        <v>89</v>
      </c>
      <c r="B58" s="346">
        <f>零件!F59</f>
        <v>1338072</v>
      </c>
      <c r="C58" s="347">
        <v>2408259</v>
      </c>
      <c r="D58" s="514">
        <f>(B58-C58)/C58</f>
        <v>-0.44438202037239349</v>
      </c>
      <c r="E58" s="346">
        <f>零件!G59</f>
        <v>46572891</v>
      </c>
      <c r="F58" s="347">
        <v>72990667</v>
      </c>
      <c r="G58" s="514">
        <f>(E58-F58)/F58</f>
        <v>-0.3619336154305865</v>
      </c>
    </row>
    <row r="59" spans="1:7">
      <c r="A59" s="328">
        <v>40115000008</v>
      </c>
      <c r="B59" s="355"/>
      <c r="C59" s="355"/>
      <c r="D59" s="355"/>
      <c r="E59" s="356"/>
      <c r="F59" s="356"/>
      <c r="G59" s="356"/>
    </row>
    <row r="60" spans="1:7">
      <c r="A60" s="325" t="s">
        <v>93</v>
      </c>
      <c r="B60" s="346">
        <f>零件!F61</f>
        <v>3961324</v>
      </c>
      <c r="C60" s="347">
        <v>8033728</v>
      </c>
      <c r="D60" s="514">
        <f>(B60-C60)/C60</f>
        <v>-0.50691335330247678</v>
      </c>
      <c r="E60" s="346">
        <f>零件!G61</f>
        <v>69798040</v>
      </c>
      <c r="F60" s="347">
        <v>139263251</v>
      </c>
      <c r="G60" s="514">
        <f>(E60-F60)/F60</f>
        <v>-0.49880503651318608</v>
      </c>
    </row>
    <row r="61" spans="1:7">
      <c r="A61" s="325" t="s">
        <v>94</v>
      </c>
      <c r="B61" s="346"/>
      <c r="C61" s="346"/>
      <c r="D61" s="349"/>
      <c r="E61" s="350"/>
      <c r="F61" s="347"/>
      <c r="G61" s="350"/>
    </row>
    <row r="62" spans="1:7">
      <c r="A62" s="328">
        <v>40132000003</v>
      </c>
      <c r="B62" s="541"/>
      <c r="C62" s="355"/>
      <c r="D62" s="355"/>
      <c r="E62" s="356"/>
      <c r="F62" s="356"/>
      <c r="G62" s="356"/>
    </row>
    <row r="63" spans="1:7">
      <c r="A63" s="325" t="s">
        <v>95</v>
      </c>
      <c r="B63" s="346">
        <f>零件!F64</f>
        <v>533421</v>
      </c>
      <c r="C63" s="347">
        <v>1934740</v>
      </c>
      <c r="D63" s="514">
        <f>(B63-C63)/C63</f>
        <v>-0.72429318668141451</v>
      </c>
      <c r="E63" s="346">
        <f>零件!G64</f>
        <v>5473808</v>
      </c>
      <c r="F63" s="347">
        <v>20790503</v>
      </c>
      <c r="G63" s="514">
        <f>(E63-F63)/F63</f>
        <v>-0.73671594188942902</v>
      </c>
    </row>
    <row r="64" spans="1:7">
      <c r="A64" s="325" t="s">
        <v>96</v>
      </c>
      <c r="B64" s="346"/>
      <c r="C64" s="348"/>
      <c r="D64" s="349"/>
      <c r="E64" s="350"/>
      <c r="F64" s="347"/>
      <c r="G64" s="350"/>
    </row>
    <row r="65" spans="1:7">
      <c r="A65" s="359" t="s">
        <v>97</v>
      </c>
      <c r="B65" s="360">
        <f>SUM(B6:B64)-B64-B61-B20-B17-B11-B8</f>
        <v>33511178</v>
      </c>
      <c r="C65" s="451">
        <v>69730105</v>
      </c>
      <c r="D65" s="512">
        <f>(B65-C65)/C65</f>
        <v>-0.51941592515886792</v>
      </c>
      <c r="E65" s="450">
        <f>SUM(E7:E64)</f>
        <v>1583021049</v>
      </c>
      <c r="F65" s="209">
        <v>2790167204</v>
      </c>
      <c r="G65" s="515">
        <f>(E65-F65)/F65</f>
        <v>-0.43264294457673658</v>
      </c>
    </row>
    <row r="66" spans="1:7">
      <c r="E66" s="5"/>
    </row>
    <row r="67" spans="1:7">
      <c r="A67" s="54" t="s">
        <v>32</v>
      </c>
    </row>
  </sheetData>
  <phoneticPr fontId="3" type="noConversion"/>
  <conditionalFormatting sqref="C41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C59">
    <cfRule type="cellIs" dxfId="27" priority="9" operator="greaterThanOrEqual">
      <formula>0</formula>
    </cfRule>
    <cfRule type="cellIs" dxfId="26" priority="10" operator="lessThan">
      <formula>0</formula>
    </cfRule>
  </conditionalFormatting>
  <conditionalFormatting sqref="C62">
    <cfRule type="cellIs" dxfId="25" priority="7" operator="greaterThanOrEqual">
      <formula>0</formula>
    </cfRule>
    <cfRule type="cellIs" dxfId="24" priority="8" operator="lessThan">
      <formula>0</formula>
    </cfRule>
  </conditionalFormatting>
  <conditionalFormatting sqref="D1:D3 D6:D7 D9:D1048576">
    <cfRule type="cellIs" dxfId="23" priority="15" operator="greaterThanOrEqual">
      <formula>0</formula>
    </cfRule>
    <cfRule type="cellIs" dxfId="22" priority="16" operator="lessThan">
      <formula>0</formula>
    </cfRule>
  </conditionalFormatting>
  <conditionalFormatting sqref="F41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F59">
    <cfRule type="cellIs" dxfId="19" priority="3" operator="greaterThanOrEqual">
      <formula>0</formula>
    </cfRule>
    <cfRule type="cellIs" dxfId="18" priority="4" operator="lessThan">
      <formula>0</formula>
    </cfRule>
  </conditionalFormatting>
  <conditionalFormatting sqref="F62">
    <cfRule type="cellIs" dxfId="17" priority="1" operator="greaterThanOrEqual">
      <formula>0</formula>
    </cfRule>
    <cfRule type="cellIs" dxfId="16" priority="2" operator="lessThan">
      <formula>0</formula>
    </cfRule>
  </conditionalFormatting>
  <conditionalFormatting sqref="G1:G3 G6:G1048576">
    <cfRule type="cellIs" dxfId="15" priority="13" operator="greaterThanOrEqual">
      <formula>0</formula>
    </cfRule>
    <cfRule type="cellIs" dxfId="14" priority="14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S67"/>
  <sheetViews>
    <sheetView workbookViewId="0">
      <selection activeCell="A2" sqref="A2"/>
    </sheetView>
  </sheetViews>
  <sheetFormatPr defaultColWidth="10" defaultRowHeight="16.5"/>
  <cols>
    <col min="1" max="1" width="22.375" style="13" customWidth="1"/>
    <col min="2" max="2" width="16.625" style="318" customWidth="1"/>
    <col min="3" max="3" width="17.25" style="361" customWidth="1"/>
    <col min="4" max="4" width="15.75" style="362" customWidth="1"/>
    <col min="5" max="5" width="16.75" style="318" customWidth="1"/>
    <col min="6" max="6" width="16.875" style="361" customWidth="1"/>
    <col min="7" max="7" width="14.875" style="362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5" customFormat="1" ht="21">
      <c r="A1" s="334" t="s">
        <v>491</v>
      </c>
      <c r="B1" s="335"/>
      <c r="C1" s="336"/>
      <c r="D1" s="337"/>
      <c r="E1" s="335"/>
      <c r="F1" s="336"/>
      <c r="G1" s="337"/>
    </row>
    <row r="2" spans="1:7" s="315" customFormat="1" ht="9" customHeight="1">
      <c r="B2" s="316"/>
      <c r="C2" s="338"/>
      <c r="D2" s="339"/>
      <c r="E2" s="316"/>
      <c r="F2" s="338"/>
      <c r="G2" s="339"/>
    </row>
    <row r="3" spans="1:7" s="315" customFormat="1" ht="9" customHeight="1">
      <c r="A3" s="317"/>
      <c r="B3" s="316"/>
      <c r="C3" s="338"/>
      <c r="D3" s="339"/>
      <c r="E3" s="316"/>
      <c r="F3" s="338"/>
      <c r="G3" s="339"/>
    </row>
    <row r="4" spans="1:7">
      <c r="A4" s="524" t="s">
        <v>98</v>
      </c>
      <c r="B4" s="526" t="s">
        <v>424</v>
      </c>
      <c r="C4" s="70" t="s">
        <v>425</v>
      </c>
      <c r="D4" s="528" t="s">
        <v>37</v>
      </c>
      <c r="E4" s="527" t="s">
        <v>424</v>
      </c>
      <c r="F4" s="525" t="s">
        <v>425</v>
      </c>
      <c r="G4" s="200" t="s">
        <v>37</v>
      </c>
    </row>
    <row r="5" spans="1:7" s="315" customFormat="1" ht="18" customHeight="1">
      <c r="A5" s="45"/>
      <c r="B5" s="76" t="s">
        <v>99</v>
      </c>
      <c r="C5" s="75" t="s">
        <v>99</v>
      </c>
      <c r="D5" s="201" t="s">
        <v>2</v>
      </c>
      <c r="E5" s="76" t="s">
        <v>34</v>
      </c>
      <c r="F5" s="75" t="s">
        <v>34</v>
      </c>
      <c r="G5" s="201" t="s">
        <v>2</v>
      </c>
    </row>
    <row r="6" spans="1:7">
      <c r="A6" s="341">
        <v>85121010001</v>
      </c>
      <c r="B6" s="342"/>
      <c r="C6" s="343"/>
      <c r="D6" s="344"/>
      <c r="E6" s="342"/>
      <c r="F6" s="343"/>
      <c r="G6" s="345"/>
    </row>
    <row r="7" spans="1:7">
      <c r="A7" s="325" t="s">
        <v>65</v>
      </c>
      <c r="B7" s="346">
        <f>零件!L7</f>
        <v>40946</v>
      </c>
      <c r="C7" s="347">
        <v>77120</v>
      </c>
      <c r="D7" s="513">
        <f>(B7-C7)/C7</f>
        <v>-0.46906120331950207</v>
      </c>
      <c r="E7" s="346">
        <f>零件!M7</f>
        <v>2697933</v>
      </c>
      <c r="F7" s="347">
        <v>4664562</v>
      </c>
      <c r="G7" s="513">
        <f>(E7-F7)/F7</f>
        <v>-0.42161064640152707</v>
      </c>
    </row>
    <row r="8" spans="1:7">
      <c r="A8" s="325" t="s">
        <v>66</v>
      </c>
      <c r="B8" s="346"/>
      <c r="C8" s="350"/>
      <c r="D8" s="349"/>
      <c r="E8" s="350"/>
      <c r="F8" s="347"/>
      <c r="G8" s="350"/>
    </row>
    <row r="9" spans="1:7">
      <c r="A9" s="327">
        <v>85121020009</v>
      </c>
      <c r="B9" s="351"/>
      <c r="C9" s="352"/>
      <c r="D9" s="352"/>
      <c r="E9" s="351"/>
      <c r="F9" s="351"/>
      <c r="G9" s="351"/>
    </row>
    <row r="10" spans="1:7">
      <c r="A10" s="325" t="s">
        <v>68</v>
      </c>
      <c r="B10" s="346">
        <f>零件!L10</f>
        <v>21438</v>
      </c>
      <c r="C10" s="347">
        <v>37207</v>
      </c>
      <c r="D10" s="513">
        <f>(B10-C10)/C10</f>
        <v>-0.42381809874485982</v>
      </c>
      <c r="E10" s="346">
        <f>零件!M10</f>
        <v>1770415</v>
      </c>
      <c r="F10" s="347">
        <v>2759488</v>
      </c>
      <c r="G10" s="514">
        <f>(E10-F10)/F10</f>
        <v>-0.35842627327968085</v>
      </c>
    </row>
    <row r="11" spans="1:7">
      <c r="A11" s="325" t="s">
        <v>69</v>
      </c>
      <c r="B11" s="346"/>
      <c r="C11" s="350"/>
      <c r="D11" s="353"/>
      <c r="E11" s="350"/>
      <c r="F11" s="347"/>
      <c r="G11" s="350"/>
    </row>
    <row r="12" spans="1:7">
      <c r="A12" s="328">
        <v>87149120007</v>
      </c>
      <c r="B12" s="351"/>
      <c r="C12" s="352"/>
      <c r="D12" s="355"/>
      <c r="E12" s="356"/>
      <c r="F12" s="351"/>
      <c r="G12" s="356"/>
    </row>
    <row r="13" spans="1:7">
      <c r="A13" s="325" t="s">
        <v>71</v>
      </c>
      <c r="B13" s="346">
        <f>零件!L13</f>
        <v>5335768</v>
      </c>
      <c r="C13" s="347">
        <v>10702741</v>
      </c>
      <c r="D13" s="513">
        <f>(B13-C13)/C13</f>
        <v>-0.50145780412699892</v>
      </c>
      <c r="E13" s="346">
        <f>零件!M13</f>
        <v>358189512</v>
      </c>
      <c r="F13" s="347">
        <v>491334426</v>
      </c>
      <c r="G13" s="513">
        <f>(E13-F13)/F13</f>
        <v>-0.27098633222985274</v>
      </c>
    </row>
    <row r="14" spans="1:7">
      <c r="A14" s="325" t="s">
        <v>72</v>
      </c>
      <c r="B14" s="353"/>
      <c r="C14" s="480"/>
      <c r="D14" s="346"/>
      <c r="E14" s="350"/>
      <c r="F14" s="347"/>
      <c r="G14" s="350"/>
    </row>
    <row r="15" spans="1:7">
      <c r="A15" s="328">
        <v>87149200108</v>
      </c>
      <c r="B15" s="351"/>
      <c r="C15" s="354"/>
      <c r="D15" s="355"/>
      <c r="E15" s="356"/>
      <c r="F15" s="357"/>
      <c r="G15" s="356"/>
    </row>
    <row r="16" spans="1:7">
      <c r="A16" s="325" t="s">
        <v>73</v>
      </c>
      <c r="B16" s="346">
        <f>零件!L16</f>
        <v>768147</v>
      </c>
      <c r="C16" s="347">
        <v>1488300</v>
      </c>
      <c r="D16" s="513">
        <f>(B16-C16)/C16</f>
        <v>-0.48387623463011492</v>
      </c>
      <c r="E16" s="346">
        <f>零件!M16</f>
        <v>55415667</v>
      </c>
      <c r="F16" s="347">
        <v>81617056</v>
      </c>
      <c r="G16" s="513">
        <f>(E16-F16)/F16</f>
        <v>-0.32102835221108683</v>
      </c>
    </row>
    <row r="17" spans="1:71">
      <c r="A17" s="325"/>
      <c r="B17" s="346"/>
      <c r="C17" s="348"/>
      <c r="D17" s="346"/>
      <c r="E17" s="350"/>
      <c r="F17" s="347"/>
      <c r="G17" s="350"/>
    </row>
    <row r="18" spans="1:71">
      <c r="A18" s="328">
        <v>87149200206</v>
      </c>
      <c r="B18" s="351"/>
      <c r="C18" s="354"/>
      <c r="D18" s="355"/>
      <c r="E18" s="356"/>
      <c r="F18" s="357"/>
      <c r="G18" s="356"/>
    </row>
    <row r="19" spans="1:71">
      <c r="A19" s="325" t="s">
        <v>57</v>
      </c>
      <c r="B19" s="346">
        <f>零件!L19</f>
        <v>95141</v>
      </c>
      <c r="C19" s="347">
        <v>190522</v>
      </c>
      <c r="D19" s="513">
        <f>(B19-C19)/C19</f>
        <v>-0.50062984852143055</v>
      </c>
      <c r="E19" s="346">
        <f>零件!M19</f>
        <v>7609302</v>
      </c>
      <c r="F19" s="347">
        <v>12912995</v>
      </c>
      <c r="G19" s="514">
        <f>(E19-F19)/F19</f>
        <v>-0.41072524228500051</v>
      </c>
    </row>
    <row r="20" spans="1:71">
      <c r="A20" s="325"/>
      <c r="B20" s="346"/>
      <c r="C20" s="348"/>
      <c r="D20" s="346"/>
      <c r="E20" s="350"/>
      <c r="F20" s="347"/>
      <c r="G20" s="350"/>
    </row>
    <row r="21" spans="1:71">
      <c r="A21" s="328">
        <v>87149200304</v>
      </c>
      <c r="B21" s="351"/>
      <c r="C21" s="354"/>
      <c r="D21" s="355"/>
      <c r="E21" s="356"/>
      <c r="F21" s="357"/>
      <c r="G21" s="356"/>
    </row>
    <row r="22" spans="1:71">
      <c r="A22" s="325" t="s">
        <v>58</v>
      </c>
      <c r="B22" s="346">
        <f>零件!L22</f>
        <v>205168</v>
      </c>
      <c r="C22" s="347">
        <v>303003</v>
      </c>
      <c r="D22" s="514">
        <f>(B22-C22)/C22</f>
        <v>-0.32288459190173036</v>
      </c>
      <c r="E22" s="346">
        <f>零件!M22</f>
        <v>8033472</v>
      </c>
      <c r="F22" s="347">
        <v>10507208</v>
      </c>
      <c r="G22" s="513">
        <f>(E22-F22)/F22</f>
        <v>-0.23543228610302566</v>
      </c>
    </row>
    <row r="23" spans="1:71">
      <c r="A23" s="328">
        <v>87149310007</v>
      </c>
      <c r="B23" s="351"/>
      <c r="C23" s="354"/>
      <c r="D23" s="355"/>
      <c r="E23" s="356"/>
      <c r="F23" s="357"/>
      <c r="G23" s="356"/>
    </row>
    <row r="24" spans="1:71">
      <c r="A24" s="325" t="s">
        <v>74</v>
      </c>
      <c r="B24" s="346">
        <f>零件!L24</f>
        <v>976204</v>
      </c>
      <c r="C24" s="347">
        <v>2135248</v>
      </c>
      <c r="D24" s="514">
        <f>(B24-C24)/C24</f>
        <v>-0.54281469880781996</v>
      </c>
      <c r="E24" s="346">
        <f>零件!M24</f>
        <v>37236031</v>
      </c>
      <c r="F24" s="347">
        <v>64697641</v>
      </c>
      <c r="G24" s="514">
        <f>(E24-F24)/F24</f>
        <v>-0.42446076202376531</v>
      </c>
    </row>
    <row r="25" spans="1:71">
      <c r="A25" s="325" t="s">
        <v>101</v>
      </c>
      <c r="B25" s="346"/>
      <c r="C25" s="348"/>
      <c r="D25" s="346"/>
      <c r="E25" s="350"/>
      <c r="F25" s="347"/>
      <c r="G25" s="350"/>
    </row>
    <row r="26" spans="1:71">
      <c r="A26" s="328">
        <v>87149320103</v>
      </c>
      <c r="B26" s="351"/>
      <c r="C26" s="354"/>
      <c r="D26" s="355"/>
      <c r="E26" s="356"/>
      <c r="F26" s="357"/>
      <c r="G26" s="356"/>
    </row>
    <row r="27" spans="1:71">
      <c r="A27" s="325" t="s">
        <v>408</v>
      </c>
      <c r="B27" s="346">
        <f>零件!L28</f>
        <v>81525</v>
      </c>
      <c r="C27" s="347">
        <v>128147</v>
      </c>
      <c r="D27" s="513">
        <f t="shared" ref="D27" si="0">(B27-C27)/C27</f>
        <v>-0.36381655442577665</v>
      </c>
      <c r="E27" s="346">
        <f>零件!M28</f>
        <v>4320284</v>
      </c>
      <c r="F27" s="347">
        <v>5876662</v>
      </c>
      <c r="G27" s="513">
        <f t="shared" ref="G27" si="1">(E27-F27)/F27</f>
        <v>-0.26484048257327036</v>
      </c>
    </row>
    <row r="28" spans="1:71" s="551" customFormat="1">
      <c r="A28" s="549">
        <v>87149410006</v>
      </c>
      <c r="B28" s="550"/>
      <c r="C28" s="544"/>
      <c r="D28" s="545"/>
      <c r="E28" s="546"/>
      <c r="F28" s="547"/>
      <c r="G28" s="545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</row>
    <row r="29" spans="1:71">
      <c r="A29" s="325" t="s">
        <v>77</v>
      </c>
      <c r="B29" s="346">
        <f>零件!L30</f>
        <v>55898</v>
      </c>
      <c r="C29" s="347">
        <v>166612</v>
      </c>
      <c r="D29" s="513">
        <f>(B29-C29)/C29</f>
        <v>-0.66450195664177847</v>
      </c>
      <c r="E29" s="346">
        <f>零件!M30</f>
        <v>3177712</v>
      </c>
      <c r="F29" s="347">
        <v>11052014</v>
      </c>
      <c r="G29" s="513">
        <f>(E29-F29)/F29</f>
        <v>-0.71247665810050553</v>
      </c>
    </row>
    <row r="30" spans="1:71">
      <c r="A30" s="325" t="s">
        <v>78</v>
      </c>
      <c r="B30" s="346"/>
      <c r="C30" s="348"/>
      <c r="D30" s="346"/>
      <c r="E30" s="350"/>
      <c r="F30" s="347"/>
      <c r="G30" s="350"/>
    </row>
    <row r="31" spans="1:71">
      <c r="A31" s="328">
        <v>87149490009</v>
      </c>
      <c r="B31" s="351"/>
      <c r="C31" s="354"/>
      <c r="D31" s="355"/>
      <c r="E31" s="356"/>
      <c r="F31" s="357"/>
      <c r="G31" s="356"/>
    </row>
    <row r="32" spans="1:71">
      <c r="A32" s="325" t="s">
        <v>79</v>
      </c>
      <c r="B32" s="346">
        <f>零件!L33</f>
        <v>1399838</v>
      </c>
      <c r="C32" s="347">
        <v>4055503</v>
      </c>
      <c r="D32" s="513">
        <f>(B32-C32)/C32</f>
        <v>-0.65482999272839892</v>
      </c>
      <c r="E32" s="346">
        <f>零件!M33</f>
        <v>104212031</v>
      </c>
      <c r="F32" s="347">
        <v>156849734</v>
      </c>
      <c r="G32" s="513">
        <f>(E32-F32)/F32</f>
        <v>-0.33559319265405957</v>
      </c>
    </row>
    <row r="33" spans="1:7">
      <c r="A33" s="325" t="s">
        <v>80</v>
      </c>
      <c r="B33" s="346"/>
      <c r="C33" s="348"/>
      <c r="D33" s="346"/>
      <c r="E33" s="350"/>
      <c r="F33" s="347"/>
      <c r="G33" s="350"/>
    </row>
    <row r="34" spans="1:7">
      <c r="A34" s="328">
        <v>87149500007</v>
      </c>
      <c r="B34" s="355"/>
      <c r="C34" s="354"/>
      <c r="D34" s="355"/>
      <c r="E34" s="356"/>
      <c r="F34" s="357"/>
      <c r="G34" s="356"/>
    </row>
    <row r="35" spans="1:7">
      <c r="A35" s="325" t="s">
        <v>81</v>
      </c>
      <c r="B35" s="346">
        <f>零件!L36</f>
        <v>570344</v>
      </c>
      <c r="C35" s="347">
        <v>1768645</v>
      </c>
      <c r="D35" s="513">
        <f>(B35-C35)/C35</f>
        <v>-0.67752488486949047</v>
      </c>
      <c r="E35" s="346">
        <f>零件!M36</f>
        <v>9682694</v>
      </c>
      <c r="F35" s="347">
        <v>28002912</v>
      </c>
      <c r="G35" s="513">
        <f>(E35-F35)/F35</f>
        <v>-0.65422546055210262</v>
      </c>
    </row>
    <row r="36" spans="1:7">
      <c r="A36" s="328">
        <v>87149610004</v>
      </c>
      <c r="B36" s="355"/>
      <c r="C36" s="354"/>
      <c r="D36" s="355"/>
      <c r="E36" s="356"/>
      <c r="F36" s="357"/>
      <c r="G36" s="356"/>
    </row>
    <row r="37" spans="1:7">
      <c r="A37" s="325" t="s">
        <v>82</v>
      </c>
      <c r="B37" s="346">
        <f>零件!L38</f>
        <v>227350</v>
      </c>
      <c r="C37" s="347">
        <v>775273</v>
      </c>
      <c r="D37" s="514">
        <f>(B37-C37)/C37</f>
        <v>-0.70674846150968751</v>
      </c>
      <c r="E37" s="346">
        <f>零件!M38</f>
        <v>3941801</v>
      </c>
      <c r="F37" s="347">
        <v>8530227</v>
      </c>
      <c r="G37" s="514">
        <f>(E37-F37)/F37</f>
        <v>-0.53790198080309004</v>
      </c>
    </row>
    <row r="38" spans="1:7">
      <c r="A38" s="328">
        <v>87149620002</v>
      </c>
      <c r="B38" s="351"/>
      <c r="C38" s="354"/>
      <c r="D38" s="355"/>
      <c r="E38" s="356"/>
      <c r="F38" s="357"/>
      <c r="G38" s="356"/>
    </row>
    <row r="39" spans="1:7">
      <c r="A39" s="325" t="s">
        <v>83</v>
      </c>
      <c r="B39" s="346">
        <f>零件!L40</f>
        <v>1116069</v>
      </c>
      <c r="C39" s="347">
        <v>2466276</v>
      </c>
      <c r="D39" s="514">
        <f>(B39-C39)/C39</f>
        <v>-0.54746792329812233</v>
      </c>
      <c r="E39" s="346">
        <f>零件!M40</f>
        <v>36785663</v>
      </c>
      <c r="F39" s="347">
        <v>52821013</v>
      </c>
      <c r="G39" s="514">
        <f>(E39-F39)/F39</f>
        <v>-0.30357899421580575</v>
      </c>
    </row>
    <row r="40" spans="1:7">
      <c r="A40" s="325" t="s">
        <v>78</v>
      </c>
      <c r="B40" s="346"/>
      <c r="C40" s="346"/>
      <c r="D40" s="346"/>
      <c r="E40" s="350"/>
      <c r="F40" s="347"/>
      <c r="G40" s="350"/>
    </row>
    <row r="41" spans="1:7">
      <c r="A41" s="328">
        <v>73151100209</v>
      </c>
      <c r="B41" s="351"/>
      <c r="C41" s="351"/>
      <c r="D41" s="355"/>
      <c r="E41" s="356"/>
      <c r="F41" s="356"/>
      <c r="G41" s="356"/>
    </row>
    <row r="42" spans="1:7">
      <c r="A42" s="325" t="s">
        <v>84</v>
      </c>
      <c r="B42" s="346">
        <f>零件!L43</f>
        <v>716807</v>
      </c>
      <c r="C42" s="347">
        <v>1985426</v>
      </c>
      <c r="D42" s="514">
        <f>(B42-C42)/C42</f>
        <v>-0.63896564263790234</v>
      </c>
      <c r="E42" s="346">
        <f>零件!M43</f>
        <v>9350969</v>
      </c>
      <c r="F42" s="347">
        <v>18329787</v>
      </c>
      <c r="G42" s="514">
        <f>(E42-F42)/F42</f>
        <v>-0.48984846359644002</v>
      </c>
    </row>
    <row r="43" spans="1:7">
      <c r="A43" s="325" t="s">
        <v>85</v>
      </c>
      <c r="B43" s="346"/>
      <c r="C43" s="348"/>
      <c r="D43" s="346"/>
      <c r="E43" s="350"/>
      <c r="F43" s="347"/>
      <c r="G43" s="350"/>
    </row>
    <row r="44" spans="1:7">
      <c r="A44" s="328">
        <v>87149990111</v>
      </c>
      <c r="B44" s="351"/>
      <c r="C44" s="354"/>
      <c r="D44" s="355"/>
      <c r="E44" s="356"/>
      <c r="F44" s="357"/>
      <c r="G44" s="356"/>
    </row>
    <row r="45" spans="1:7">
      <c r="A45" s="329" t="s">
        <v>86</v>
      </c>
      <c r="B45" s="346">
        <f>零件!L46</f>
        <v>530207</v>
      </c>
      <c r="C45" s="347">
        <v>1456304</v>
      </c>
      <c r="D45" s="513">
        <f>(B45-C45)/C45</f>
        <v>-0.63592285676616966</v>
      </c>
      <c r="E45" s="346">
        <f>零件!M46</f>
        <v>53554344</v>
      </c>
      <c r="F45" s="347">
        <v>74912673</v>
      </c>
      <c r="G45" s="513">
        <f>(E45-F45)/F45</f>
        <v>-0.28510969031901984</v>
      </c>
    </row>
    <row r="46" spans="1:7">
      <c r="A46" s="325" t="s">
        <v>87</v>
      </c>
      <c r="B46" s="346"/>
      <c r="C46" s="348"/>
      <c r="D46" s="346"/>
      <c r="E46" s="350"/>
      <c r="F46" s="347"/>
      <c r="G46" s="350"/>
    </row>
    <row r="47" spans="1:7">
      <c r="A47" s="328">
        <v>87149320906</v>
      </c>
      <c r="B47" s="351"/>
      <c r="C47" s="354"/>
      <c r="D47" s="355"/>
      <c r="E47" s="356"/>
      <c r="F47" s="357"/>
      <c r="G47" s="356"/>
    </row>
    <row r="48" spans="1:7">
      <c r="A48" s="325" t="s">
        <v>410</v>
      </c>
      <c r="B48" s="346">
        <f>零件!L49</f>
        <v>426562</v>
      </c>
      <c r="C48" s="347">
        <v>569991</v>
      </c>
      <c r="D48" s="514">
        <f t="shared" ref="D48" si="2">(B48-C48)/C48</f>
        <v>-0.25163379772663075</v>
      </c>
      <c r="E48" s="346">
        <f>零件!M49</f>
        <v>16864853</v>
      </c>
      <c r="F48" s="347">
        <v>15117626</v>
      </c>
      <c r="G48" s="514">
        <f t="shared" ref="G48" si="3">(E48-F48)/F48</f>
        <v>0.11557548784445389</v>
      </c>
    </row>
    <row r="49" spans="1:7">
      <c r="A49" s="328">
        <v>87149990139</v>
      </c>
      <c r="B49" s="351"/>
      <c r="C49" s="354"/>
      <c r="D49" s="357"/>
      <c r="E49" s="356"/>
      <c r="F49" s="357"/>
      <c r="G49" s="357"/>
    </row>
    <row r="50" spans="1:7">
      <c r="A50" s="325" t="s">
        <v>88</v>
      </c>
      <c r="B50" s="346">
        <f>零件!L51</f>
        <v>92766</v>
      </c>
      <c r="C50" s="347">
        <v>198043</v>
      </c>
      <c r="D50" s="514">
        <f>(B50-C50)/C50</f>
        <v>-0.53158657463278181</v>
      </c>
      <c r="E50" s="346">
        <f>零件!M51</f>
        <v>1271624</v>
      </c>
      <c r="F50" s="347">
        <v>2067759</v>
      </c>
      <c r="G50" s="514">
        <f>(E50-F50)/F50</f>
        <v>-0.38502310955967306</v>
      </c>
    </row>
    <row r="51" spans="1:7">
      <c r="A51" s="328">
        <v>87149990148</v>
      </c>
      <c r="B51" s="351"/>
      <c r="C51" s="354"/>
      <c r="D51" s="355"/>
      <c r="E51" s="356"/>
      <c r="F51" s="357"/>
      <c r="G51" s="356"/>
    </row>
    <row r="52" spans="1:7">
      <c r="A52" s="330" t="s">
        <v>89</v>
      </c>
      <c r="B52" s="346">
        <f>零件!L53</f>
        <v>141507</v>
      </c>
      <c r="C52" s="347">
        <v>446086</v>
      </c>
      <c r="D52" s="513">
        <f>(B52-C52)/C52</f>
        <v>-0.6827808987504651</v>
      </c>
      <c r="E52" s="346">
        <f>零件!M53</f>
        <v>4188418</v>
      </c>
      <c r="F52" s="347">
        <v>8320299</v>
      </c>
      <c r="G52" s="513">
        <f>(E52-F52)/F52</f>
        <v>-0.49660246584888357</v>
      </c>
    </row>
    <row r="53" spans="1:7">
      <c r="A53" s="325" t="s">
        <v>90</v>
      </c>
      <c r="B53" s="346"/>
      <c r="C53" s="348"/>
      <c r="D53" s="346"/>
      <c r="E53" s="350"/>
      <c r="F53" s="347"/>
      <c r="G53" s="350"/>
    </row>
    <row r="54" spans="1:7">
      <c r="A54" s="328">
        <v>87149990157</v>
      </c>
      <c r="B54" s="351"/>
      <c r="C54" s="354"/>
      <c r="D54" s="355"/>
      <c r="E54" s="356"/>
      <c r="F54" s="357"/>
      <c r="G54" s="356"/>
    </row>
    <row r="55" spans="1:7">
      <c r="A55" s="325" t="s">
        <v>91</v>
      </c>
      <c r="B55" s="346">
        <f>零件!L56</f>
        <v>331730</v>
      </c>
      <c r="C55" s="347">
        <v>784279</v>
      </c>
      <c r="D55" s="514">
        <f>(B55-C55)/C55</f>
        <v>-0.57702552280502217</v>
      </c>
      <c r="E55" s="346">
        <f>零件!M56</f>
        <v>12906082</v>
      </c>
      <c r="F55" s="347">
        <v>16665472</v>
      </c>
      <c r="G55" s="514">
        <f>(E55-F55)/F55</f>
        <v>-0.22557956954354488</v>
      </c>
    </row>
    <row r="56" spans="1:7">
      <c r="A56" s="325" t="s">
        <v>92</v>
      </c>
      <c r="B56" s="346"/>
      <c r="C56" s="348"/>
      <c r="D56" s="346"/>
      <c r="E56" s="350"/>
      <c r="F56" s="347"/>
      <c r="G56" s="350"/>
    </row>
    <row r="57" spans="1:7">
      <c r="A57" s="328">
        <v>87149990166</v>
      </c>
      <c r="B57" s="351"/>
      <c r="C57" s="354"/>
      <c r="D57" s="355"/>
      <c r="E57" s="356"/>
      <c r="F57" s="357"/>
      <c r="G57" s="356"/>
    </row>
    <row r="58" spans="1:7">
      <c r="A58" s="325" t="s">
        <v>89</v>
      </c>
      <c r="B58" s="346">
        <f>零件!L59</f>
        <v>370466</v>
      </c>
      <c r="C58" s="347">
        <v>869045</v>
      </c>
      <c r="D58" s="513">
        <f>(B58-C58)/C58</f>
        <v>-0.57370907145199612</v>
      </c>
      <c r="E58" s="346">
        <f>零件!M59</f>
        <v>21103567</v>
      </c>
      <c r="F58" s="347">
        <v>29734435</v>
      </c>
      <c r="G58" s="513">
        <f>(E58-F58)/F58</f>
        <v>-0.2902650748198175</v>
      </c>
    </row>
    <row r="59" spans="1:7">
      <c r="A59" s="328">
        <v>40115000008</v>
      </c>
      <c r="B59" s="355"/>
      <c r="C59" s="355"/>
      <c r="D59" s="358"/>
      <c r="E59" s="356"/>
      <c r="F59" s="356"/>
      <c r="G59" s="356"/>
    </row>
    <row r="60" spans="1:7">
      <c r="A60" s="325" t="s">
        <v>93</v>
      </c>
      <c r="B60" s="346">
        <f>零件!L61</f>
        <v>1810856</v>
      </c>
      <c r="C60" s="347">
        <v>3302708</v>
      </c>
      <c r="D60" s="513">
        <f>(B60-C60)/C60</f>
        <v>-0.45170569120854764</v>
      </c>
      <c r="E60" s="346">
        <f>零件!M61</f>
        <v>20838847</v>
      </c>
      <c r="F60" s="347">
        <v>34081580</v>
      </c>
      <c r="G60" s="513">
        <f>(E60-F60)/F60</f>
        <v>-0.38855983202656685</v>
      </c>
    </row>
    <row r="61" spans="1:7">
      <c r="A61" s="325" t="s">
        <v>94</v>
      </c>
      <c r="B61" s="346"/>
      <c r="C61" s="347"/>
      <c r="D61" s="349"/>
      <c r="E61" s="350"/>
      <c r="F61" s="347"/>
      <c r="G61" s="516"/>
    </row>
    <row r="62" spans="1:7">
      <c r="A62" s="328">
        <v>40132000003</v>
      </c>
      <c r="B62" s="355"/>
      <c r="C62" s="355"/>
      <c r="D62" s="355"/>
      <c r="E62" s="356"/>
      <c r="F62" s="356"/>
      <c r="G62" s="356"/>
    </row>
    <row r="63" spans="1:7">
      <c r="A63" s="325" t="s">
        <v>95</v>
      </c>
      <c r="B63" s="346">
        <f>零件!L64</f>
        <v>335244</v>
      </c>
      <c r="C63" s="347">
        <v>551973</v>
      </c>
      <c r="D63" s="514">
        <f>(B63-C63)/C63</f>
        <v>-0.39264420542309136</v>
      </c>
      <c r="E63" s="346">
        <f>零件!M64</f>
        <v>2200746</v>
      </c>
      <c r="F63" s="347">
        <v>3277942</v>
      </c>
      <c r="G63" s="513">
        <f>(E63-F63)/F63</f>
        <v>-0.32861960339749757</v>
      </c>
    </row>
    <row r="64" spans="1:7">
      <c r="A64" s="325" t="s">
        <v>96</v>
      </c>
      <c r="B64" s="346"/>
      <c r="C64" s="348"/>
      <c r="D64" s="349"/>
      <c r="E64" s="350"/>
      <c r="F64" s="347"/>
      <c r="G64" s="350"/>
    </row>
    <row r="65" spans="1:7">
      <c r="A65" s="359" t="s">
        <v>97</v>
      </c>
      <c r="B65" s="360">
        <f>SUM(B6:B64)-B64-B61-B20-B17-B11-B8</f>
        <v>15649981</v>
      </c>
      <c r="C65" s="451">
        <v>34458452</v>
      </c>
      <c r="D65" s="512">
        <f>(B65-C65)/C65</f>
        <v>-0.54583041048971093</v>
      </c>
      <c r="E65" s="450">
        <f>SUM(E7:E64)</f>
        <v>775351967</v>
      </c>
      <c r="F65" s="209">
        <v>1134133511</v>
      </c>
      <c r="G65" s="512">
        <f>(E65-F65)/F65</f>
        <v>-0.31634859610457272</v>
      </c>
    </row>
    <row r="66" spans="1:7">
      <c r="E66" s="5"/>
      <c r="G66" s="318"/>
    </row>
    <row r="67" spans="1:7">
      <c r="A67" s="54" t="s">
        <v>32</v>
      </c>
    </row>
  </sheetData>
  <phoneticPr fontId="3" type="noConversion"/>
  <conditionalFormatting sqref="C9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C12">
    <cfRule type="cellIs" dxfId="11" priority="7" operator="greaterThanOrEqual">
      <formula>0</formula>
    </cfRule>
    <cfRule type="cellIs" dxfId="10" priority="8" operator="lessThan">
      <formula>0</formula>
    </cfRule>
  </conditionalFormatting>
  <conditionalFormatting sqref="D1:D3 D6:D48 D50:D1048576">
    <cfRule type="cellIs" dxfId="9" priority="13" operator="greaterThanOrEqual">
      <formula>0</formula>
    </cfRule>
    <cfRule type="cellIs" dxfId="8" priority="14" operator="lessThan">
      <formula>0</formula>
    </cfRule>
  </conditionalFormatting>
  <conditionalFormatting sqref="F41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59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F62">
    <cfRule type="cellIs" dxfId="3" priority="1" operator="greaterThanOrEqual">
      <formula>0</formula>
    </cfRule>
    <cfRule type="cellIs" dxfId="2" priority="2" operator="lessThan">
      <formula>0</formula>
    </cfRule>
  </conditionalFormatting>
  <conditionalFormatting sqref="G1:G3 G6:G48 G50:G1048576">
    <cfRule type="cellIs" dxfId="1" priority="11" operator="greaterThanOrEqual">
      <formula>0</formula>
    </cfRule>
    <cfRule type="cellIs" dxfId="0" priority="1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80" zoomScaleNormal="80" workbookViewId="0">
      <selection activeCell="H134" sqref="H134"/>
    </sheetView>
  </sheetViews>
  <sheetFormatPr defaultColWidth="10" defaultRowHeight="16.5"/>
  <cols>
    <col min="1" max="1" width="3.75" style="13" customWidth="1"/>
    <col min="2" max="2" width="18.875" style="13" customWidth="1"/>
    <col min="3" max="3" width="17.75" style="318" customWidth="1"/>
    <col min="4" max="4" width="12.875" style="13" bestFit="1" customWidth="1"/>
    <col min="5" max="5" width="17.875" style="318" customWidth="1"/>
    <col min="6" max="6" width="2.125" style="13" customWidth="1"/>
    <col min="7" max="7" width="10" style="13"/>
    <col min="8" max="8" width="15.75" style="318" customWidth="1"/>
    <col min="9" max="9" width="12.875" style="13" bestFit="1" customWidth="1"/>
    <col min="10" max="10" width="17.875" style="318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63" t="s">
        <v>492</v>
      </c>
      <c r="C1" s="364"/>
      <c r="D1" s="365"/>
      <c r="E1" s="364"/>
      <c r="F1" s="365"/>
      <c r="G1" s="365"/>
      <c r="H1" s="364"/>
      <c r="I1" s="365"/>
      <c r="J1" s="364"/>
    </row>
    <row r="2" spans="1:10">
      <c r="B2" s="365"/>
      <c r="C2" s="364"/>
      <c r="D2" s="365"/>
      <c r="E2" s="364"/>
      <c r="F2" s="365"/>
      <c r="G2" s="365"/>
      <c r="H2" s="364"/>
      <c r="I2" s="365"/>
      <c r="J2" s="364"/>
    </row>
    <row r="3" spans="1:10">
      <c r="B3" s="481" t="s">
        <v>439</v>
      </c>
      <c r="G3" s="481" t="s">
        <v>440</v>
      </c>
    </row>
    <row r="4" spans="1:10">
      <c r="B4" s="30" t="s">
        <v>102</v>
      </c>
      <c r="C4" s="366" t="s">
        <v>103</v>
      </c>
      <c r="D4" s="30" t="s">
        <v>104</v>
      </c>
      <c r="E4" s="366" t="s">
        <v>105</v>
      </c>
      <c r="F4" s="367"/>
      <c r="G4" s="30" t="s">
        <v>102</v>
      </c>
      <c r="H4" s="366" t="s">
        <v>103</v>
      </c>
      <c r="I4" s="30" t="s">
        <v>104</v>
      </c>
      <c r="J4" s="366" t="s">
        <v>105</v>
      </c>
    </row>
    <row r="5" spans="1:10">
      <c r="A5" s="13">
        <v>1</v>
      </c>
      <c r="B5" s="368" t="s">
        <v>498</v>
      </c>
      <c r="C5" s="369">
        <v>476869</v>
      </c>
      <c r="D5" s="368" t="s">
        <v>243</v>
      </c>
      <c r="E5" s="370">
        <v>180630</v>
      </c>
      <c r="G5" s="368" t="s">
        <v>250</v>
      </c>
      <c r="H5" s="370">
        <v>270482</v>
      </c>
      <c r="I5" s="368" t="s">
        <v>243</v>
      </c>
      <c r="J5" s="370">
        <v>121513</v>
      </c>
    </row>
    <row r="6" spans="1:10">
      <c r="A6" s="13">
        <v>2</v>
      </c>
      <c r="B6" s="368" t="s">
        <v>499</v>
      </c>
      <c r="C6" s="369">
        <v>155536</v>
      </c>
      <c r="D6" s="368" t="s">
        <v>259</v>
      </c>
      <c r="E6" s="370">
        <v>49148</v>
      </c>
      <c r="G6" s="368" t="s">
        <v>388</v>
      </c>
      <c r="H6" s="370">
        <v>125302</v>
      </c>
      <c r="I6" s="368" t="s">
        <v>250</v>
      </c>
      <c r="J6" s="370">
        <v>28838</v>
      </c>
    </row>
    <row r="7" spans="1:10">
      <c r="A7" s="13">
        <v>3</v>
      </c>
      <c r="B7" s="368" t="s">
        <v>249</v>
      </c>
      <c r="C7" s="369">
        <v>63813</v>
      </c>
      <c r="D7" s="368" t="s">
        <v>251</v>
      </c>
      <c r="E7" s="370">
        <v>27163</v>
      </c>
      <c r="G7" s="368" t="s">
        <v>249</v>
      </c>
      <c r="H7" s="370">
        <v>75069</v>
      </c>
      <c r="I7" s="368" t="s">
        <v>253</v>
      </c>
      <c r="J7" s="370">
        <v>4651</v>
      </c>
    </row>
    <row r="8" spans="1:10">
      <c r="A8" s="13">
        <v>4</v>
      </c>
      <c r="B8" s="368" t="s">
        <v>243</v>
      </c>
      <c r="C8" s="369">
        <v>42358</v>
      </c>
      <c r="D8" s="368" t="s">
        <v>388</v>
      </c>
      <c r="E8" s="370">
        <v>19</v>
      </c>
      <c r="G8" s="368" t="s">
        <v>12</v>
      </c>
      <c r="H8" s="370">
        <v>27349</v>
      </c>
      <c r="I8" s="368" t="s">
        <v>502</v>
      </c>
      <c r="J8" s="370">
        <v>3132</v>
      </c>
    </row>
    <row r="9" spans="1:10">
      <c r="A9" s="13">
        <v>5</v>
      </c>
      <c r="B9" s="368" t="s">
        <v>261</v>
      </c>
      <c r="C9" s="369">
        <v>19473</v>
      </c>
      <c r="D9" s="368"/>
      <c r="E9" s="370"/>
      <c r="G9" s="368" t="s">
        <v>498</v>
      </c>
      <c r="H9" s="370">
        <v>19348</v>
      </c>
      <c r="I9" s="368" t="s">
        <v>503</v>
      </c>
      <c r="J9" s="370">
        <v>2108</v>
      </c>
    </row>
    <row r="10" spans="1:10">
      <c r="A10" s="13">
        <v>6</v>
      </c>
      <c r="B10" s="368" t="s">
        <v>500</v>
      </c>
      <c r="C10" s="369">
        <v>15969</v>
      </c>
      <c r="D10" s="368"/>
      <c r="E10" s="370"/>
      <c r="G10" s="368" t="s">
        <v>253</v>
      </c>
      <c r="H10" s="370">
        <v>19163</v>
      </c>
      <c r="I10" s="368" t="s">
        <v>504</v>
      </c>
      <c r="J10" s="370">
        <v>93</v>
      </c>
    </row>
    <row r="11" spans="1:10">
      <c r="A11" s="13">
        <v>7</v>
      </c>
      <c r="B11" s="368" t="s">
        <v>260</v>
      </c>
      <c r="C11" s="369">
        <v>12868</v>
      </c>
      <c r="D11" s="368"/>
      <c r="E11" s="370"/>
      <c r="G11" s="368" t="s">
        <v>499</v>
      </c>
      <c r="H11" s="370">
        <v>3783</v>
      </c>
      <c r="I11" s="368"/>
      <c r="J11" s="370"/>
    </row>
    <row r="12" spans="1:10">
      <c r="A12" s="13">
        <v>8</v>
      </c>
      <c r="B12" s="368" t="s">
        <v>250</v>
      </c>
      <c r="C12" s="369">
        <v>12341</v>
      </c>
      <c r="D12" s="368"/>
      <c r="E12" s="370"/>
      <c r="G12" s="368" t="s">
        <v>11</v>
      </c>
      <c r="H12" s="370">
        <v>3473</v>
      </c>
      <c r="I12" s="368"/>
      <c r="J12" s="370"/>
    </row>
    <row r="13" spans="1:10">
      <c r="A13" s="13">
        <v>9</v>
      </c>
      <c r="B13" s="368" t="s">
        <v>501</v>
      </c>
      <c r="C13" s="369">
        <v>7876</v>
      </c>
      <c r="D13" s="368"/>
      <c r="E13" s="370"/>
      <c r="G13" s="368" t="s">
        <v>389</v>
      </c>
      <c r="H13" s="370">
        <v>1922</v>
      </c>
      <c r="I13" s="368"/>
      <c r="J13" s="370"/>
    </row>
    <row r="14" spans="1:10">
      <c r="A14" s="13">
        <v>10</v>
      </c>
      <c r="B14" s="368" t="s">
        <v>388</v>
      </c>
      <c r="C14" s="369">
        <v>7442</v>
      </c>
      <c r="D14" s="368"/>
      <c r="E14" s="370"/>
      <c r="G14" s="368" t="s">
        <v>13</v>
      </c>
      <c r="H14" s="370">
        <v>1736</v>
      </c>
      <c r="I14" s="368"/>
      <c r="J14" s="370"/>
    </row>
    <row r="15" spans="1:10">
      <c r="B15" s="368" t="s">
        <v>106</v>
      </c>
      <c r="C15" s="370">
        <f>C16-SUM(C5:C14)</f>
        <v>14356</v>
      </c>
      <c r="D15" s="368" t="s">
        <v>106</v>
      </c>
      <c r="E15" s="370">
        <f>E16-SUM(E5:E14)</f>
        <v>0</v>
      </c>
      <c r="G15" s="482" t="s">
        <v>426</v>
      </c>
      <c r="H15" s="370">
        <f>H16-SUM(H5:H14)</f>
        <v>1302</v>
      </c>
      <c r="I15" s="368" t="s">
        <v>106</v>
      </c>
      <c r="J15" s="370">
        <f>J16-SUM(J5:J14)</f>
        <v>0</v>
      </c>
    </row>
    <row r="16" spans="1:10">
      <c r="B16" s="368" t="s">
        <v>107</v>
      </c>
      <c r="C16" s="370">
        <v>828901</v>
      </c>
      <c r="D16" s="368" t="s">
        <v>107</v>
      </c>
      <c r="E16" s="370">
        <v>256960</v>
      </c>
      <c r="G16" s="368" t="s">
        <v>107</v>
      </c>
      <c r="H16" s="370">
        <v>548929</v>
      </c>
      <c r="I16" s="368" t="s">
        <v>107</v>
      </c>
      <c r="J16" s="370">
        <v>160335</v>
      </c>
    </row>
    <row r="18" spans="1:10">
      <c r="B18" s="481" t="s">
        <v>427</v>
      </c>
      <c r="G18" s="54" t="s">
        <v>428</v>
      </c>
    </row>
    <row r="19" spans="1:10">
      <c r="B19" s="30" t="s">
        <v>102</v>
      </c>
      <c r="C19" s="366" t="s">
        <v>103</v>
      </c>
      <c r="D19" s="30" t="s">
        <v>104</v>
      </c>
      <c r="E19" s="366" t="s">
        <v>105</v>
      </c>
      <c r="G19" s="30" t="s">
        <v>102</v>
      </c>
      <c r="H19" s="366" t="s">
        <v>103</v>
      </c>
      <c r="I19" s="30" t="s">
        <v>104</v>
      </c>
      <c r="J19" s="366" t="s">
        <v>105</v>
      </c>
    </row>
    <row r="20" spans="1:10">
      <c r="A20" s="13">
        <v>1</v>
      </c>
      <c r="B20" s="483" t="s">
        <v>250</v>
      </c>
      <c r="C20" s="370">
        <v>8286232</v>
      </c>
      <c r="D20" s="368" t="s">
        <v>243</v>
      </c>
      <c r="E20" s="370">
        <v>21629227</v>
      </c>
      <c r="G20" s="368" t="s">
        <v>250</v>
      </c>
      <c r="H20" s="370">
        <v>528185</v>
      </c>
      <c r="I20" s="368" t="s">
        <v>243</v>
      </c>
      <c r="J20" s="370">
        <v>4027784</v>
      </c>
    </row>
    <row r="21" spans="1:10">
      <c r="A21" s="13">
        <v>2</v>
      </c>
      <c r="B21" s="483" t="s">
        <v>249</v>
      </c>
      <c r="C21" s="370">
        <v>4380494</v>
      </c>
      <c r="D21" s="368" t="s">
        <v>504</v>
      </c>
      <c r="E21" s="370">
        <v>2016279</v>
      </c>
      <c r="G21" s="368" t="s">
        <v>10</v>
      </c>
      <c r="H21" s="370">
        <v>426945</v>
      </c>
      <c r="I21" s="368" t="s">
        <v>504</v>
      </c>
      <c r="J21" s="370">
        <v>106915</v>
      </c>
    </row>
    <row r="22" spans="1:10">
      <c r="A22" s="13">
        <v>3</v>
      </c>
      <c r="B22" s="483" t="s">
        <v>498</v>
      </c>
      <c r="C22" s="370">
        <v>3956615</v>
      </c>
      <c r="D22" s="368" t="s">
        <v>500</v>
      </c>
      <c r="E22" s="370">
        <v>781210</v>
      </c>
      <c r="G22" s="368" t="s">
        <v>249</v>
      </c>
      <c r="H22" s="370">
        <v>272030</v>
      </c>
      <c r="I22" s="368" t="s">
        <v>506</v>
      </c>
      <c r="J22" s="370">
        <v>90511</v>
      </c>
    </row>
    <row r="23" spans="1:10">
      <c r="A23" s="13">
        <v>4</v>
      </c>
      <c r="B23" s="483" t="s">
        <v>262</v>
      </c>
      <c r="C23" s="370">
        <v>3482201</v>
      </c>
      <c r="D23" s="368" t="s">
        <v>503</v>
      </c>
      <c r="E23" s="370">
        <v>259752</v>
      </c>
      <c r="G23" s="368" t="s">
        <v>243</v>
      </c>
      <c r="H23" s="370">
        <v>240184</v>
      </c>
      <c r="I23" s="368" t="s">
        <v>503</v>
      </c>
      <c r="J23" s="370">
        <v>22264</v>
      </c>
    </row>
    <row r="24" spans="1:10">
      <c r="A24" s="13">
        <v>5</v>
      </c>
      <c r="B24" s="483" t="s">
        <v>243</v>
      </c>
      <c r="C24" s="370">
        <v>2786726</v>
      </c>
      <c r="D24" s="368" t="s">
        <v>11</v>
      </c>
      <c r="E24" s="370">
        <v>255194</v>
      </c>
      <c r="G24" s="368" t="s">
        <v>11</v>
      </c>
      <c r="H24" s="370">
        <v>188590</v>
      </c>
      <c r="I24" s="368" t="s">
        <v>250</v>
      </c>
      <c r="J24" s="370">
        <v>3100</v>
      </c>
    </row>
    <row r="25" spans="1:10">
      <c r="A25" s="13">
        <v>6</v>
      </c>
      <c r="B25" s="483" t="s">
        <v>10</v>
      </c>
      <c r="C25" s="370">
        <v>2051721</v>
      </c>
      <c r="D25" s="368" t="s">
        <v>505</v>
      </c>
      <c r="E25" s="370">
        <v>211349</v>
      </c>
      <c r="G25" s="368" t="s">
        <v>504</v>
      </c>
      <c r="H25" s="370">
        <v>160091</v>
      </c>
      <c r="I25" s="368" t="s">
        <v>388</v>
      </c>
      <c r="J25" s="370">
        <v>1324</v>
      </c>
    </row>
    <row r="26" spans="1:10">
      <c r="A26" s="13">
        <v>7</v>
      </c>
      <c r="B26" s="483" t="s">
        <v>504</v>
      </c>
      <c r="C26" s="370">
        <v>2003256</v>
      </c>
      <c r="D26" s="368" t="s">
        <v>506</v>
      </c>
      <c r="E26" s="370">
        <v>157085</v>
      </c>
      <c r="G26" s="368" t="s">
        <v>498</v>
      </c>
      <c r="H26" s="370">
        <v>158201</v>
      </c>
      <c r="I26" s="368" t="s">
        <v>260</v>
      </c>
      <c r="J26" s="370">
        <v>1209</v>
      </c>
    </row>
    <row r="27" spans="1:10">
      <c r="A27" s="13">
        <v>8</v>
      </c>
      <c r="B27" s="483" t="s">
        <v>11</v>
      </c>
      <c r="C27" s="370">
        <v>934976</v>
      </c>
      <c r="D27" s="368" t="s">
        <v>388</v>
      </c>
      <c r="E27" s="370">
        <v>13720</v>
      </c>
      <c r="G27" s="368" t="s">
        <v>260</v>
      </c>
      <c r="H27" s="370">
        <v>92900</v>
      </c>
      <c r="I27" s="368" t="s">
        <v>498</v>
      </c>
      <c r="J27" s="370">
        <v>1116</v>
      </c>
    </row>
    <row r="28" spans="1:10">
      <c r="A28" s="13">
        <v>9</v>
      </c>
      <c r="B28" s="483" t="s">
        <v>499</v>
      </c>
      <c r="C28" s="370">
        <v>801916</v>
      </c>
      <c r="D28" s="368" t="s">
        <v>498</v>
      </c>
      <c r="E28" s="370">
        <v>12526</v>
      </c>
      <c r="G28" s="368" t="s">
        <v>251</v>
      </c>
      <c r="H28" s="370">
        <v>86232</v>
      </c>
      <c r="I28" s="368" t="s">
        <v>499</v>
      </c>
      <c r="J28" s="370">
        <v>155</v>
      </c>
    </row>
    <row r="29" spans="1:10">
      <c r="A29" s="13">
        <v>10</v>
      </c>
      <c r="B29" s="483" t="s">
        <v>301</v>
      </c>
      <c r="C29" s="370">
        <v>778326</v>
      </c>
      <c r="D29" s="368" t="s">
        <v>250</v>
      </c>
      <c r="E29" s="370">
        <v>10915</v>
      </c>
      <c r="G29" s="368" t="s">
        <v>388</v>
      </c>
      <c r="H29" s="370">
        <v>77396</v>
      </c>
      <c r="I29" s="368"/>
      <c r="J29" s="370"/>
    </row>
    <row r="30" spans="1:10">
      <c r="B30" s="368" t="s">
        <v>106</v>
      </c>
      <c r="C30" s="370">
        <f>C31-SUM(C20:C29)</f>
        <v>8678545</v>
      </c>
      <c r="D30" s="368" t="s">
        <v>441</v>
      </c>
      <c r="E30" s="370">
        <f>E31-SUM(E20:E29)</f>
        <v>8124</v>
      </c>
      <c r="G30" s="368" t="s">
        <v>442</v>
      </c>
      <c r="H30" s="370">
        <f>H31-SUM(H20:H29)</f>
        <v>265237</v>
      </c>
      <c r="I30" s="368" t="s">
        <v>106</v>
      </c>
      <c r="J30" s="370">
        <f>J31-SUM(J20:J29)</f>
        <v>0</v>
      </c>
    </row>
    <row r="31" spans="1:10">
      <c r="B31" s="368" t="s">
        <v>107</v>
      </c>
      <c r="C31" s="370">
        <v>38141008</v>
      </c>
      <c r="D31" s="368" t="s">
        <v>107</v>
      </c>
      <c r="E31" s="370">
        <v>25355381</v>
      </c>
      <c r="G31" s="368" t="s">
        <v>107</v>
      </c>
      <c r="H31" s="370">
        <v>2495991</v>
      </c>
      <c r="I31" s="368" t="s">
        <v>107</v>
      </c>
      <c r="J31" s="370">
        <v>4254378</v>
      </c>
    </row>
    <row r="32" spans="1:10">
      <c r="B32" s="373"/>
      <c r="D32" s="373"/>
      <c r="G32" s="373"/>
      <c r="I32" s="373"/>
    </row>
    <row r="33" spans="1:10">
      <c r="B33" s="54" t="s">
        <v>430</v>
      </c>
      <c r="D33" s="373"/>
      <c r="G33" s="54" t="s">
        <v>431</v>
      </c>
      <c r="I33" s="373"/>
    </row>
    <row r="34" spans="1:10">
      <c r="B34" s="368" t="s">
        <v>102</v>
      </c>
      <c r="C34" s="370" t="s">
        <v>103</v>
      </c>
      <c r="D34" s="368" t="s">
        <v>104</v>
      </c>
      <c r="E34" s="366" t="s">
        <v>105</v>
      </c>
      <c r="G34" s="368" t="s">
        <v>102</v>
      </c>
      <c r="H34" s="370" t="s">
        <v>103</v>
      </c>
      <c r="I34" s="368" t="s">
        <v>104</v>
      </c>
      <c r="J34" s="366" t="s">
        <v>105</v>
      </c>
    </row>
    <row r="35" spans="1:10">
      <c r="A35" s="13">
        <v>1</v>
      </c>
      <c r="B35" s="368" t="s">
        <v>243</v>
      </c>
      <c r="C35" s="370">
        <v>290233</v>
      </c>
      <c r="D35" s="368" t="s">
        <v>243</v>
      </c>
      <c r="E35" s="370">
        <v>284898</v>
      </c>
      <c r="G35" s="368" t="s">
        <v>243</v>
      </c>
      <c r="H35" s="370">
        <v>1326697</v>
      </c>
      <c r="I35" s="368" t="s">
        <v>503</v>
      </c>
      <c r="J35" s="370">
        <v>301456</v>
      </c>
    </row>
    <row r="36" spans="1:10">
      <c r="A36" s="13">
        <v>2</v>
      </c>
      <c r="B36" s="368" t="s">
        <v>250</v>
      </c>
      <c r="C36" s="370">
        <v>108217</v>
      </c>
      <c r="D36" s="368" t="s">
        <v>501</v>
      </c>
      <c r="E36" s="370">
        <v>283751</v>
      </c>
      <c r="G36" s="368" t="s">
        <v>499</v>
      </c>
      <c r="H36" s="370">
        <v>659225</v>
      </c>
      <c r="I36" s="368" t="s">
        <v>243</v>
      </c>
      <c r="J36" s="370">
        <v>211618</v>
      </c>
    </row>
    <row r="37" spans="1:10">
      <c r="A37" s="13">
        <v>3</v>
      </c>
      <c r="B37" s="368" t="s">
        <v>301</v>
      </c>
      <c r="C37" s="370">
        <v>97271</v>
      </c>
      <c r="D37" s="368" t="s">
        <v>12</v>
      </c>
      <c r="E37" s="370">
        <v>130914</v>
      </c>
      <c r="G37" s="368" t="s">
        <v>249</v>
      </c>
      <c r="H37" s="370">
        <v>609148</v>
      </c>
      <c r="I37" s="368" t="s">
        <v>506</v>
      </c>
      <c r="J37" s="370">
        <v>122139</v>
      </c>
    </row>
    <row r="38" spans="1:10">
      <c r="A38" s="13">
        <v>4</v>
      </c>
      <c r="B38" s="368" t="s">
        <v>498</v>
      </c>
      <c r="C38" s="370">
        <v>49767</v>
      </c>
      <c r="D38" s="368" t="s">
        <v>503</v>
      </c>
      <c r="E38" s="370">
        <v>217</v>
      </c>
      <c r="G38" s="368" t="s">
        <v>250</v>
      </c>
      <c r="H38" s="370">
        <v>575163</v>
      </c>
      <c r="I38" s="368" t="s">
        <v>388</v>
      </c>
      <c r="J38" s="370">
        <v>69489</v>
      </c>
    </row>
    <row r="39" spans="1:10">
      <c r="A39" s="13">
        <v>5</v>
      </c>
      <c r="B39" s="368" t="s">
        <v>7</v>
      </c>
      <c r="C39" s="370">
        <v>47287</v>
      </c>
      <c r="D39" s="368" t="s">
        <v>388</v>
      </c>
      <c r="E39" s="370">
        <v>22</v>
      </c>
      <c r="G39" s="368" t="s">
        <v>498</v>
      </c>
      <c r="H39" s="370">
        <v>519568</v>
      </c>
      <c r="I39" s="368" t="s">
        <v>12</v>
      </c>
      <c r="J39" s="370">
        <v>45458</v>
      </c>
    </row>
    <row r="40" spans="1:10">
      <c r="A40" s="13">
        <v>6</v>
      </c>
      <c r="B40" s="368" t="s">
        <v>500</v>
      </c>
      <c r="C40" s="370">
        <v>41239</v>
      </c>
      <c r="D40" s="368"/>
      <c r="E40" s="370"/>
      <c r="G40" s="368" t="s">
        <v>504</v>
      </c>
      <c r="H40" s="370">
        <v>358542</v>
      </c>
      <c r="I40" s="368" t="s">
        <v>250</v>
      </c>
      <c r="J40" s="370">
        <v>32775</v>
      </c>
    </row>
    <row r="41" spans="1:10">
      <c r="A41" s="13">
        <v>7</v>
      </c>
      <c r="B41" s="368" t="s">
        <v>507</v>
      </c>
      <c r="C41" s="370">
        <v>38605</v>
      </c>
      <c r="D41" s="368"/>
      <c r="E41" s="370"/>
      <c r="G41" s="368" t="s">
        <v>340</v>
      </c>
      <c r="H41" s="370">
        <v>257085</v>
      </c>
      <c r="I41" s="368" t="s">
        <v>251</v>
      </c>
      <c r="J41" s="370">
        <v>16062</v>
      </c>
    </row>
    <row r="42" spans="1:10">
      <c r="A42" s="13">
        <v>8</v>
      </c>
      <c r="B42" s="368" t="s">
        <v>273</v>
      </c>
      <c r="C42" s="370">
        <v>37923</v>
      </c>
      <c r="D42" s="368"/>
      <c r="E42" s="370"/>
      <c r="G42" s="368" t="s">
        <v>508</v>
      </c>
      <c r="H42" s="370">
        <v>235659</v>
      </c>
      <c r="I42" s="368" t="s">
        <v>236</v>
      </c>
      <c r="J42" s="370">
        <v>10884</v>
      </c>
    </row>
    <row r="43" spans="1:10">
      <c r="A43" s="13">
        <v>9</v>
      </c>
      <c r="B43" s="368" t="s">
        <v>504</v>
      </c>
      <c r="C43" s="370">
        <v>33860</v>
      </c>
      <c r="D43" s="368"/>
      <c r="E43" s="370"/>
      <c r="G43" s="368" t="s">
        <v>301</v>
      </c>
      <c r="H43" s="370">
        <v>169302</v>
      </c>
      <c r="I43" s="368" t="s">
        <v>498</v>
      </c>
      <c r="J43" s="370">
        <v>8496</v>
      </c>
    </row>
    <row r="44" spans="1:10">
      <c r="A44" s="13">
        <v>10</v>
      </c>
      <c r="B44" s="368" t="s">
        <v>260</v>
      </c>
      <c r="C44" s="370">
        <v>22419</v>
      </c>
      <c r="D44" s="368"/>
      <c r="E44" s="370"/>
      <c r="G44" s="368" t="s">
        <v>10</v>
      </c>
      <c r="H44" s="370">
        <v>94418</v>
      </c>
      <c r="I44" s="368"/>
      <c r="J44" s="370"/>
    </row>
    <row r="45" spans="1:10">
      <c r="B45" s="368" t="s">
        <v>106</v>
      </c>
      <c r="C45" s="370">
        <f>C46-SUM(C34:C44)</f>
        <v>91474</v>
      </c>
      <c r="D45" s="368" t="s">
        <v>429</v>
      </c>
      <c r="E45" s="370">
        <f>E46-SUM(E34:E44)</f>
        <v>0</v>
      </c>
      <c r="G45" s="368" t="s">
        <v>443</v>
      </c>
      <c r="H45" s="370">
        <f>H46-SUM(H34:H44)</f>
        <v>443908</v>
      </c>
      <c r="I45" s="368" t="s">
        <v>444</v>
      </c>
      <c r="J45" s="370">
        <f>J46-SUM(J34:J44)</f>
        <v>0</v>
      </c>
    </row>
    <row r="46" spans="1:10">
      <c r="B46" s="368" t="s">
        <v>107</v>
      </c>
      <c r="C46" s="370">
        <v>858295</v>
      </c>
      <c r="D46" s="368" t="s">
        <v>107</v>
      </c>
      <c r="E46" s="370">
        <v>699802</v>
      </c>
      <c r="G46" s="368" t="s">
        <v>107</v>
      </c>
      <c r="H46" s="370">
        <v>5248715</v>
      </c>
      <c r="I46" s="368" t="s">
        <v>107</v>
      </c>
      <c r="J46" s="370">
        <v>818377</v>
      </c>
    </row>
    <row r="47" spans="1:10">
      <c r="B47" s="373"/>
      <c r="D47" s="373"/>
      <c r="G47" s="373"/>
      <c r="I47" s="373"/>
    </row>
    <row r="48" spans="1:10">
      <c r="B48" s="54" t="s">
        <v>432</v>
      </c>
      <c r="G48" s="266" t="s">
        <v>445</v>
      </c>
    </row>
    <row r="49" spans="1:10">
      <c r="B49" s="30" t="s">
        <v>102</v>
      </c>
      <c r="C49" s="366" t="s">
        <v>103</v>
      </c>
      <c r="D49" s="30" t="s">
        <v>104</v>
      </c>
      <c r="E49" s="366" t="s">
        <v>105</v>
      </c>
      <c r="G49" s="30" t="s">
        <v>102</v>
      </c>
      <c r="H49" s="366" t="s">
        <v>103</v>
      </c>
      <c r="I49" s="30" t="s">
        <v>104</v>
      </c>
      <c r="J49" s="366" t="s">
        <v>105</v>
      </c>
    </row>
    <row r="50" spans="1:10">
      <c r="A50" s="13">
        <v>1</v>
      </c>
      <c r="B50" s="368" t="s">
        <v>243</v>
      </c>
      <c r="C50" s="370">
        <v>435257</v>
      </c>
      <c r="D50" s="368" t="s">
        <v>243</v>
      </c>
      <c r="E50" s="370">
        <v>1221335</v>
      </c>
      <c r="G50" s="371" t="s">
        <v>509</v>
      </c>
      <c r="H50" s="370">
        <v>24341</v>
      </c>
      <c r="I50" s="371" t="s">
        <v>506</v>
      </c>
      <c r="J50" s="370">
        <v>75055</v>
      </c>
    </row>
    <row r="51" spans="1:10">
      <c r="A51" s="13">
        <v>2</v>
      </c>
      <c r="B51" s="368" t="s">
        <v>498</v>
      </c>
      <c r="C51" s="370">
        <v>258852</v>
      </c>
      <c r="D51" s="368" t="s">
        <v>506</v>
      </c>
      <c r="E51" s="370">
        <v>393363</v>
      </c>
      <c r="G51" s="371" t="s">
        <v>389</v>
      </c>
      <c r="H51" s="370">
        <v>11194</v>
      </c>
      <c r="I51" s="371" t="s">
        <v>388</v>
      </c>
      <c r="J51" s="370">
        <v>41612</v>
      </c>
    </row>
    <row r="52" spans="1:10">
      <c r="A52" s="13">
        <v>3</v>
      </c>
      <c r="B52" s="368" t="s">
        <v>499</v>
      </c>
      <c r="C52" s="370">
        <v>221270</v>
      </c>
      <c r="D52" s="368" t="s">
        <v>510</v>
      </c>
      <c r="E52" s="370">
        <v>193457</v>
      </c>
      <c r="G52" s="371" t="s">
        <v>499</v>
      </c>
      <c r="H52" s="370">
        <v>7008</v>
      </c>
      <c r="I52" s="371" t="s">
        <v>511</v>
      </c>
      <c r="J52" s="370">
        <v>1705</v>
      </c>
    </row>
    <row r="53" spans="1:10">
      <c r="A53" s="13">
        <v>4</v>
      </c>
      <c r="B53" s="368" t="s">
        <v>504</v>
      </c>
      <c r="C53" s="370">
        <v>185892</v>
      </c>
      <c r="D53" s="368" t="s">
        <v>501</v>
      </c>
      <c r="E53" s="370">
        <v>168000</v>
      </c>
      <c r="G53" s="371" t="s">
        <v>249</v>
      </c>
      <c r="H53" s="370">
        <v>2915</v>
      </c>
      <c r="I53" s="371" t="s">
        <v>243</v>
      </c>
      <c r="J53" s="370">
        <v>713</v>
      </c>
    </row>
    <row r="54" spans="1:10">
      <c r="A54" s="13">
        <v>5</v>
      </c>
      <c r="B54" s="368" t="s">
        <v>250</v>
      </c>
      <c r="C54" s="370">
        <v>182481</v>
      </c>
      <c r="D54" s="368" t="s">
        <v>498</v>
      </c>
      <c r="E54" s="370">
        <v>109829</v>
      </c>
      <c r="G54" s="371" t="s">
        <v>10</v>
      </c>
      <c r="H54" s="370">
        <v>2326</v>
      </c>
      <c r="I54" s="371" t="s">
        <v>249</v>
      </c>
      <c r="J54" s="370">
        <v>527</v>
      </c>
    </row>
    <row r="55" spans="1:10">
      <c r="A55" s="13">
        <v>6</v>
      </c>
      <c r="B55" s="368" t="s">
        <v>509</v>
      </c>
      <c r="C55" s="370">
        <v>168682</v>
      </c>
      <c r="D55" s="368" t="s">
        <v>511</v>
      </c>
      <c r="E55" s="370">
        <v>61116</v>
      </c>
      <c r="G55" s="371"/>
      <c r="H55" s="370"/>
      <c r="I55" s="371"/>
      <c r="J55" s="370"/>
    </row>
    <row r="56" spans="1:10">
      <c r="A56" s="13">
        <v>7</v>
      </c>
      <c r="B56" s="368" t="s">
        <v>260</v>
      </c>
      <c r="C56" s="370">
        <v>115287</v>
      </c>
      <c r="D56" s="368" t="s">
        <v>249</v>
      </c>
      <c r="E56" s="370">
        <v>36062</v>
      </c>
      <c r="G56" s="371"/>
      <c r="H56" s="370"/>
      <c r="I56" s="371"/>
      <c r="J56" s="370"/>
    </row>
    <row r="57" spans="1:10">
      <c r="A57" s="13">
        <v>8</v>
      </c>
      <c r="B57" s="368" t="s">
        <v>262</v>
      </c>
      <c r="C57" s="370">
        <v>86140</v>
      </c>
      <c r="D57" s="368" t="s">
        <v>250</v>
      </c>
      <c r="E57" s="370">
        <v>33581</v>
      </c>
      <c r="G57" s="371"/>
      <c r="H57" s="370"/>
      <c r="I57" s="371"/>
      <c r="J57" s="370"/>
    </row>
    <row r="58" spans="1:10">
      <c r="A58" s="13">
        <v>9</v>
      </c>
      <c r="B58" s="368" t="s">
        <v>500</v>
      </c>
      <c r="C58" s="370">
        <v>59658</v>
      </c>
      <c r="D58" s="368" t="s">
        <v>499</v>
      </c>
      <c r="E58" s="370">
        <v>32868</v>
      </c>
      <c r="G58" s="371"/>
      <c r="H58" s="370"/>
      <c r="I58" s="371"/>
      <c r="J58" s="370"/>
    </row>
    <row r="59" spans="1:10">
      <c r="A59" s="13">
        <v>10</v>
      </c>
      <c r="B59" s="368" t="s">
        <v>249</v>
      </c>
      <c r="C59" s="370">
        <v>58729</v>
      </c>
      <c r="D59" s="368" t="s">
        <v>388</v>
      </c>
      <c r="E59" s="370">
        <v>31225</v>
      </c>
      <c r="G59" s="371"/>
      <c r="H59" s="370"/>
      <c r="I59" s="371"/>
      <c r="J59" s="370"/>
    </row>
    <row r="60" spans="1:10">
      <c r="B60" s="368" t="s">
        <v>443</v>
      </c>
      <c r="C60" s="370">
        <f>C61-SUM(C49:C59)</f>
        <v>426508</v>
      </c>
      <c r="D60" s="368" t="s">
        <v>106</v>
      </c>
      <c r="E60" s="370">
        <f>E61-SUM(E49:E59)</f>
        <v>11274</v>
      </c>
      <c r="G60" s="371" t="s">
        <v>443</v>
      </c>
      <c r="H60" s="370">
        <f>H61-SUM(H49:H59)</f>
        <v>0</v>
      </c>
      <c r="I60" s="368" t="s">
        <v>106</v>
      </c>
      <c r="J60" s="370">
        <f>J61-SUM(J49:J59)</f>
        <v>0</v>
      </c>
    </row>
    <row r="61" spans="1:10">
      <c r="B61" s="368" t="s">
        <v>107</v>
      </c>
      <c r="C61" s="370">
        <v>2198756</v>
      </c>
      <c r="D61" s="368" t="s">
        <v>107</v>
      </c>
      <c r="E61" s="370">
        <v>2292110</v>
      </c>
      <c r="G61" s="368" t="s">
        <v>107</v>
      </c>
      <c r="H61" s="370">
        <v>47784</v>
      </c>
      <c r="I61" s="368" t="s">
        <v>107</v>
      </c>
      <c r="J61" s="370">
        <v>119612</v>
      </c>
    </row>
    <row r="63" spans="1:10">
      <c r="B63" s="481" t="s">
        <v>446</v>
      </c>
      <c r="G63" s="481" t="s">
        <v>447</v>
      </c>
    </row>
    <row r="64" spans="1:10">
      <c r="B64" s="30" t="s">
        <v>102</v>
      </c>
      <c r="C64" s="366" t="s">
        <v>103</v>
      </c>
      <c r="D64" s="30" t="s">
        <v>104</v>
      </c>
      <c r="E64" s="366" t="s">
        <v>105</v>
      </c>
      <c r="G64" s="30" t="s">
        <v>102</v>
      </c>
      <c r="H64" s="366" t="s">
        <v>103</v>
      </c>
      <c r="I64" s="30" t="s">
        <v>104</v>
      </c>
      <c r="J64" s="366" t="s">
        <v>105</v>
      </c>
    </row>
    <row r="65" spans="1:10">
      <c r="A65" s="13">
        <v>1</v>
      </c>
      <c r="B65" s="368" t="s">
        <v>498</v>
      </c>
      <c r="C65" s="370">
        <v>296992</v>
      </c>
      <c r="D65" s="368" t="s">
        <v>388</v>
      </c>
      <c r="E65" s="370">
        <v>129055</v>
      </c>
      <c r="G65" s="368" t="s">
        <v>250</v>
      </c>
      <c r="H65" s="370">
        <v>2590540</v>
      </c>
      <c r="I65" s="368" t="s">
        <v>388</v>
      </c>
      <c r="J65" s="370">
        <v>6744531</v>
      </c>
    </row>
    <row r="66" spans="1:10">
      <c r="A66" s="13">
        <v>2</v>
      </c>
      <c r="B66" s="368" t="s">
        <v>512</v>
      </c>
      <c r="C66" s="370">
        <v>26915</v>
      </c>
      <c r="D66" s="368" t="s">
        <v>250</v>
      </c>
      <c r="E66" s="370">
        <v>51876</v>
      </c>
      <c r="G66" s="368" t="s">
        <v>243</v>
      </c>
      <c r="H66" s="370">
        <v>2173115</v>
      </c>
      <c r="I66" s="368" t="s">
        <v>506</v>
      </c>
      <c r="J66" s="370">
        <v>640155</v>
      </c>
    </row>
    <row r="67" spans="1:10">
      <c r="A67" s="13">
        <v>3</v>
      </c>
      <c r="B67" s="368" t="s">
        <v>509</v>
      </c>
      <c r="C67" s="370">
        <v>8713</v>
      </c>
      <c r="D67" s="368" t="s">
        <v>243</v>
      </c>
      <c r="E67" s="370">
        <v>18419</v>
      </c>
      <c r="G67" s="368" t="s">
        <v>249</v>
      </c>
      <c r="H67" s="370">
        <v>1071040</v>
      </c>
      <c r="I67" s="368" t="s">
        <v>243</v>
      </c>
      <c r="J67" s="370">
        <v>578953</v>
      </c>
    </row>
    <row r="68" spans="1:10">
      <c r="A68" s="13">
        <v>4</v>
      </c>
      <c r="B68" s="368" t="s">
        <v>307</v>
      </c>
      <c r="C68" s="370">
        <v>4620</v>
      </c>
      <c r="D68" s="368" t="s">
        <v>506</v>
      </c>
      <c r="E68" s="370">
        <v>2232</v>
      </c>
      <c r="G68" s="368" t="s">
        <v>504</v>
      </c>
      <c r="H68" s="370">
        <v>1044526</v>
      </c>
      <c r="I68" s="368" t="s">
        <v>504</v>
      </c>
      <c r="J68" s="370">
        <v>104092</v>
      </c>
    </row>
    <row r="69" spans="1:10">
      <c r="A69" s="13">
        <v>5</v>
      </c>
      <c r="B69" s="368" t="s">
        <v>389</v>
      </c>
      <c r="C69" s="370">
        <v>4558</v>
      </c>
      <c r="D69" s="368" t="s">
        <v>251</v>
      </c>
      <c r="E69" s="370">
        <v>403</v>
      </c>
      <c r="G69" s="368" t="s">
        <v>498</v>
      </c>
      <c r="H69" s="370">
        <v>631223</v>
      </c>
      <c r="I69" s="368" t="s">
        <v>499</v>
      </c>
      <c r="J69" s="370">
        <v>54140</v>
      </c>
    </row>
    <row r="70" spans="1:10">
      <c r="A70" s="13">
        <v>6</v>
      </c>
      <c r="B70" s="368" t="s">
        <v>7</v>
      </c>
      <c r="C70" s="370">
        <v>3938</v>
      </c>
      <c r="D70" s="368"/>
      <c r="E70" s="370"/>
      <c r="G70" s="368" t="s">
        <v>260</v>
      </c>
      <c r="H70" s="370">
        <v>451567</v>
      </c>
      <c r="I70" s="368" t="s">
        <v>503</v>
      </c>
      <c r="J70" s="370">
        <v>35502</v>
      </c>
    </row>
    <row r="71" spans="1:10">
      <c r="A71" s="13">
        <v>7</v>
      </c>
      <c r="B71" s="368" t="s">
        <v>513</v>
      </c>
      <c r="C71" s="370">
        <v>2481</v>
      </c>
      <c r="D71" s="368"/>
      <c r="E71" s="370"/>
      <c r="G71" s="368" t="s">
        <v>515</v>
      </c>
      <c r="H71" s="370">
        <v>316403</v>
      </c>
      <c r="I71" s="368" t="s">
        <v>498</v>
      </c>
      <c r="J71" s="370">
        <v>25116</v>
      </c>
    </row>
    <row r="72" spans="1:10">
      <c r="A72" s="13">
        <v>8</v>
      </c>
      <c r="B72" s="368" t="s">
        <v>501</v>
      </c>
      <c r="C72" s="370">
        <v>1426</v>
      </c>
      <c r="D72" s="368"/>
      <c r="E72" s="370"/>
      <c r="G72" s="368" t="s">
        <v>251</v>
      </c>
      <c r="H72" s="370">
        <v>271567</v>
      </c>
      <c r="I72" s="368" t="s">
        <v>10</v>
      </c>
      <c r="J72" s="370">
        <v>21055</v>
      </c>
    </row>
    <row r="73" spans="1:10">
      <c r="A73" s="13">
        <v>9</v>
      </c>
      <c r="B73" s="368" t="s">
        <v>514</v>
      </c>
      <c r="C73" s="370">
        <v>372</v>
      </c>
      <c r="D73" s="368"/>
      <c r="E73" s="370"/>
      <c r="G73" s="368" t="s">
        <v>12</v>
      </c>
      <c r="H73" s="370">
        <v>269922</v>
      </c>
      <c r="I73" s="368" t="s">
        <v>250</v>
      </c>
      <c r="J73" s="370">
        <v>17550</v>
      </c>
    </row>
    <row r="74" spans="1:10">
      <c r="A74" s="13">
        <v>10</v>
      </c>
      <c r="B74" s="368" t="s">
        <v>260</v>
      </c>
      <c r="C74" s="370">
        <v>310</v>
      </c>
      <c r="D74" s="368"/>
      <c r="E74" s="370"/>
      <c r="G74" s="368" t="s">
        <v>516</v>
      </c>
      <c r="H74" s="370">
        <v>248992</v>
      </c>
      <c r="I74" s="368" t="s">
        <v>249</v>
      </c>
      <c r="J74" s="370">
        <v>12930</v>
      </c>
    </row>
    <row r="75" spans="1:10">
      <c r="B75" s="368" t="s">
        <v>106</v>
      </c>
      <c r="C75" s="370">
        <f>C76-SUM(C64:C74)</f>
        <v>186</v>
      </c>
      <c r="D75" s="368" t="s">
        <v>106</v>
      </c>
      <c r="E75" s="370">
        <f>E76-SUM(E64:E74)</f>
        <v>0</v>
      </c>
      <c r="G75" s="368" t="s">
        <v>106</v>
      </c>
      <c r="H75" s="370">
        <f>H76-SUM(H64:H74)</f>
        <v>1506444</v>
      </c>
      <c r="I75" s="368" t="s">
        <v>429</v>
      </c>
      <c r="J75" s="370">
        <f>J76-SUM(J64:J74)</f>
        <v>14758</v>
      </c>
    </row>
    <row r="76" spans="1:10">
      <c r="B76" s="368" t="s">
        <v>107</v>
      </c>
      <c r="C76" s="370">
        <v>350511</v>
      </c>
      <c r="D76" s="368" t="s">
        <v>107</v>
      </c>
      <c r="E76" s="370">
        <v>201985</v>
      </c>
      <c r="G76" s="368" t="s">
        <v>107</v>
      </c>
      <c r="H76" s="370">
        <v>10575339</v>
      </c>
      <c r="I76" s="368" t="s">
        <v>107</v>
      </c>
      <c r="J76" s="370">
        <v>8248782</v>
      </c>
    </row>
    <row r="78" spans="1:10">
      <c r="B78" s="54" t="s">
        <v>448</v>
      </c>
      <c r="G78" s="481" t="s">
        <v>433</v>
      </c>
    </row>
    <row r="79" spans="1:10">
      <c r="B79" s="30" t="s">
        <v>102</v>
      </c>
      <c r="C79" s="366" t="s">
        <v>103</v>
      </c>
      <c r="D79" s="30" t="s">
        <v>104</v>
      </c>
      <c r="E79" s="366" t="s">
        <v>105</v>
      </c>
      <c r="G79" s="30" t="s">
        <v>102</v>
      </c>
      <c r="H79" s="366" t="s">
        <v>103</v>
      </c>
      <c r="I79" s="30" t="s">
        <v>104</v>
      </c>
      <c r="J79" s="366" t="s">
        <v>105</v>
      </c>
    </row>
    <row r="80" spans="1:10">
      <c r="A80" s="13">
        <v>1</v>
      </c>
      <c r="B80" s="368" t="s">
        <v>498</v>
      </c>
      <c r="C80" s="370">
        <v>465890</v>
      </c>
      <c r="D80" s="368" t="s">
        <v>11</v>
      </c>
      <c r="E80" s="370">
        <v>274729</v>
      </c>
      <c r="G80" s="368" t="s">
        <v>498</v>
      </c>
      <c r="H80" s="370">
        <v>310327</v>
      </c>
      <c r="I80" s="368" t="s">
        <v>243</v>
      </c>
      <c r="J80" s="370">
        <v>115124</v>
      </c>
    </row>
    <row r="81" spans="1:10">
      <c r="A81" s="13">
        <v>2</v>
      </c>
      <c r="B81" s="368" t="s">
        <v>250</v>
      </c>
      <c r="C81" s="370">
        <v>235378</v>
      </c>
      <c r="D81" s="368" t="s">
        <v>243</v>
      </c>
      <c r="E81" s="370">
        <v>239888</v>
      </c>
      <c r="G81" s="368" t="s">
        <v>250</v>
      </c>
      <c r="H81" s="370">
        <v>273366</v>
      </c>
      <c r="I81" s="368" t="s">
        <v>388</v>
      </c>
      <c r="J81" s="370">
        <v>31287</v>
      </c>
    </row>
    <row r="82" spans="1:10">
      <c r="A82" s="13">
        <v>3</v>
      </c>
      <c r="B82" s="368" t="s">
        <v>249</v>
      </c>
      <c r="C82" s="370">
        <v>198915</v>
      </c>
      <c r="D82" s="368" t="s">
        <v>504</v>
      </c>
      <c r="E82" s="370">
        <v>43937</v>
      </c>
      <c r="G82" s="368" t="s">
        <v>243</v>
      </c>
      <c r="H82" s="370">
        <v>205797</v>
      </c>
      <c r="I82" s="368" t="s">
        <v>506</v>
      </c>
      <c r="J82" s="370">
        <v>12589</v>
      </c>
    </row>
    <row r="83" spans="1:10">
      <c r="A83" s="13">
        <v>4</v>
      </c>
      <c r="B83" s="368" t="s">
        <v>389</v>
      </c>
      <c r="C83" s="370">
        <v>128340</v>
      </c>
      <c r="D83" s="368" t="s">
        <v>499</v>
      </c>
      <c r="E83" s="370">
        <v>27473</v>
      </c>
      <c r="G83" s="368" t="s">
        <v>499</v>
      </c>
      <c r="H83" s="370">
        <v>181024</v>
      </c>
      <c r="I83" s="368" t="s">
        <v>11</v>
      </c>
      <c r="J83" s="370">
        <v>9054</v>
      </c>
    </row>
    <row r="84" spans="1:10">
      <c r="A84" s="13">
        <v>5</v>
      </c>
      <c r="B84" s="368" t="s">
        <v>243</v>
      </c>
      <c r="C84" s="370">
        <v>117240</v>
      </c>
      <c r="D84" s="368" t="s">
        <v>503</v>
      </c>
      <c r="E84" s="370">
        <v>6348</v>
      </c>
      <c r="G84" s="368" t="s">
        <v>389</v>
      </c>
      <c r="H84" s="370">
        <v>167161</v>
      </c>
      <c r="I84" s="368" t="s">
        <v>499</v>
      </c>
      <c r="J84" s="370">
        <v>7349</v>
      </c>
    </row>
    <row r="85" spans="1:10">
      <c r="A85" s="13">
        <v>6</v>
      </c>
      <c r="B85" s="368" t="s">
        <v>504</v>
      </c>
      <c r="C85" s="370">
        <v>99877</v>
      </c>
      <c r="D85" s="368" t="s">
        <v>253</v>
      </c>
      <c r="E85" s="370">
        <v>1302</v>
      </c>
      <c r="G85" s="368" t="s">
        <v>251</v>
      </c>
      <c r="H85" s="370">
        <v>143473</v>
      </c>
      <c r="I85" s="368" t="s">
        <v>16</v>
      </c>
      <c r="J85" s="370">
        <v>2543</v>
      </c>
    </row>
    <row r="86" spans="1:10">
      <c r="A86" s="13">
        <v>7</v>
      </c>
      <c r="B86" s="368" t="s">
        <v>11</v>
      </c>
      <c r="C86" s="370">
        <v>90574</v>
      </c>
      <c r="D86" s="368"/>
      <c r="E86" s="370"/>
      <c r="G86" s="368" t="s">
        <v>11</v>
      </c>
      <c r="H86" s="370">
        <v>137953</v>
      </c>
      <c r="I86" s="368" t="s">
        <v>498</v>
      </c>
      <c r="J86" s="370">
        <v>1426</v>
      </c>
    </row>
    <row r="87" spans="1:10">
      <c r="A87" s="13">
        <v>8</v>
      </c>
      <c r="B87" s="368" t="s">
        <v>499</v>
      </c>
      <c r="C87" s="370">
        <v>52031</v>
      </c>
      <c r="D87" s="368"/>
      <c r="E87" s="370"/>
      <c r="G87" s="368" t="s">
        <v>249</v>
      </c>
      <c r="H87" s="370">
        <v>130635</v>
      </c>
      <c r="I87" s="368" t="s">
        <v>503</v>
      </c>
      <c r="J87" s="370">
        <v>1333</v>
      </c>
    </row>
    <row r="88" spans="1:10">
      <c r="A88" s="13">
        <v>9</v>
      </c>
      <c r="B88" s="368" t="s">
        <v>7</v>
      </c>
      <c r="C88" s="370">
        <v>46077</v>
      </c>
      <c r="D88" s="368"/>
      <c r="E88" s="370"/>
      <c r="G88" s="368" t="s">
        <v>388</v>
      </c>
      <c r="H88" s="370">
        <v>65985</v>
      </c>
      <c r="I88" s="368" t="s">
        <v>504</v>
      </c>
      <c r="J88" s="370">
        <v>1116</v>
      </c>
    </row>
    <row r="89" spans="1:10">
      <c r="A89" s="13">
        <v>10</v>
      </c>
      <c r="B89" s="368" t="s">
        <v>301</v>
      </c>
      <c r="C89" s="370">
        <v>41364</v>
      </c>
      <c r="D89" s="368"/>
      <c r="E89" s="370"/>
      <c r="G89" s="368" t="s">
        <v>504</v>
      </c>
      <c r="H89" s="370">
        <v>59596</v>
      </c>
      <c r="I89" s="368" t="s">
        <v>250</v>
      </c>
      <c r="J89" s="370">
        <v>549</v>
      </c>
    </row>
    <row r="90" spans="1:10">
      <c r="B90" s="368" t="s">
        <v>106</v>
      </c>
      <c r="C90" s="370">
        <f>C91-SUM(C80:C89)</f>
        <v>215905</v>
      </c>
      <c r="D90" s="368" t="s">
        <v>106</v>
      </c>
      <c r="E90" s="370">
        <f>E91-SUM(E79:E89)</f>
        <v>0</v>
      </c>
      <c r="G90" s="368" t="s">
        <v>449</v>
      </c>
      <c r="H90" s="370">
        <f>H91-SUM(H79:H89)</f>
        <v>413641</v>
      </c>
      <c r="I90" s="368" t="s">
        <v>106</v>
      </c>
      <c r="J90" s="370">
        <f>J91-SUM(J79:J89)</f>
        <v>0</v>
      </c>
    </row>
    <row r="91" spans="1:10">
      <c r="B91" s="368" t="s">
        <v>107</v>
      </c>
      <c r="C91" s="370">
        <v>1691591</v>
      </c>
      <c r="D91" s="368" t="s">
        <v>107</v>
      </c>
      <c r="E91" s="370">
        <v>593677</v>
      </c>
      <c r="G91" s="368" t="s">
        <v>107</v>
      </c>
      <c r="H91" s="370">
        <v>2088958</v>
      </c>
      <c r="I91" s="368" t="s">
        <v>107</v>
      </c>
      <c r="J91" s="370">
        <v>182370</v>
      </c>
    </row>
    <row r="93" spans="1:10">
      <c r="B93" s="481" t="s">
        <v>450</v>
      </c>
      <c r="G93" s="54" t="s">
        <v>405</v>
      </c>
    </row>
    <row r="94" spans="1:10">
      <c r="B94" s="30" t="s">
        <v>102</v>
      </c>
      <c r="C94" s="366" t="s">
        <v>103</v>
      </c>
      <c r="D94" s="30" t="s">
        <v>104</v>
      </c>
      <c r="E94" s="366" t="s">
        <v>105</v>
      </c>
      <c r="G94" s="30" t="s">
        <v>102</v>
      </c>
      <c r="H94" s="366" t="s">
        <v>103</v>
      </c>
      <c r="I94" s="30" t="s">
        <v>104</v>
      </c>
      <c r="J94" s="366" t="s">
        <v>105</v>
      </c>
    </row>
    <row r="95" spans="1:10">
      <c r="A95" s="13">
        <v>1</v>
      </c>
      <c r="B95" s="372" t="s">
        <v>250</v>
      </c>
      <c r="C95" s="370">
        <v>1396771</v>
      </c>
      <c r="D95" s="371" t="s">
        <v>388</v>
      </c>
      <c r="E95" s="370">
        <v>2009021</v>
      </c>
      <c r="G95" s="368" t="s">
        <v>243</v>
      </c>
      <c r="H95" s="370">
        <v>158453</v>
      </c>
      <c r="I95" s="368" t="s">
        <v>388</v>
      </c>
      <c r="J95" s="370">
        <v>303151</v>
      </c>
    </row>
    <row r="96" spans="1:10">
      <c r="A96" s="13">
        <v>2</v>
      </c>
      <c r="B96" s="372" t="s">
        <v>249</v>
      </c>
      <c r="C96" s="370">
        <v>673117</v>
      </c>
      <c r="D96" s="371" t="s">
        <v>243</v>
      </c>
      <c r="E96" s="370">
        <v>577292</v>
      </c>
      <c r="G96" s="368" t="s">
        <v>23</v>
      </c>
      <c r="H96" s="370">
        <v>96930</v>
      </c>
      <c r="I96" s="368" t="s">
        <v>13</v>
      </c>
      <c r="J96" s="370">
        <v>188802</v>
      </c>
    </row>
    <row r="97" spans="1:15">
      <c r="A97" s="13">
        <v>3</v>
      </c>
      <c r="B97" s="372" t="s">
        <v>243</v>
      </c>
      <c r="C97" s="370">
        <v>606603</v>
      </c>
      <c r="D97" s="371" t="s">
        <v>506</v>
      </c>
      <c r="E97" s="370">
        <v>401612</v>
      </c>
      <c r="G97" s="368" t="s">
        <v>8</v>
      </c>
      <c r="H97" s="370">
        <v>79721</v>
      </c>
      <c r="I97" s="368" t="s">
        <v>243</v>
      </c>
      <c r="J97" s="370">
        <v>115183</v>
      </c>
    </row>
    <row r="98" spans="1:15">
      <c r="A98" s="13">
        <v>4</v>
      </c>
      <c r="B98" s="372" t="s">
        <v>504</v>
      </c>
      <c r="C98" s="370">
        <v>577456</v>
      </c>
      <c r="D98" s="371" t="s">
        <v>253</v>
      </c>
      <c r="E98" s="370">
        <v>41767</v>
      </c>
      <c r="G98" s="368" t="s">
        <v>504</v>
      </c>
      <c r="H98" s="370">
        <v>59007</v>
      </c>
      <c r="I98" s="368" t="s">
        <v>504</v>
      </c>
      <c r="J98" s="370">
        <v>14170</v>
      </c>
    </row>
    <row r="99" spans="1:15">
      <c r="A99" s="13">
        <v>5</v>
      </c>
      <c r="B99" s="372" t="s">
        <v>498</v>
      </c>
      <c r="C99" s="370">
        <v>473366</v>
      </c>
      <c r="D99" s="371" t="s">
        <v>11</v>
      </c>
      <c r="E99" s="370">
        <v>16837</v>
      </c>
      <c r="G99" s="368" t="s">
        <v>500</v>
      </c>
      <c r="H99" s="370">
        <v>45333</v>
      </c>
      <c r="I99" s="368" t="s">
        <v>11</v>
      </c>
      <c r="J99" s="370">
        <v>1023</v>
      </c>
    </row>
    <row r="100" spans="1:15">
      <c r="A100" s="13">
        <v>6</v>
      </c>
      <c r="B100" s="372" t="s">
        <v>499</v>
      </c>
      <c r="C100" s="370">
        <v>139876</v>
      </c>
      <c r="D100" s="371" t="s">
        <v>503</v>
      </c>
      <c r="E100" s="370">
        <v>16465</v>
      </c>
      <c r="G100" s="368" t="s">
        <v>307</v>
      </c>
      <c r="H100" s="370">
        <v>38636</v>
      </c>
      <c r="I100" s="368" t="s">
        <v>510</v>
      </c>
      <c r="J100" s="370">
        <v>25</v>
      </c>
    </row>
    <row r="101" spans="1:15">
      <c r="A101" s="13">
        <v>7</v>
      </c>
      <c r="B101" s="372" t="s">
        <v>500</v>
      </c>
      <c r="C101" s="370">
        <v>135875</v>
      </c>
      <c r="D101" s="371" t="s">
        <v>517</v>
      </c>
      <c r="E101" s="370">
        <v>7287</v>
      </c>
      <c r="G101" s="368" t="s">
        <v>251</v>
      </c>
      <c r="H101" s="370">
        <v>35348</v>
      </c>
      <c r="I101" s="368"/>
      <c r="J101" s="370"/>
    </row>
    <row r="102" spans="1:15">
      <c r="A102" s="13">
        <v>8</v>
      </c>
      <c r="B102" s="372" t="s">
        <v>10</v>
      </c>
      <c r="C102" s="370">
        <v>130605</v>
      </c>
      <c r="D102" s="371" t="s">
        <v>250</v>
      </c>
      <c r="E102" s="370">
        <v>1860</v>
      </c>
      <c r="G102" s="368" t="s">
        <v>389</v>
      </c>
      <c r="H102" s="370">
        <v>24744</v>
      </c>
      <c r="I102" s="368"/>
      <c r="J102" s="370"/>
    </row>
    <row r="103" spans="1:15">
      <c r="A103" s="13">
        <v>9</v>
      </c>
      <c r="B103" s="372" t="s">
        <v>11</v>
      </c>
      <c r="C103" s="370">
        <v>92031</v>
      </c>
      <c r="D103" s="371"/>
      <c r="E103" s="370"/>
      <c r="G103" s="368" t="s">
        <v>7</v>
      </c>
      <c r="H103" s="370">
        <v>22915</v>
      </c>
      <c r="I103" s="368"/>
      <c r="J103" s="370"/>
    </row>
    <row r="104" spans="1:15">
      <c r="A104" s="13">
        <v>10</v>
      </c>
      <c r="B104" s="372" t="s">
        <v>13</v>
      </c>
      <c r="C104" s="370">
        <v>84186</v>
      </c>
      <c r="D104" s="371"/>
      <c r="E104" s="370"/>
      <c r="G104" s="368" t="s">
        <v>292</v>
      </c>
      <c r="H104" s="370">
        <v>21023</v>
      </c>
      <c r="I104" s="368"/>
      <c r="J104" s="370"/>
    </row>
    <row r="105" spans="1:15">
      <c r="B105" s="368" t="s">
        <v>106</v>
      </c>
      <c r="C105" s="370">
        <f>C106-SUM(C94:C104)</f>
        <v>626914</v>
      </c>
      <c r="D105" s="368" t="s">
        <v>106</v>
      </c>
      <c r="E105" s="370">
        <f>E106-SUM(E94:E104)</f>
        <v>0</v>
      </c>
      <c r="G105" s="371" t="s">
        <v>426</v>
      </c>
      <c r="H105" s="370">
        <f>H106-SUM(H94:H104)</f>
        <v>144834</v>
      </c>
      <c r="I105" s="368" t="s">
        <v>106</v>
      </c>
      <c r="J105" s="370">
        <f>J106-SUM(J94:J104)</f>
        <v>0</v>
      </c>
    </row>
    <row r="106" spans="1:15">
      <c r="B106" s="368" t="s">
        <v>107</v>
      </c>
      <c r="C106" s="370">
        <v>4936800</v>
      </c>
      <c r="D106" s="368" t="s">
        <v>107</v>
      </c>
      <c r="E106" s="370">
        <v>3072141</v>
      </c>
      <c r="G106" s="368" t="s">
        <v>107</v>
      </c>
      <c r="H106" s="370">
        <v>726944</v>
      </c>
      <c r="I106" s="368" t="s">
        <v>107</v>
      </c>
      <c r="J106" s="370">
        <v>622354</v>
      </c>
    </row>
    <row r="108" spans="1:15">
      <c r="B108" s="481" t="s">
        <v>451</v>
      </c>
      <c r="G108" s="266" t="s">
        <v>452</v>
      </c>
      <c r="L108" s="5"/>
      <c r="M108" s="5"/>
      <c r="N108" s="5"/>
      <c r="O108" s="5"/>
    </row>
    <row r="109" spans="1:15">
      <c r="B109" s="30" t="s">
        <v>102</v>
      </c>
      <c r="C109" s="366" t="s">
        <v>103</v>
      </c>
      <c r="D109" s="30" t="s">
        <v>104</v>
      </c>
      <c r="E109" s="366" t="s">
        <v>105</v>
      </c>
      <c r="G109" s="30" t="s">
        <v>102</v>
      </c>
      <c r="H109" s="366" t="s">
        <v>103</v>
      </c>
      <c r="I109" s="30" t="s">
        <v>104</v>
      </c>
      <c r="J109" s="366" t="s">
        <v>105</v>
      </c>
      <c r="L109" s="5"/>
      <c r="M109" s="5"/>
      <c r="N109" s="5"/>
      <c r="O109" s="5"/>
    </row>
    <row r="110" spans="1:15">
      <c r="A110" s="13">
        <v>1</v>
      </c>
      <c r="B110" s="482" t="s">
        <v>250</v>
      </c>
      <c r="C110" s="370">
        <v>997923</v>
      </c>
      <c r="D110" s="368" t="s">
        <v>388</v>
      </c>
      <c r="E110" s="370">
        <v>2732061</v>
      </c>
      <c r="G110" s="368" t="s">
        <v>250</v>
      </c>
      <c r="H110" s="370">
        <v>704928</v>
      </c>
      <c r="I110" s="371" t="s">
        <v>388</v>
      </c>
      <c r="J110" s="370">
        <v>834303</v>
      </c>
      <c r="L110" s="5"/>
      <c r="M110" s="5"/>
      <c r="N110" s="5"/>
      <c r="O110" s="5"/>
    </row>
    <row r="111" spans="1:15">
      <c r="A111" s="13">
        <v>2</v>
      </c>
      <c r="B111" s="482" t="s">
        <v>249</v>
      </c>
      <c r="C111" s="370">
        <v>716962</v>
      </c>
      <c r="D111" s="368" t="s">
        <v>243</v>
      </c>
      <c r="E111" s="370">
        <v>519065</v>
      </c>
      <c r="G111" s="368" t="s">
        <v>243</v>
      </c>
      <c r="H111" s="370">
        <v>672218</v>
      </c>
      <c r="I111" s="371" t="s">
        <v>518</v>
      </c>
      <c r="J111" s="370">
        <v>138481</v>
      </c>
      <c r="L111" s="5"/>
      <c r="M111" s="5"/>
      <c r="N111" s="5"/>
      <c r="O111" s="5"/>
    </row>
    <row r="112" spans="1:15">
      <c r="A112" s="13">
        <v>3</v>
      </c>
      <c r="B112" s="482" t="s">
        <v>243</v>
      </c>
      <c r="C112" s="370">
        <v>596587</v>
      </c>
      <c r="D112" s="368" t="s">
        <v>511</v>
      </c>
      <c r="E112" s="370">
        <v>205972</v>
      </c>
      <c r="G112" s="368" t="s">
        <v>249</v>
      </c>
      <c r="H112" s="370">
        <v>486695</v>
      </c>
      <c r="I112" s="371" t="s">
        <v>498</v>
      </c>
      <c r="J112" s="370">
        <v>101643</v>
      </c>
      <c r="L112" s="5"/>
      <c r="M112" s="5"/>
      <c r="N112" s="5"/>
      <c r="O112" s="5"/>
    </row>
    <row r="113" spans="1:15">
      <c r="A113" s="13">
        <v>4</v>
      </c>
      <c r="B113" s="482" t="s">
        <v>498</v>
      </c>
      <c r="C113" s="370">
        <v>565580</v>
      </c>
      <c r="D113" s="368" t="s">
        <v>503</v>
      </c>
      <c r="E113" s="370">
        <v>128930</v>
      </c>
      <c r="G113" s="368" t="s">
        <v>498</v>
      </c>
      <c r="H113" s="370">
        <v>392775</v>
      </c>
      <c r="I113" s="371" t="s">
        <v>511</v>
      </c>
      <c r="J113" s="370">
        <v>74636</v>
      </c>
      <c r="L113" s="5"/>
      <c r="M113" s="5"/>
      <c r="N113" s="5"/>
      <c r="O113" s="5"/>
    </row>
    <row r="114" spans="1:15">
      <c r="A114" s="13">
        <v>5</v>
      </c>
      <c r="B114" s="482" t="s">
        <v>504</v>
      </c>
      <c r="C114" s="370">
        <v>503008</v>
      </c>
      <c r="D114" s="368"/>
      <c r="E114" s="370"/>
      <c r="G114" s="368" t="s">
        <v>504</v>
      </c>
      <c r="H114" s="370">
        <v>252590</v>
      </c>
      <c r="I114" s="371" t="s">
        <v>243</v>
      </c>
      <c r="J114" s="370">
        <v>73239</v>
      </c>
      <c r="L114" s="5"/>
      <c r="M114" s="5"/>
      <c r="N114" s="5"/>
      <c r="O114" s="5"/>
    </row>
    <row r="115" spans="1:15">
      <c r="A115" s="13">
        <v>6</v>
      </c>
      <c r="B115" s="482" t="s">
        <v>10</v>
      </c>
      <c r="C115" s="370">
        <v>181023</v>
      </c>
      <c r="D115" s="368"/>
      <c r="E115" s="370"/>
      <c r="G115" s="368" t="s">
        <v>251</v>
      </c>
      <c r="H115" s="370">
        <v>141271</v>
      </c>
      <c r="I115" s="371" t="s">
        <v>506</v>
      </c>
      <c r="J115" s="370">
        <v>42883</v>
      </c>
      <c r="L115" s="5"/>
      <c r="M115" s="5"/>
      <c r="N115" s="5"/>
      <c r="O115" s="5"/>
    </row>
    <row r="116" spans="1:15">
      <c r="A116" s="13">
        <v>7</v>
      </c>
      <c r="B116" s="482" t="s">
        <v>254</v>
      </c>
      <c r="C116" s="370">
        <v>144806</v>
      </c>
      <c r="D116" s="368"/>
      <c r="E116" s="370"/>
      <c r="G116" s="368" t="s">
        <v>500</v>
      </c>
      <c r="H116" s="370">
        <v>115875</v>
      </c>
      <c r="I116" s="371" t="s">
        <v>13</v>
      </c>
      <c r="J116" s="370">
        <v>41923</v>
      </c>
      <c r="L116" s="5"/>
      <c r="M116" s="5"/>
      <c r="N116" s="5"/>
      <c r="O116" s="5"/>
    </row>
    <row r="117" spans="1:15">
      <c r="A117" s="13">
        <v>8</v>
      </c>
      <c r="B117" s="482" t="s">
        <v>500</v>
      </c>
      <c r="C117" s="370">
        <v>124186</v>
      </c>
      <c r="D117" s="368"/>
      <c r="E117" s="370"/>
      <c r="G117" s="368" t="s">
        <v>388</v>
      </c>
      <c r="H117" s="370">
        <v>95659</v>
      </c>
      <c r="I117" s="371" t="s">
        <v>260</v>
      </c>
      <c r="J117" s="370">
        <v>23131</v>
      </c>
      <c r="L117" s="5"/>
      <c r="M117" s="5"/>
      <c r="N117" s="5"/>
      <c r="O117" s="5"/>
    </row>
    <row r="118" spans="1:15">
      <c r="A118" s="13">
        <v>9</v>
      </c>
      <c r="B118" s="482" t="s">
        <v>301</v>
      </c>
      <c r="C118" s="370">
        <v>83473</v>
      </c>
      <c r="D118" s="368"/>
      <c r="E118" s="370"/>
      <c r="G118" s="368" t="s">
        <v>260</v>
      </c>
      <c r="H118" s="370">
        <v>92652</v>
      </c>
      <c r="I118" s="371" t="s">
        <v>503</v>
      </c>
      <c r="J118" s="370">
        <v>4233</v>
      </c>
      <c r="L118" s="5"/>
      <c r="M118" s="5"/>
      <c r="N118" s="5"/>
      <c r="O118" s="5"/>
    </row>
    <row r="119" spans="1:15">
      <c r="A119" s="13">
        <v>10</v>
      </c>
      <c r="B119" s="482" t="s">
        <v>262</v>
      </c>
      <c r="C119" s="370">
        <v>75194</v>
      </c>
      <c r="D119" s="368"/>
      <c r="E119" s="370"/>
      <c r="G119" s="368" t="s">
        <v>10</v>
      </c>
      <c r="H119" s="370">
        <v>76280</v>
      </c>
      <c r="I119" s="371" t="s">
        <v>11</v>
      </c>
      <c r="J119" s="370">
        <v>1240</v>
      </c>
      <c r="L119" s="5"/>
      <c r="M119" s="5"/>
      <c r="N119" s="5"/>
      <c r="O119" s="5"/>
    </row>
    <row r="120" spans="1:15">
      <c r="B120" s="368" t="s">
        <v>106</v>
      </c>
      <c r="C120" s="370">
        <f>C121-SUM(C109:C119)</f>
        <v>362727</v>
      </c>
      <c r="D120" s="368" t="s">
        <v>106</v>
      </c>
      <c r="E120" s="370">
        <f>E121-SUM(E109:E119)</f>
        <v>0</v>
      </c>
      <c r="G120" s="368" t="s">
        <v>426</v>
      </c>
      <c r="H120" s="370">
        <f>H121-SUM(H109:H119)</f>
        <v>479472</v>
      </c>
      <c r="I120" s="374" t="s">
        <v>106</v>
      </c>
      <c r="J120" s="370">
        <f>J121-SUM(J109:J119)</f>
        <v>2384</v>
      </c>
      <c r="L120" s="5"/>
      <c r="M120" s="5"/>
      <c r="N120" s="5"/>
      <c r="O120" s="5"/>
    </row>
    <row r="121" spans="1:15">
      <c r="B121" s="368" t="s">
        <v>107</v>
      </c>
      <c r="C121" s="370">
        <v>4351469</v>
      </c>
      <c r="D121" s="368" t="s">
        <v>107</v>
      </c>
      <c r="E121" s="370">
        <v>3586028</v>
      </c>
      <c r="G121" s="368" t="s">
        <v>107</v>
      </c>
      <c r="H121" s="370">
        <v>3510415</v>
      </c>
      <c r="I121" s="368" t="s">
        <v>107</v>
      </c>
      <c r="J121" s="370">
        <v>1338096</v>
      </c>
    </row>
    <row r="122" spans="1:15">
      <c r="G122" s="5"/>
      <c r="H122" s="96"/>
      <c r="I122" s="5"/>
      <c r="J122" s="96"/>
    </row>
    <row r="123" spans="1:15">
      <c r="B123" s="481" t="s">
        <v>453</v>
      </c>
      <c r="G123" s="54" t="s">
        <v>454</v>
      </c>
    </row>
    <row r="124" spans="1:15">
      <c r="B124" s="30" t="s">
        <v>102</v>
      </c>
      <c r="C124" s="366" t="s">
        <v>103</v>
      </c>
      <c r="D124" s="30" t="s">
        <v>104</v>
      </c>
      <c r="E124" s="366" t="s">
        <v>105</v>
      </c>
      <c r="G124" s="30" t="s">
        <v>102</v>
      </c>
      <c r="H124" s="366" t="s">
        <v>103</v>
      </c>
      <c r="I124" s="30" t="s">
        <v>104</v>
      </c>
      <c r="J124" s="366" t="s">
        <v>105</v>
      </c>
    </row>
    <row r="125" spans="1:15">
      <c r="A125" s="13">
        <v>1</v>
      </c>
      <c r="B125" s="368" t="s">
        <v>250</v>
      </c>
      <c r="C125" s="370">
        <v>234326</v>
      </c>
      <c r="D125" s="368" t="s">
        <v>251</v>
      </c>
      <c r="E125" s="370">
        <v>23845</v>
      </c>
      <c r="G125" s="368" t="s">
        <v>250</v>
      </c>
      <c r="H125" s="370">
        <v>746666</v>
      </c>
      <c r="I125" s="368" t="s">
        <v>243</v>
      </c>
      <c r="J125" s="370">
        <v>204590</v>
      </c>
    </row>
    <row r="126" spans="1:15">
      <c r="A126" s="13">
        <v>2</v>
      </c>
      <c r="B126" s="368" t="s">
        <v>512</v>
      </c>
      <c r="C126" s="370">
        <v>78016</v>
      </c>
      <c r="D126" s="368" t="s">
        <v>243</v>
      </c>
      <c r="E126" s="370">
        <v>12403</v>
      </c>
      <c r="G126" s="368" t="s">
        <v>249</v>
      </c>
      <c r="H126" s="370">
        <v>127969</v>
      </c>
      <c r="I126" s="368" t="s">
        <v>504</v>
      </c>
      <c r="J126" s="370">
        <v>90822</v>
      </c>
    </row>
    <row r="127" spans="1:15">
      <c r="A127" s="13">
        <v>3</v>
      </c>
      <c r="B127" s="368" t="s">
        <v>243</v>
      </c>
      <c r="C127" s="370">
        <v>20310</v>
      </c>
      <c r="D127" s="368" t="s">
        <v>504</v>
      </c>
      <c r="E127" s="370">
        <v>12217</v>
      </c>
      <c r="G127" s="368" t="s">
        <v>243</v>
      </c>
      <c r="H127" s="370">
        <v>124681</v>
      </c>
      <c r="I127" s="368" t="s">
        <v>499</v>
      </c>
      <c r="J127" s="370">
        <v>5953</v>
      </c>
    </row>
    <row r="128" spans="1:15">
      <c r="A128" s="13">
        <v>4</v>
      </c>
      <c r="B128" s="368" t="s">
        <v>498</v>
      </c>
      <c r="C128" s="370">
        <v>18945</v>
      </c>
      <c r="D128" s="368" t="s">
        <v>388</v>
      </c>
      <c r="E128" s="370">
        <v>3070</v>
      </c>
      <c r="G128" s="368" t="s">
        <v>504</v>
      </c>
      <c r="H128" s="370">
        <v>69054</v>
      </c>
      <c r="I128" s="368" t="s">
        <v>503</v>
      </c>
      <c r="J128" s="370">
        <v>93</v>
      </c>
    </row>
    <row r="129" spans="1:15">
      <c r="A129" s="13">
        <v>5</v>
      </c>
      <c r="B129" s="368" t="s">
        <v>249</v>
      </c>
      <c r="C129" s="370">
        <v>14140</v>
      </c>
      <c r="D129" s="368"/>
      <c r="E129" s="370"/>
      <c r="G129" s="368" t="s">
        <v>10</v>
      </c>
      <c r="H129" s="370">
        <v>67690</v>
      </c>
      <c r="I129" s="368"/>
      <c r="J129" s="370"/>
    </row>
    <row r="130" spans="1:15">
      <c r="A130" s="13">
        <v>6</v>
      </c>
      <c r="B130" s="368" t="s">
        <v>519</v>
      </c>
      <c r="C130" s="370">
        <v>13860</v>
      </c>
      <c r="D130" s="368"/>
      <c r="E130" s="370"/>
      <c r="G130" s="368" t="s">
        <v>262</v>
      </c>
      <c r="H130" s="370">
        <v>65985</v>
      </c>
      <c r="I130" s="368"/>
      <c r="J130" s="370"/>
    </row>
    <row r="131" spans="1:15">
      <c r="A131" s="13">
        <v>7</v>
      </c>
      <c r="B131" s="368" t="s">
        <v>499</v>
      </c>
      <c r="C131" s="370">
        <v>9208</v>
      </c>
      <c r="D131" s="368"/>
      <c r="E131" s="370"/>
      <c r="G131" s="368" t="s">
        <v>12</v>
      </c>
      <c r="H131" s="370">
        <v>63504</v>
      </c>
      <c r="I131" s="368"/>
      <c r="J131" s="370"/>
    </row>
    <row r="132" spans="1:15">
      <c r="A132" s="13">
        <v>8</v>
      </c>
      <c r="B132" s="368" t="s">
        <v>251</v>
      </c>
      <c r="C132" s="370">
        <v>8248</v>
      </c>
      <c r="D132" s="368"/>
      <c r="E132" s="370"/>
      <c r="G132" s="368" t="s">
        <v>498</v>
      </c>
      <c r="H132" s="370">
        <v>62202</v>
      </c>
      <c r="I132" s="368"/>
      <c r="J132" s="370"/>
    </row>
    <row r="133" spans="1:15">
      <c r="A133" s="13">
        <v>9</v>
      </c>
      <c r="B133" s="368" t="s">
        <v>515</v>
      </c>
      <c r="C133" s="370">
        <v>6698</v>
      </c>
      <c r="D133" s="368"/>
      <c r="E133" s="370"/>
      <c r="G133" s="368" t="s">
        <v>501</v>
      </c>
      <c r="H133" s="370">
        <v>40559</v>
      </c>
      <c r="I133" s="368"/>
      <c r="J133" s="370"/>
    </row>
    <row r="134" spans="1:15">
      <c r="A134" s="13">
        <v>10</v>
      </c>
      <c r="B134" s="368" t="s">
        <v>389</v>
      </c>
      <c r="C134" s="370">
        <v>3566</v>
      </c>
      <c r="D134" s="93"/>
      <c r="E134" s="27"/>
      <c r="G134" s="368" t="s">
        <v>500</v>
      </c>
      <c r="H134" s="370">
        <v>37146</v>
      </c>
      <c r="I134" s="368"/>
      <c r="J134" s="370"/>
    </row>
    <row r="135" spans="1:15">
      <c r="B135" s="371" t="s">
        <v>426</v>
      </c>
      <c r="C135" s="370">
        <f>C136-SUM(C125:C134)</f>
        <v>14265</v>
      </c>
      <c r="D135" s="368" t="s">
        <v>106</v>
      </c>
      <c r="E135" s="370">
        <f>E136-SUM(E125:E134)</f>
        <v>0</v>
      </c>
      <c r="G135" s="368" t="s">
        <v>106</v>
      </c>
      <c r="H135" s="370">
        <f>H136-SUM(H125:H134)</f>
        <v>207008</v>
      </c>
      <c r="I135" s="368" t="s">
        <v>106</v>
      </c>
      <c r="J135" s="370">
        <f>J136-SUM(J125:J134)</f>
        <v>0</v>
      </c>
    </row>
    <row r="136" spans="1:15">
      <c r="B136" s="368" t="s">
        <v>107</v>
      </c>
      <c r="C136" s="370">
        <v>421582</v>
      </c>
      <c r="D136" s="368" t="s">
        <v>107</v>
      </c>
      <c r="E136" s="370">
        <v>51535</v>
      </c>
      <c r="G136" s="368" t="s">
        <v>107</v>
      </c>
      <c r="H136" s="370">
        <v>1612464</v>
      </c>
      <c r="I136" s="368" t="s">
        <v>107</v>
      </c>
      <c r="J136" s="370">
        <v>301458</v>
      </c>
    </row>
    <row r="138" spans="1:15">
      <c r="B138" s="54" t="s">
        <v>455</v>
      </c>
      <c r="G138" s="481" t="s">
        <v>434</v>
      </c>
      <c r="L138" s="5"/>
      <c r="M138" s="5"/>
      <c r="N138" s="5"/>
      <c r="O138" s="5"/>
    </row>
    <row r="139" spans="1:15">
      <c r="B139" s="30" t="s">
        <v>102</v>
      </c>
      <c r="C139" s="366" t="s">
        <v>103</v>
      </c>
      <c r="D139" s="30" t="s">
        <v>104</v>
      </c>
      <c r="E139" s="366" t="s">
        <v>105</v>
      </c>
      <c r="G139" s="30" t="s">
        <v>102</v>
      </c>
      <c r="H139" s="366" t="s">
        <v>103</v>
      </c>
      <c r="I139" s="30" t="s">
        <v>104</v>
      </c>
      <c r="J139" s="366" t="s">
        <v>105</v>
      </c>
      <c r="L139" s="5"/>
      <c r="M139" s="5"/>
      <c r="N139" s="5"/>
      <c r="O139" s="5"/>
    </row>
    <row r="140" spans="1:15">
      <c r="A140" s="13">
        <v>1</v>
      </c>
      <c r="B140" s="371" t="s">
        <v>250</v>
      </c>
      <c r="C140" s="370">
        <v>646604</v>
      </c>
      <c r="D140" s="368" t="s">
        <v>243</v>
      </c>
      <c r="E140" s="370">
        <v>987179</v>
      </c>
      <c r="G140" s="368" t="s">
        <v>250</v>
      </c>
      <c r="H140" s="370">
        <v>558850</v>
      </c>
      <c r="I140" s="368" t="s">
        <v>243</v>
      </c>
      <c r="J140" s="370">
        <v>1289142</v>
      </c>
      <c r="L140" s="5"/>
      <c r="M140" s="5"/>
      <c r="N140" s="5"/>
      <c r="O140" s="5"/>
    </row>
    <row r="141" spans="1:15">
      <c r="A141" s="13">
        <v>2</v>
      </c>
      <c r="B141" s="371" t="s">
        <v>10</v>
      </c>
      <c r="C141" s="370">
        <v>313768</v>
      </c>
      <c r="D141" s="368" t="s">
        <v>504</v>
      </c>
      <c r="E141" s="370">
        <v>55566</v>
      </c>
      <c r="G141" s="368" t="s">
        <v>243</v>
      </c>
      <c r="H141" s="370">
        <v>416898</v>
      </c>
      <c r="I141" s="368" t="s">
        <v>504</v>
      </c>
      <c r="J141" s="370">
        <v>633334</v>
      </c>
      <c r="L141" s="5"/>
      <c r="M141" s="5"/>
      <c r="N141" s="5"/>
      <c r="O141" s="5"/>
    </row>
    <row r="142" spans="1:15">
      <c r="A142" s="13">
        <v>3</v>
      </c>
      <c r="B142" s="371" t="s">
        <v>498</v>
      </c>
      <c r="C142" s="370">
        <v>295469</v>
      </c>
      <c r="D142" s="368" t="s">
        <v>499</v>
      </c>
      <c r="E142" s="370">
        <v>3442</v>
      </c>
      <c r="G142" s="368" t="s">
        <v>498</v>
      </c>
      <c r="H142" s="370">
        <v>321519</v>
      </c>
      <c r="I142" s="368" t="s">
        <v>505</v>
      </c>
      <c r="J142" s="370">
        <v>19101</v>
      </c>
      <c r="L142" s="5"/>
      <c r="M142" s="5"/>
      <c r="N142" s="5"/>
      <c r="O142" s="5"/>
    </row>
    <row r="143" spans="1:15">
      <c r="A143" s="13">
        <v>4</v>
      </c>
      <c r="B143" s="371" t="s">
        <v>249</v>
      </c>
      <c r="C143" s="370">
        <v>186263</v>
      </c>
      <c r="D143" s="368" t="s">
        <v>503</v>
      </c>
      <c r="E143" s="370">
        <v>2759</v>
      </c>
      <c r="G143" s="368" t="s">
        <v>249</v>
      </c>
      <c r="H143" s="370">
        <v>265053</v>
      </c>
      <c r="I143" s="368" t="s">
        <v>499</v>
      </c>
      <c r="J143" s="370">
        <v>14915</v>
      </c>
      <c r="L143" s="5"/>
      <c r="M143" s="5"/>
      <c r="N143" s="5"/>
      <c r="O143" s="5"/>
    </row>
    <row r="144" spans="1:15">
      <c r="A144" s="13">
        <v>5</v>
      </c>
      <c r="B144" s="371" t="s">
        <v>243</v>
      </c>
      <c r="C144" s="370">
        <v>116369</v>
      </c>
      <c r="D144" s="368" t="s">
        <v>505</v>
      </c>
      <c r="E144" s="370">
        <v>2481</v>
      </c>
      <c r="G144" s="368" t="s">
        <v>10</v>
      </c>
      <c r="H144" s="370">
        <v>219317</v>
      </c>
      <c r="I144" s="368" t="s">
        <v>503</v>
      </c>
      <c r="J144" s="370">
        <v>11752</v>
      </c>
      <c r="L144" s="5"/>
      <c r="M144" s="5"/>
      <c r="N144" s="5"/>
      <c r="O144" s="5"/>
    </row>
    <row r="145" spans="1:15">
      <c r="A145" s="13">
        <v>6</v>
      </c>
      <c r="B145" s="371" t="s">
        <v>11</v>
      </c>
      <c r="C145" s="370">
        <v>84962</v>
      </c>
      <c r="D145" s="368" t="s">
        <v>511</v>
      </c>
      <c r="E145" s="370">
        <v>403</v>
      </c>
      <c r="G145" s="368" t="s">
        <v>499</v>
      </c>
      <c r="H145" s="370">
        <v>162171</v>
      </c>
      <c r="I145" s="368" t="s">
        <v>11</v>
      </c>
      <c r="J145" s="370">
        <v>5643</v>
      </c>
      <c r="L145" s="5"/>
      <c r="M145" s="5"/>
      <c r="N145" s="5"/>
      <c r="O145" s="5"/>
    </row>
    <row r="146" spans="1:15">
      <c r="A146" s="13">
        <v>7</v>
      </c>
      <c r="B146" s="371" t="s">
        <v>504</v>
      </c>
      <c r="C146" s="370">
        <v>82759</v>
      </c>
      <c r="D146" s="368" t="s">
        <v>11</v>
      </c>
      <c r="E146" s="370">
        <v>186</v>
      </c>
      <c r="G146" s="368" t="s">
        <v>251</v>
      </c>
      <c r="H146" s="370">
        <v>144092</v>
      </c>
      <c r="I146" s="368" t="s">
        <v>250</v>
      </c>
      <c r="J146" s="370">
        <v>3504</v>
      </c>
      <c r="L146" s="5"/>
      <c r="M146" s="5"/>
      <c r="N146" s="5"/>
      <c r="O146" s="5"/>
    </row>
    <row r="147" spans="1:15">
      <c r="A147" s="13">
        <v>8</v>
      </c>
      <c r="B147" s="371" t="s">
        <v>301</v>
      </c>
      <c r="C147" s="370">
        <v>82449</v>
      </c>
      <c r="D147" s="368"/>
      <c r="E147" s="370"/>
      <c r="G147" s="368" t="s">
        <v>11</v>
      </c>
      <c r="H147" s="370">
        <v>127319</v>
      </c>
      <c r="I147" s="368" t="s">
        <v>389</v>
      </c>
      <c r="J147" s="370">
        <v>3256</v>
      </c>
      <c r="L147" s="5"/>
      <c r="M147" s="5"/>
      <c r="N147" s="5"/>
      <c r="O147" s="5"/>
    </row>
    <row r="148" spans="1:15">
      <c r="A148" s="13">
        <v>9</v>
      </c>
      <c r="B148" s="371" t="s">
        <v>271</v>
      </c>
      <c r="C148" s="370">
        <v>71721</v>
      </c>
      <c r="D148" s="368"/>
      <c r="E148" s="370"/>
      <c r="G148" s="368" t="s">
        <v>7</v>
      </c>
      <c r="H148" s="370">
        <v>77736</v>
      </c>
      <c r="I148" s="368" t="s">
        <v>388</v>
      </c>
      <c r="J148" s="370">
        <v>93</v>
      </c>
      <c r="L148" s="5"/>
      <c r="M148" s="5"/>
      <c r="N148" s="5"/>
      <c r="O148" s="5"/>
    </row>
    <row r="149" spans="1:15">
      <c r="A149" s="13">
        <v>10</v>
      </c>
      <c r="B149" s="371" t="s">
        <v>260</v>
      </c>
      <c r="C149" s="370">
        <v>68435</v>
      </c>
      <c r="D149" s="368"/>
      <c r="E149" s="370"/>
      <c r="G149" s="368" t="s">
        <v>504</v>
      </c>
      <c r="H149" s="370">
        <v>71628</v>
      </c>
      <c r="I149" s="368" t="s">
        <v>511</v>
      </c>
      <c r="J149" s="370">
        <v>28</v>
      </c>
      <c r="L149" s="5"/>
      <c r="M149" s="5"/>
      <c r="N149" s="5"/>
      <c r="O149" s="5"/>
    </row>
    <row r="150" spans="1:15">
      <c r="B150" s="368" t="s">
        <v>449</v>
      </c>
      <c r="C150" s="370">
        <f>C151-SUM(C139:C149)</f>
        <v>330973</v>
      </c>
      <c r="D150" s="368" t="s">
        <v>106</v>
      </c>
      <c r="E150" s="370">
        <f>E151-SUM(E140:E149)</f>
        <v>0</v>
      </c>
      <c r="G150" s="368" t="s">
        <v>456</v>
      </c>
      <c r="H150" s="370">
        <f>H151-SUM(H140:H149)</f>
        <v>502046</v>
      </c>
      <c r="I150" s="368" t="s">
        <v>106</v>
      </c>
      <c r="J150" s="370">
        <f>J151-SUM(J140:J149)</f>
        <v>0</v>
      </c>
      <c r="L150" s="5"/>
      <c r="M150" s="5"/>
      <c r="N150" s="5"/>
      <c r="O150" s="5"/>
    </row>
    <row r="151" spans="1:15">
      <c r="B151" s="368" t="s">
        <v>107</v>
      </c>
      <c r="C151" s="370">
        <v>2279772</v>
      </c>
      <c r="D151" s="368" t="s">
        <v>107</v>
      </c>
      <c r="E151" s="370">
        <v>1052016</v>
      </c>
      <c r="G151" s="368" t="s">
        <v>107</v>
      </c>
      <c r="H151" s="370">
        <v>2866629</v>
      </c>
      <c r="I151" s="368" t="s">
        <v>107</v>
      </c>
      <c r="J151" s="370">
        <v>1980768</v>
      </c>
      <c r="L151" s="5"/>
      <c r="M151" s="5"/>
      <c r="N151" s="5"/>
      <c r="O151" s="5"/>
    </row>
    <row r="153" spans="1:15">
      <c r="B153" s="481" t="s">
        <v>457</v>
      </c>
      <c r="G153" s="481" t="s">
        <v>435</v>
      </c>
    </row>
    <row r="154" spans="1:15">
      <c r="B154" s="30" t="s">
        <v>102</v>
      </c>
      <c r="C154" s="366" t="s">
        <v>103</v>
      </c>
      <c r="D154" s="30" t="s">
        <v>104</v>
      </c>
      <c r="E154" s="366" t="s">
        <v>105</v>
      </c>
      <c r="G154" s="30" t="s">
        <v>102</v>
      </c>
      <c r="H154" s="366" t="s">
        <v>103</v>
      </c>
      <c r="I154" s="30" t="s">
        <v>104</v>
      </c>
      <c r="J154" s="366" t="s">
        <v>105</v>
      </c>
    </row>
    <row r="155" spans="1:15">
      <c r="A155" s="13">
        <v>1</v>
      </c>
      <c r="B155" s="368" t="s">
        <v>498</v>
      </c>
      <c r="C155" s="370">
        <v>1310696</v>
      </c>
      <c r="D155" s="482" t="s">
        <v>510</v>
      </c>
      <c r="E155" s="370">
        <v>431023</v>
      </c>
      <c r="G155" s="368" t="s">
        <v>498</v>
      </c>
      <c r="H155" s="370">
        <v>222854</v>
      </c>
      <c r="I155" s="368" t="s">
        <v>243</v>
      </c>
      <c r="J155" s="370">
        <v>76865</v>
      </c>
    </row>
    <row r="156" spans="1:15">
      <c r="A156" s="13">
        <v>2</v>
      </c>
      <c r="B156" s="368" t="s">
        <v>243</v>
      </c>
      <c r="C156" s="370">
        <v>945240</v>
      </c>
      <c r="D156" s="482" t="s">
        <v>250</v>
      </c>
      <c r="E156" s="370">
        <v>414885</v>
      </c>
      <c r="G156" s="368" t="s">
        <v>388</v>
      </c>
      <c r="H156" s="370">
        <v>27597</v>
      </c>
      <c r="I156" s="368" t="s">
        <v>510</v>
      </c>
      <c r="J156" s="370">
        <v>7467</v>
      </c>
    </row>
    <row r="157" spans="1:15">
      <c r="A157" s="13">
        <v>3</v>
      </c>
      <c r="B157" s="368" t="s">
        <v>10</v>
      </c>
      <c r="C157" s="370">
        <v>358977</v>
      </c>
      <c r="D157" s="482" t="s">
        <v>504</v>
      </c>
      <c r="E157" s="370">
        <v>350949</v>
      </c>
      <c r="G157" s="368" t="s">
        <v>8</v>
      </c>
      <c r="H157" s="370">
        <v>26325</v>
      </c>
      <c r="I157" s="368" t="s">
        <v>504</v>
      </c>
      <c r="J157" s="370">
        <v>6015</v>
      </c>
    </row>
    <row r="158" spans="1:15">
      <c r="A158" s="13">
        <v>4</v>
      </c>
      <c r="B158" s="368" t="s">
        <v>250</v>
      </c>
      <c r="C158" s="370">
        <v>267008</v>
      </c>
      <c r="D158" s="482" t="s">
        <v>243</v>
      </c>
      <c r="E158" s="370">
        <v>245263</v>
      </c>
      <c r="G158" s="368" t="s">
        <v>281</v>
      </c>
      <c r="H158" s="370">
        <v>22326</v>
      </c>
      <c r="I158" s="368" t="s">
        <v>250</v>
      </c>
      <c r="J158" s="370">
        <v>1736</v>
      </c>
    </row>
    <row r="159" spans="1:15">
      <c r="A159" s="13">
        <v>5</v>
      </c>
      <c r="B159" s="368" t="s">
        <v>389</v>
      </c>
      <c r="C159" s="370">
        <v>220310</v>
      </c>
      <c r="D159" s="482" t="s">
        <v>511</v>
      </c>
      <c r="E159" s="370">
        <v>144496</v>
      </c>
      <c r="G159" s="368" t="s">
        <v>243</v>
      </c>
      <c r="H159" s="370">
        <v>17921</v>
      </c>
      <c r="I159" s="368" t="s">
        <v>503</v>
      </c>
      <c r="J159" s="370">
        <v>1643</v>
      </c>
    </row>
    <row r="160" spans="1:15">
      <c r="A160" s="13">
        <v>6</v>
      </c>
      <c r="B160" s="368" t="s">
        <v>301</v>
      </c>
      <c r="C160" s="370">
        <v>207349</v>
      </c>
      <c r="D160" s="482" t="s">
        <v>503</v>
      </c>
      <c r="E160" s="370">
        <v>28558</v>
      </c>
      <c r="G160" s="368" t="s">
        <v>250</v>
      </c>
      <c r="H160" s="370">
        <v>11473</v>
      </c>
      <c r="I160" s="368" t="s">
        <v>498</v>
      </c>
      <c r="J160" s="370">
        <v>496</v>
      </c>
    </row>
    <row r="161" spans="1:10">
      <c r="A161" s="13">
        <v>7</v>
      </c>
      <c r="B161" s="368" t="s">
        <v>281</v>
      </c>
      <c r="C161" s="370">
        <v>150109</v>
      </c>
      <c r="D161" s="482" t="s">
        <v>515</v>
      </c>
      <c r="E161" s="370">
        <v>27443</v>
      </c>
      <c r="G161" s="368" t="s">
        <v>10</v>
      </c>
      <c r="H161" s="370">
        <v>10511</v>
      </c>
      <c r="I161" s="368"/>
      <c r="J161" s="370"/>
    </row>
    <row r="162" spans="1:10">
      <c r="A162" s="13">
        <v>8</v>
      </c>
      <c r="B162" s="368" t="s">
        <v>251</v>
      </c>
      <c r="C162" s="370">
        <v>120713</v>
      </c>
      <c r="D162" s="482" t="s">
        <v>11</v>
      </c>
      <c r="E162" s="370">
        <v>24682</v>
      </c>
      <c r="G162" s="368" t="s">
        <v>501</v>
      </c>
      <c r="H162" s="370">
        <v>10326</v>
      </c>
      <c r="I162" s="368"/>
      <c r="J162" s="370"/>
    </row>
    <row r="163" spans="1:10">
      <c r="A163" s="13">
        <v>9</v>
      </c>
      <c r="B163" s="368" t="s">
        <v>8</v>
      </c>
      <c r="C163" s="370">
        <v>80248</v>
      </c>
      <c r="D163" s="482" t="s">
        <v>251</v>
      </c>
      <c r="E163" s="370">
        <v>8496</v>
      </c>
      <c r="G163" s="368" t="s">
        <v>504</v>
      </c>
      <c r="H163" s="370">
        <v>5333</v>
      </c>
      <c r="I163" s="368"/>
      <c r="J163" s="370"/>
    </row>
    <row r="164" spans="1:10">
      <c r="A164" s="13">
        <v>10</v>
      </c>
      <c r="B164" s="368" t="s">
        <v>388</v>
      </c>
      <c r="C164" s="370">
        <v>66605</v>
      </c>
      <c r="D164" s="482" t="s">
        <v>388</v>
      </c>
      <c r="E164" s="370">
        <v>3315</v>
      </c>
      <c r="G164" s="368" t="s">
        <v>24</v>
      </c>
      <c r="H164" s="370">
        <v>4031</v>
      </c>
      <c r="I164" s="368"/>
      <c r="J164" s="370"/>
    </row>
    <row r="165" spans="1:10">
      <c r="B165" s="368" t="s">
        <v>458</v>
      </c>
      <c r="C165" s="370">
        <f>C166-SUM(C155:C164)</f>
        <v>609271</v>
      </c>
      <c r="D165" s="368" t="s">
        <v>106</v>
      </c>
      <c r="E165" s="370">
        <f>E166-SUM(E155:E164)</f>
        <v>2450</v>
      </c>
      <c r="G165" s="368" t="s">
        <v>106</v>
      </c>
      <c r="H165" s="370">
        <f>H166-SUM(H155:H164)</f>
        <v>14293</v>
      </c>
      <c r="I165" s="368" t="s">
        <v>106</v>
      </c>
      <c r="J165" s="370">
        <f>J166-SUM(J155:J164)</f>
        <v>0</v>
      </c>
    </row>
    <row r="166" spans="1:10">
      <c r="B166" s="368" t="s">
        <v>107</v>
      </c>
      <c r="C166" s="370">
        <v>4336526</v>
      </c>
      <c r="D166" s="368" t="s">
        <v>107</v>
      </c>
      <c r="E166" s="370">
        <v>1681560</v>
      </c>
      <c r="G166" s="368" t="s">
        <v>107</v>
      </c>
      <c r="H166" s="370">
        <v>372990</v>
      </c>
      <c r="I166" s="368" t="s">
        <v>107</v>
      </c>
      <c r="J166" s="370">
        <v>94222</v>
      </c>
    </row>
    <row r="167" spans="1:10">
      <c r="B167" s="373"/>
    </row>
    <row r="168" spans="1:10">
      <c r="B168" s="53" t="s">
        <v>418</v>
      </c>
      <c r="C168" s="96"/>
      <c r="D168" s="5"/>
      <c r="E168" s="96"/>
      <c r="F168" s="5"/>
      <c r="G168" s="5"/>
      <c r="H168" s="96"/>
      <c r="I168" s="5"/>
      <c r="J168" s="96"/>
    </row>
    <row r="169" spans="1:10">
      <c r="B169" s="5"/>
      <c r="C169" s="96"/>
      <c r="D169" s="5"/>
      <c r="E169" s="96"/>
      <c r="F169" s="5"/>
      <c r="G169" s="5"/>
      <c r="H169" s="96"/>
      <c r="I169" s="5"/>
      <c r="J169" s="96"/>
    </row>
    <row r="170" spans="1:10">
      <c r="B170" s="5"/>
      <c r="C170" s="96"/>
      <c r="D170" s="5"/>
      <c r="E170" s="96"/>
      <c r="F170" s="5"/>
      <c r="G170" s="5"/>
      <c r="H170" s="96"/>
      <c r="I170" s="5"/>
      <c r="J170" s="96"/>
    </row>
    <row r="171" spans="1:10">
      <c r="B171" s="5"/>
      <c r="C171" s="96"/>
      <c r="D171" s="5"/>
      <c r="E171" s="96"/>
      <c r="F171" s="5"/>
      <c r="G171" s="5"/>
      <c r="H171" s="96"/>
      <c r="I171" s="5"/>
      <c r="J171" s="96"/>
    </row>
    <row r="172" spans="1:10">
      <c r="B172" s="5"/>
      <c r="C172" s="96"/>
      <c r="D172" s="5"/>
      <c r="E172" s="96"/>
      <c r="F172" s="5"/>
      <c r="G172" s="5"/>
      <c r="H172" s="96"/>
      <c r="I172" s="5"/>
      <c r="J172" s="96"/>
    </row>
    <row r="173" spans="1:10">
      <c r="B173" s="5"/>
      <c r="C173" s="96"/>
      <c r="D173" s="5"/>
      <c r="E173" s="96"/>
      <c r="F173" s="5"/>
      <c r="G173" s="5"/>
      <c r="H173" s="96"/>
      <c r="I173" s="5"/>
      <c r="J173" s="96"/>
    </row>
    <row r="174" spans="1:10">
      <c r="B174" s="5"/>
      <c r="C174" s="96"/>
      <c r="D174" s="5"/>
      <c r="E174" s="96"/>
      <c r="F174" s="5"/>
      <c r="G174" s="5"/>
      <c r="H174" s="96"/>
      <c r="I174" s="5"/>
      <c r="J174" s="96"/>
    </row>
    <row r="175" spans="1:10">
      <c r="B175" s="5"/>
      <c r="C175" s="96"/>
      <c r="D175" s="5"/>
      <c r="E175" s="96"/>
      <c r="F175" s="5"/>
      <c r="G175" s="5"/>
      <c r="H175" s="96"/>
      <c r="I175" s="5"/>
      <c r="J175" s="96"/>
    </row>
    <row r="176" spans="1:10">
      <c r="B176" s="5"/>
      <c r="C176" s="96"/>
      <c r="D176" s="5"/>
      <c r="E176" s="96"/>
      <c r="F176" s="5"/>
      <c r="G176" s="5"/>
      <c r="H176" s="96"/>
      <c r="I176" s="5"/>
      <c r="J176" s="96"/>
    </row>
    <row r="177" spans="2:10">
      <c r="B177" s="5"/>
      <c r="C177" s="96"/>
      <c r="D177" s="5"/>
      <c r="E177" s="96"/>
      <c r="F177" s="5"/>
      <c r="G177" s="5"/>
      <c r="H177" s="96"/>
      <c r="I177" s="5"/>
      <c r="J177" s="96"/>
    </row>
    <row r="178" spans="2:10">
      <c r="B178" s="5"/>
      <c r="C178" s="96"/>
      <c r="D178" s="5"/>
      <c r="E178" s="96"/>
      <c r="F178" s="5"/>
      <c r="G178" s="5"/>
      <c r="H178" s="96"/>
      <c r="I178" s="5"/>
      <c r="J178" s="96"/>
    </row>
    <row r="179" spans="2:10">
      <c r="B179" s="5"/>
      <c r="C179" s="96"/>
      <c r="D179" s="5"/>
      <c r="E179" s="96"/>
      <c r="F179" s="5"/>
      <c r="G179" s="5"/>
      <c r="H179" s="96"/>
      <c r="I179" s="5"/>
      <c r="J179" s="96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zoomScale="90" zoomScaleNormal="90" workbookViewId="0">
      <selection activeCell="A2" sqref="A2"/>
    </sheetView>
  </sheetViews>
  <sheetFormatPr defaultRowHeight="16.5"/>
  <cols>
    <col min="1" max="1" width="16.87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2.125" style="5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54" t="s">
        <v>469</v>
      </c>
      <c r="B1" s="554"/>
      <c r="C1" s="554"/>
      <c r="D1" s="554"/>
      <c r="E1" s="554"/>
      <c r="F1" s="554"/>
      <c r="G1" s="554"/>
      <c r="H1" s="554"/>
      <c r="I1" s="554"/>
    </row>
    <row r="2" spans="1:9" ht="12" customHeight="1"/>
    <row r="3" spans="1:9">
      <c r="A3" s="61" t="s">
        <v>108</v>
      </c>
      <c r="B3" s="62"/>
      <c r="C3" s="62"/>
      <c r="D3" s="170"/>
      <c r="E3" s="62"/>
      <c r="F3" s="62"/>
      <c r="G3" s="62"/>
      <c r="H3" s="62"/>
      <c r="I3" s="170"/>
    </row>
    <row r="4" spans="1:9">
      <c r="A4" s="8" t="s">
        <v>464</v>
      </c>
      <c r="B4" s="8" t="s">
        <v>465</v>
      </c>
      <c r="C4" s="8" t="s">
        <v>466</v>
      </c>
      <c r="D4" s="9" t="s">
        <v>1</v>
      </c>
      <c r="E4" s="10" t="s">
        <v>467</v>
      </c>
      <c r="F4" s="11" t="s">
        <v>2</v>
      </c>
      <c r="G4" s="8" t="s">
        <v>468</v>
      </c>
      <c r="H4" s="11" t="s">
        <v>2</v>
      </c>
      <c r="I4" s="12" t="s">
        <v>1</v>
      </c>
    </row>
    <row r="5" spans="1:9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55</v>
      </c>
      <c r="H5" s="8"/>
      <c r="I5" s="12" t="s">
        <v>4</v>
      </c>
    </row>
    <row r="6" spans="1:9">
      <c r="A6" s="171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4</v>
      </c>
      <c r="C7" s="22">
        <f>SUM(C8:C10)</f>
        <v>15814</v>
      </c>
      <c r="D7" s="23">
        <f>IF(B7,C7/B7,0)</f>
        <v>3953.5</v>
      </c>
      <c r="E7" s="22">
        <f>SUM(E8:E10)</f>
        <v>76</v>
      </c>
      <c r="F7" s="24">
        <f>E7/$E$66</f>
        <v>4.091036324096204E-4</v>
      </c>
      <c r="G7" s="22">
        <f>SUM(G8:G10)</f>
        <v>287102</v>
      </c>
      <c r="H7" s="24">
        <f>G7/$G$66</f>
        <v>1.1544661767088977E-2</v>
      </c>
      <c r="I7" s="25">
        <f>IF(E7,G7/E7,0)</f>
        <v>3777.6578947368421</v>
      </c>
    </row>
    <row r="8" spans="1:9">
      <c r="A8" s="26" t="s">
        <v>390</v>
      </c>
      <c r="B8" s="27">
        <f>VLOOKUP(A8,[1]進出口值表查詢結果!$A$9:$C$21,3,0)</f>
        <v>4</v>
      </c>
      <c r="C8" s="28">
        <f>VLOOKUP(A8,[1]進出口值表查詢結果!$A$9:$C$21,2,0)</f>
        <v>15814</v>
      </c>
      <c r="D8" s="23">
        <f t="shared" ref="D8:D65" si="0">IF(B8,C8/B8,0)</f>
        <v>3953.5</v>
      </c>
      <c r="E8" s="28">
        <f>VLOOKUP(A8,[2]進出口值表查詢結果!$A$9:$C$35,3,0)</f>
        <v>75</v>
      </c>
      <c r="F8" s="24">
        <f>E8/$E$66</f>
        <v>4.0372068987791488E-4</v>
      </c>
      <c r="G8" s="28">
        <f>VLOOKUP(A8,[2]進出口值表查詢結果!$A$9:$C$35,2,0)</f>
        <v>286723</v>
      </c>
      <c r="H8" s="24">
        <f>G8/$G$66</f>
        <v>1.1529421793805172E-2</v>
      </c>
      <c r="I8" s="25">
        <f t="shared" ref="I8:I65" si="1">IF(E8,G8/E8,0)</f>
        <v>3822.9733333333334</v>
      </c>
    </row>
    <row r="9" spans="1:9">
      <c r="A9" s="30" t="s">
        <v>7</v>
      </c>
      <c r="B9" s="27">
        <v>0</v>
      </c>
      <c r="C9" s="28">
        <f>_xlfn.IFNA(VLOOKUP(A9,[3]進!$C$3:$F$510,3,0),-[4]整車!$B$22)</f>
        <v>0</v>
      </c>
      <c r="D9" s="23">
        <f t="shared" si="0"/>
        <v>0</v>
      </c>
      <c r="E9" s="28">
        <f>VLOOKUP(A9,[2]進出口值表查詢結果!$A$9:$C$35,3,0)</f>
        <v>1</v>
      </c>
      <c r="F9" s="24">
        <f>E9/$E$66</f>
        <v>5.3829425317055318E-6</v>
      </c>
      <c r="G9" s="28">
        <f>VLOOKUP(A9,[2]進出口值表查詢結果!$A$9:$C$35,2,0)</f>
        <v>379</v>
      </c>
      <c r="H9" s="24">
        <f>G9/$G$66</f>
        <v>1.523997328380409E-5</v>
      </c>
      <c r="I9" s="25">
        <f t="shared" si="1"/>
        <v>379</v>
      </c>
    </row>
    <row r="10" spans="1:9">
      <c r="A10" s="30" t="s">
        <v>8</v>
      </c>
      <c r="B10" s="27">
        <v>0</v>
      </c>
      <c r="C10" s="28">
        <f>_xlfn.IFNA(VLOOKUP(A10,[3]進!$C$3:$F$50,3,0),-[4]整車!$B$22)</f>
        <v>0</v>
      </c>
      <c r="D10" s="23">
        <f t="shared" si="0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10</v>
      </c>
      <c r="C12" s="33">
        <f>SUM(C13:C39)</f>
        <v>61674</v>
      </c>
      <c r="D12" s="23">
        <f t="shared" si="0"/>
        <v>6167.4</v>
      </c>
      <c r="E12" s="33">
        <f>SUM(E13:E39)</f>
        <v>375</v>
      </c>
      <c r="F12" s="24">
        <f t="shared" ref="F12:F39" si="2">E12/$E$66</f>
        <v>2.0186034493895745E-3</v>
      </c>
      <c r="G12" s="33">
        <f>SUM(G13:G39)</f>
        <v>1075308</v>
      </c>
      <c r="H12" s="24">
        <f t="shared" ref="H12:H39" si="3">G12/$G$66</f>
        <v>4.3239222142112954E-2</v>
      </c>
      <c r="I12" s="25">
        <f t="shared" si="1"/>
        <v>2867.4879999999998</v>
      </c>
    </row>
    <row r="13" spans="1:9">
      <c r="A13" s="452" t="s">
        <v>202</v>
      </c>
      <c r="B13" s="27">
        <v>0</v>
      </c>
      <c r="C13" s="27">
        <f>_xlfn.IFNA(VLOOKUP(A13,[3]進!$C$3:$F$550,3,0),-[4]整車!$B$22)</f>
        <v>0</v>
      </c>
      <c r="D13" s="23">
        <f t="shared" si="0"/>
        <v>0</v>
      </c>
      <c r="E13" s="28">
        <v>0</v>
      </c>
      <c r="F13" s="24">
        <f t="shared" si="2"/>
        <v>0</v>
      </c>
      <c r="G13" s="28">
        <v>0</v>
      </c>
      <c r="H13" s="24">
        <f t="shared" si="3"/>
        <v>0</v>
      </c>
      <c r="I13" s="25">
        <f t="shared" si="1"/>
        <v>0</v>
      </c>
    </row>
    <row r="14" spans="1:9">
      <c r="A14" s="452" t="s">
        <v>203</v>
      </c>
      <c r="B14" s="27">
        <f>VLOOKUP(A14,[1]進出口值表查詢結果!$A$9:$C$21,3,0)</f>
        <v>4</v>
      </c>
      <c r="C14" s="28">
        <f>VLOOKUP(A14,[1]進出口值表查詢結果!$A$9:$C$21,2,0)</f>
        <v>22604</v>
      </c>
      <c r="D14" s="23">
        <f t="shared" si="0"/>
        <v>5651</v>
      </c>
      <c r="E14" s="28">
        <f>VLOOKUP(A14,[2]進出口值表查詢結果!$A$9:$C$35,3,0)</f>
        <v>82</v>
      </c>
      <c r="F14" s="24">
        <f t="shared" si="2"/>
        <v>4.4140128759985356E-4</v>
      </c>
      <c r="G14" s="28">
        <f>VLOOKUP(A14,[2]進出口值表查詢結果!$A$9:$C$35,2,0)</f>
        <v>450564</v>
      </c>
      <c r="H14" s="24">
        <f t="shared" si="3"/>
        <v>1.8117634096685768E-2</v>
      </c>
      <c r="I14" s="25">
        <f t="shared" si="1"/>
        <v>5494.6829268292686</v>
      </c>
    </row>
    <row r="15" spans="1:9">
      <c r="A15" s="453" t="s">
        <v>10</v>
      </c>
      <c r="B15" s="27">
        <v>0</v>
      </c>
      <c r="C15" s="27">
        <f>_xlfn.IFNA(VLOOKUP(A15,[3]進!$C$3:$F$550,3,0),-[4]整車!$B$22)</f>
        <v>0</v>
      </c>
      <c r="D15" s="23">
        <f t="shared" si="0"/>
        <v>0</v>
      </c>
      <c r="E15" s="28">
        <f>VLOOKUP(A15,[2]進出口值表查詢結果!$A$9:$C$35,3,0)</f>
        <v>4</v>
      </c>
      <c r="F15" s="24">
        <f t="shared" si="2"/>
        <v>2.1531770126822127E-5</v>
      </c>
      <c r="G15" s="28">
        <f>VLOOKUP(A15,[2]進出口值表查詢結果!$A$9:$C$35,2,0)</f>
        <v>10236</v>
      </c>
      <c r="H15" s="24">
        <f t="shared" si="3"/>
        <v>4.115999116966192E-4</v>
      </c>
      <c r="I15" s="25">
        <f t="shared" si="1"/>
        <v>2559</v>
      </c>
    </row>
    <row r="16" spans="1:9">
      <c r="A16" s="452" t="s">
        <v>204</v>
      </c>
      <c r="B16" s="27">
        <f>VLOOKUP(A16,[1]進出口值表查詢結果!$A$9:$C$21,3,0)</f>
        <v>1</v>
      </c>
      <c r="C16" s="28">
        <f>VLOOKUP(A16,[1]進出口值表查詢結果!$A$9:$C$21,2,0)</f>
        <v>155</v>
      </c>
      <c r="D16" s="23">
        <f t="shared" si="0"/>
        <v>155</v>
      </c>
      <c r="E16" s="28">
        <f>VLOOKUP(A16,[2]進出口值表查詢結果!$A$9:$C$35,3,0)</f>
        <v>99</v>
      </c>
      <c r="F16" s="24">
        <f t="shared" si="2"/>
        <v>5.3291131063884761E-4</v>
      </c>
      <c r="G16" s="28">
        <f>VLOOKUP(A16,[2]進出口值表查詢結果!$A$9:$C$35,2,0)</f>
        <v>49440</v>
      </c>
      <c r="H16" s="24">
        <f t="shared" si="3"/>
        <v>1.9880323988160269E-3</v>
      </c>
      <c r="I16" s="25">
        <f t="shared" si="1"/>
        <v>499.39393939393938</v>
      </c>
    </row>
    <row r="17" spans="1:9">
      <c r="A17" s="453" t="s">
        <v>11</v>
      </c>
      <c r="B17" s="27">
        <f>VLOOKUP(A17,[1]進出口值表查詢結果!$A$9:$C$21,3,0)</f>
        <v>5</v>
      </c>
      <c r="C17" s="28">
        <f>VLOOKUP(A17,[1]進出口值表查詢結果!$A$9:$C$21,2,0)</f>
        <v>38915</v>
      </c>
      <c r="D17" s="23">
        <f t="shared" si="0"/>
        <v>7783</v>
      </c>
      <c r="E17" s="28">
        <f>VLOOKUP(A17,[2]進出口值表查詢結果!$A$9:$C$35,3,0)</f>
        <v>59</v>
      </c>
      <c r="F17" s="24">
        <f t="shared" si="2"/>
        <v>3.1759360937062635E-4</v>
      </c>
      <c r="G17" s="28">
        <f>VLOOKUP(A17,[2]進出口值表查詢結果!$A$9:$C$35,2,0)</f>
        <v>334997</v>
      </c>
      <c r="H17" s="24">
        <f t="shared" si="3"/>
        <v>1.3470568153442003E-2</v>
      </c>
      <c r="I17" s="25">
        <f t="shared" si="1"/>
        <v>5677.9152542372885</v>
      </c>
    </row>
    <row r="18" spans="1:9">
      <c r="A18" s="453" t="s">
        <v>12</v>
      </c>
      <c r="B18" s="27">
        <v>0</v>
      </c>
      <c r="C18" s="27">
        <f>_xlfn.IFNA(VLOOKUP(A18,[3]進!$C$3:$F$550,3,0),-[4]整車!$B$22)</f>
        <v>0</v>
      </c>
      <c r="D18" s="23">
        <f t="shared" si="0"/>
        <v>0</v>
      </c>
      <c r="E18" s="28">
        <f>VLOOKUP(A18,[2]進出口值表查詢結果!$A$9:$C$35,3,0)</f>
        <v>122</v>
      </c>
      <c r="F18" s="24">
        <f t="shared" si="2"/>
        <v>6.5671898886807481E-4</v>
      </c>
      <c r="G18" s="28">
        <f>VLOOKUP(A18,[2]進出口值表查詢結果!$A$9:$C$35,2,0)</f>
        <v>215498</v>
      </c>
      <c r="H18" s="24">
        <f t="shared" si="3"/>
        <v>8.6653925137551817E-3</v>
      </c>
      <c r="I18" s="25">
        <f t="shared" si="1"/>
        <v>1766.377049180328</v>
      </c>
    </row>
    <row r="19" spans="1:9">
      <c r="A19" s="452" t="s">
        <v>205</v>
      </c>
      <c r="B19" s="27">
        <v>0</v>
      </c>
      <c r="C19" s="27">
        <f>_xlfn.IFNA(VLOOKUP(A19,[3]進!$C$3:$F$550,3,0),-[4]整車!$B$22)</f>
        <v>0</v>
      </c>
      <c r="D19" s="23">
        <f t="shared" si="0"/>
        <v>0</v>
      </c>
      <c r="E19" s="28">
        <f>VLOOKUP(A19,[2]進出口值表查詢結果!$A$9:$C$35,3,0)</f>
        <v>1</v>
      </c>
      <c r="F19" s="24">
        <f t="shared" si="2"/>
        <v>5.3829425317055318E-6</v>
      </c>
      <c r="G19" s="28">
        <f>VLOOKUP(A19,[2]進出口值表查詢結果!$A$9:$C$35,2,0)</f>
        <v>220</v>
      </c>
      <c r="H19" s="24">
        <f t="shared" si="3"/>
        <v>8.8464224866408966E-6</v>
      </c>
      <c r="I19" s="25">
        <f t="shared" si="1"/>
        <v>220</v>
      </c>
    </row>
    <row r="20" spans="1:9">
      <c r="A20" s="453" t="s">
        <v>206</v>
      </c>
      <c r="B20" s="27">
        <v>0</v>
      </c>
      <c r="C20" s="27">
        <f>_xlfn.IFNA(VLOOKUP(A20,[3]進!$C$3:$F$550,3,0),-[4]整車!$B$22)</f>
        <v>0</v>
      </c>
      <c r="D20" s="23">
        <f t="shared" si="0"/>
        <v>0</v>
      </c>
      <c r="E20" s="28">
        <f>VLOOKUP(A20,[2]進出口值表查詢結果!$A$9:$C$35,3,0)</f>
        <v>1</v>
      </c>
      <c r="F20" s="24">
        <f t="shared" si="2"/>
        <v>5.3829425317055318E-6</v>
      </c>
      <c r="G20" s="28">
        <f>VLOOKUP(A20,[2]進出口值表查詢結果!$A$9:$C$35,2,0)</f>
        <v>3163</v>
      </c>
      <c r="H20" s="24">
        <f t="shared" si="3"/>
        <v>1.2718742875111435E-4</v>
      </c>
      <c r="I20" s="25">
        <f t="shared" si="1"/>
        <v>3163</v>
      </c>
    </row>
    <row r="21" spans="1:9">
      <c r="A21" s="452" t="s">
        <v>207</v>
      </c>
      <c r="B21" s="27">
        <v>0</v>
      </c>
      <c r="C21" s="27">
        <f>_xlfn.IFNA(VLOOKUP(A21,[3]進!$C$3:$F$550,3,0),-[4]整車!$B$22)</f>
        <v>0</v>
      </c>
      <c r="D21" s="23">
        <f t="shared" si="0"/>
        <v>0</v>
      </c>
      <c r="E21" s="28">
        <v>0</v>
      </c>
      <c r="F21" s="24">
        <f t="shared" si="2"/>
        <v>0</v>
      </c>
      <c r="G21" s="28">
        <v>0</v>
      </c>
      <c r="H21" s="24">
        <f t="shared" si="3"/>
        <v>0</v>
      </c>
      <c r="I21" s="25">
        <f t="shared" si="1"/>
        <v>0</v>
      </c>
    </row>
    <row r="22" spans="1:9">
      <c r="A22" s="453" t="s">
        <v>14</v>
      </c>
      <c r="B22" s="27">
        <v>0</v>
      </c>
      <c r="C22" s="27">
        <f>_xlfn.IFNA(VLOOKUP(A22,[3]進!$C$3:$F$550,3,0),-[4]整車!$B$22)</f>
        <v>0</v>
      </c>
      <c r="D22" s="23">
        <f t="shared" si="0"/>
        <v>0</v>
      </c>
      <c r="E22" s="28">
        <v>0</v>
      </c>
      <c r="F22" s="24">
        <f t="shared" si="2"/>
        <v>0</v>
      </c>
      <c r="G22" s="28">
        <v>0</v>
      </c>
      <c r="H22" s="24">
        <f t="shared" si="3"/>
        <v>0</v>
      </c>
      <c r="I22" s="25">
        <f t="shared" si="1"/>
        <v>0</v>
      </c>
    </row>
    <row r="23" spans="1:9">
      <c r="A23" s="453" t="s">
        <v>15</v>
      </c>
      <c r="B23" s="27">
        <v>0</v>
      </c>
      <c r="C23" s="27">
        <f>_xlfn.IFNA(VLOOKUP(A23,[3]進!$C$3:$F$550,3,0),-[4]整車!$B$22)</f>
        <v>0</v>
      </c>
      <c r="D23" s="23">
        <f t="shared" si="0"/>
        <v>0</v>
      </c>
      <c r="E23" s="28">
        <v>0</v>
      </c>
      <c r="F23" s="24">
        <f t="shared" si="2"/>
        <v>0</v>
      </c>
      <c r="G23" s="28">
        <v>0</v>
      </c>
      <c r="H23" s="24">
        <f t="shared" si="3"/>
        <v>0</v>
      </c>
      <c r="I23" s="25">
        <f t="shared" si="1"/>
        <v>0</v>
      </c>
    </row>
    <row r="24" spans="1:9">
      <c r="A24" s="453" t="s">
        <v>16</v>
      </c>
      <c r="B24" s="27">
        <v>0</v>
      </c>
      <c r="C24" s="27">
        <v>0</v>
      </c>
      <c r="D24" s="23">
        <f t="shared" si="0"/>
        <v>0</v>
      </c>
      <c r="E24" s="28">
        <f>VLOOKUP(A24,[2]進出口值表查詢結果!$A$9:$C$35,3,0)</f>
        <v>2</v>
      </c>
      <c r="F24" s="24">
        <f t="shared" si="2"/>
        <v>1.0765885063411064E-5</v>
      </c>
      <c r="G24" s="28">
        <f>VLOOKUP(A24,[2]進出口值表查詢結果!$A$9:$C$35,2,0)</f>
        <v>5928</v>
      </c>
      <c r="H24" s="24">
        <f t="shared" si="3"/>
        <v>2.3837087500366925E-4</v>
      </c>
      <c r="I24" s="25">
        <f t="shared" si="1"/>
        <v>2964</v>
      </c>
    </row>
    <row r="25" spans="1:9">
      <c r="A25" s="452" t="s">
        <v>208</v>
      </c>
      <c r="B25" s="27">
        <v>0</v>
      </c>
      <c r="C25" s="27">
        <f>_xlfn.IFNA(VLOOKUP(A25,[3]進!$C$3:$F$550,3,0),-[4]整車!$B$22)</f>
        <v>0</v>
      </c>
      <c r="D25" s="23">
        <f t="shared" si="0"/>
        <v>0</v>
      </c>
      <c r="E25" s="28">
        <v>0</v>
      </c>
      <c r="F25" s="24">
        <f t="shared" si="2"/>
        <v>0</v>
      </c>
      <c r="G25" s="28">
        <v>0</v>
      </c>
      <c r="H25" s="24">
        <f t="shared" si="3"/>
        <v>0</v>
      </c>
      <c r="I25" s="25">
        <f t="shared" si="1"/>
        <v>0</v>
      </c>
    </row>
    <row r="26" spans="1:9">
      <c r="A26" s="452" t="s">
        <v>209</v>
      </c>
      <c r="B26" s="27">
        <v>0</v>
      </c>
      <c r="C26" s="27">
        <f>_xlfn.IFNA(VLOOKUP(A26,[3]進!$C$3:$F$550,3,0),-[4]整車!$B$22)</f>
        <v>0</v>
      </c>
      <c r="D26" s="23">
        <f t="shared" si="0"/>
        <v>0</v>
      </c>
      <c r="E26" s="28">
        <v>0</v>
      </c>
      <c r="F26" s="24">
        <f t="shared" si="2"/>
        <v>0</v>
      </c>
      <c r="G26" s="28">
        <v>0</v>
      </c>
      <c r="H26" s="24">
        <f t="shared" si="3"/>
        <v>0</v>
      </c>
      <c r="I26" s="25">
        <f t="shared" si="1"/>
        <v>0</v>
      </c>
    </row>
    <row r="27" spans="1:9">
      <c r="A27" s="454" t="s">
        <v>210</v>
      </c>
      <c r="B27" s="27">
        <v>0</v>
      </c>
      <c r="C27" s="27">
        <f>_xlfn.IFNA(VLOOKUP(A27,[3]進!$C$3:$F$550,3,0),-[4]整車!$B$22)</f>
        <v>0</v>
      </c>
      <c r="D27" s="23">
        <f t="shared" si="0"/>
        <v>0</v>
      </c>
      <c r="E27" s="28">
        <v>0</v>
      </c>
      <c r="F27" s="24">
        <f t="shared" si="2"/>
        <v>0</v>
      </c>
      <c r="G27" s="28">
        <v>0</v>
      </c>
      <c r="H27" s="24">
        <f t="shared" si="3"/>
        <v>0</v>
      </c>
      <c r="I27" s="25">
        <f t="shared" si="1"/>
        <v>0</v>
      </c>
    </row>
    <row r="28" spans="1:9">
      <c r="A28" s="454" t="s">
        <v>211</v>
      </c>
      <c r="B28" s="27">
        <v>0</v>
      </c>
      <c r="C28" s="27">
        <f>_xlfn.IFNA(VLOOKUP(A28,[3]進!$C$3:$F$550,3,0),-[4]整車!$B$22)</f>
        <v>0</v>
      </c>
      <c r="D28" s="23">
        <f t="shared" si="0"/>
        <v>0</v>
      </c>
      <c r="E28" s="28">
        <f>VLOOKUP(A28,[2]進出口值表查詢結果!$A$9:$C$35,3,0)</f>
        <v>3</v>
      </c>
      <c r="F28" s="24">
        <f t="shared" si="2"/>
        <v>1.6148827595116595E-5</v>
      </c>
      <c r="G28" s="28">
        <f>VLOOKUP(A28,[2]進出口值表查詢結果!$A$9:$C$35,2,0)</f>
        <v>2615</v>
      </c>
      <c r="H28" s="24">
        <f t="shared" si="3"/>
        <v>1.0515179455711793E-4</v>
      </c>
      <c r="I28" s="25">
        <f t="shared" si="1"/>
        <v>871.66666666666663</v>
      </c>
    </row>
    <row r="29" spans="1:9">
      <c r="A29" s="453" t="s">
        <v>212</v>
      </c>
      <c r="B29" s="27">
        <v>0</v>
      </c>
      <c r="C29" s="27">
        <f>_xlfn.IFNA(VLOOKUP(A29,[3]進!$C$3:$F$550,3,0),-[4]整車!$B$22)</f>
        <v>0</v>
      </c>
      <c r="D29" s="23">
        <f t="shared" si="0"/>
        <v>0</v>
      </c>
      <c r="E29" s="28">
        <v>0</v>
      </c>
      <c r="F29" s="24">
        <f t="shared" si="2"/>
        <v>0</v>
      </c>
      <c r="G29" s="28">
        <v>0</v>
      </c>
      <c r="H29" s="24">
        <f t="shared" si="3"/>
        <v>0</v>
      </c>
      <c r="I29" s="25">
        <f t="shared" si="1"/>
        <v>0</v>
      </c>
    </row>
    <row r="30" spans="1:9">
      <c r="A30" s="453" t="s">
        <v>213</v>
      </c>
      <c r="B30" s="27">
        <v>0</v>
      </c>
      <c r="C30" s="27">
        <f>_xlfn.IFNA(VLOOKUP(A30,[3]進!$C$3:$F$550,3,0),-[4]整車!$B$22)</f>
        <v>0</v>
      </c>
      <c r="D30" s="23">
        <f t="shared" si="0"/>
        <v>0</v>
      </c>
      <c r="E30" s="28">
        <v>0</v>
      </c>
      <c r="F30" s="24">
        <f t="shared" si="2"/>
        <v>0</v>
      </c>
      <c r="G30" s="28">
        <v>0</v>
      </c>
      <c r="H30" s="24">
        <f t="shared" si="3"/>
        <v>0</v>
      </c>
      <c r="I30" s="25">
        <f t="shared" si="1"/>
        <v>0</v>
      </c>
    </row>
    <row r="31" spans="1:9">
      <c r="A31" s="453" t="s">
        <v>17</v>
      </c>
      <c r="B31" s="27">
        <v>0</v>
      </c>
      <c r="C31" s="27">
        <f>_xlfn.IFNA(VLOOKUP(A31,[3]進!$C$3:$F$550,3,0),-[4]整車!$B$22)</f>
        <v>0</v>
      </c>
      <c r="D31" s="23">
        <f t="shared" si="0"/>
        <v>0</v>
      </c>
      <c r="E31" s="28">
        <v>0</v>
      </c>
      <c r="F31" s="24">
        <f t="shared" si="2"/>
        <v>0</v>
      </c>
      <c r="G31" s="28">
        <v>0</v>
      </c>
      <c r="H31" s="24">
        <f t="shared" si="3"/>
        <v>0</v>
      </c>
      <c r="I31" s="25">
        <f t="shared" si="1"/>
        <v>0</v>
      </c>
    </row>
    <row r="32" spans="1:9">
      <c r="A32" s="453" t="s">
        <v>18</v>
      </c>
      <c r="B32" s="27">
        <v>0</v>
      </c>
      <c r="C32" s="27">
        <f>_xlfn.IFNA(VLOOKUP(A32,[3]進!$C$3:$F$550,3,0),-[4]整車!$B$22)</f>
        <v>0</v>
      </c>
      <c r="D32" s="23">
        <f t="shared" si="0"/>
        <v>0</v>
      </c>
      <c r="E32" s="28">
        <f>VLOOKUP(A32,[2]進出口值表查詢結果!$A$9:$C$35,3,0)</f>
        <v>2</v>
      </c>
      <c r="F32" s="24">
        <f t="shared" si="2"/>
        <v>1.0765885063411064E-5</v>
      </c>
      <c r="G32" s="28">
        <f>VLOOKUP(A32,[2]進出口值表查詢結果!$A$9:$C$35,2,0)</f>
        <v>2647</v>
      </c>
      <c r="H32" s="24">
        <f t="shared" si="3"/>
        <v>1.0643854691881116E-4</v>
      </c>
      <c r="I32" s="25">
        <f t="shared" si="1"/>
        <v>1323.5</v>
      </c>
    </row>
    <row r="33" spans="1:9">
      <c r="A33" s="453" t="s">
        <v>214</v>
      </c>
      <c r="B33" s="27">
        <v>0</v>
      </c>
      <c r="C33" s="27">
        <f>_xlfn.IFNA(VLOOKUP(A33,[3]進!$C$3:$F$550,3,0),-[4]整車!$B$22)</f>
        <v>0</v>
      </c>
      <c r="D33" s="23">
        <f t="shared" si="0"/>
        <v>0</v>
      </c>
      <c r="E33" s="28">
        <v>0</v>
      </c>
      <c r="F33" s="24">
        <f t="shared" si="2"/>
        <v>0</v>
      </c>
      <c r="G33" s="28">
        <v>0</v>
      </c>
      <c r="H33" s="24">
        <f t="shared" si="3"/>
        <v>0</v>
      </c>
      <c r="I33" s="25">
        <f t="shared" si="1"/>
        <v>0</v>
      </c>
    </row>
    <row r="34" spans="1:9">
      <c r="A34" s="453" t="s">
        <v>215</v>
      </c>
      <c r="B34" s="27">
        <v>0</v>
      </c>
      <c r="C34" s="27">
        <f>_xlfn.IFNA(VLOOKUP(A34,[3]進!$C$3:$F$550,3,0),-[4]整車!$B$22)</f>
        <v>0</v>
      </c>
      <c r="D34" s="23">
        <f t="shared" si="0"/>
        <v>0</v>
      </c>
      <c r="E34" s="28">
        <v>0</v>
      </c>
      <c r="F34" s="24">
        <f t="shared" si="2"/>
        <v>0</v>
      </c>
      <c r="G34" s="28">
        <v>0</v>
      </c>
      <c r="H34" s="24">
        <f t="shared" si="3"/>
        <v>0</v>
      </c>
      <c r="I34" s="25">
        <f t="shared" si="1"/>
        <v>0</v>
      </c>
    </row>
    <row r="35" spans="1:9">
      <c r="A35" s="453" t="s">
        <v>216</v>
      </c>
      <c r="B35" s="27">
        <v>0</v>
      </c>
      <c r="C35" s="27">
        <f>_xlfn.IFNA(VLOOKUP(A35,[3]進!$C$3:$F$550,3,0),-[4]整車!$B$22)</f>
        <v>0</v>
      </c>
      <c r="D35" s="23">
        <f t="shared" si="0"/>
        <v>0</v>
      </c>
      <c r="E35" s="28">
        <v>0</v>
      </c>
      <c r="F35" s="24">
        <f t="shared" si="2"/>
        <v>0</v>
      </c>
      <c r="G35" s="28">
        <v>0</v>
      </c>
      <c r="H35" s="24">
        <f t="shared" si="3"/>
        <v>0</v>
      </c>
      <c r="I35" s="25">
        <f t="shared" si="1"/>
        <v>0</v>
      </c>
    </row>
    <row r="36" spans="1:9">
      <c r="A36" s="453" t="s">
        <v>217</v>
      </c>
      <c r="B36" s="27">
        <v>0</v>
      </c>
      <c r="C36" s="27">
        <f>_xlfn.IFNA(VLOOKUP(A36,[3]進!$C$3:$F$550,3,0),-[4]整車!$B$22)</f>
        <v>0</v>
      </c>
      <c r="D36" s="23">
        <f t="shared" si="0"/>
        <v>0</v>
      </c>
      <c r="E36" s="28">
        <v>0</v>
      </c>
      <c r="F36" s="24">
        <f t="shared" si="2"/>
        <v>0</v>
      </c>
      <c r="G36" s="28">
        <v>0</v>
      </c>
      <c r="H36" s="24">
        <f t="shared" si="3"/>
        <v>0</v>
      </c>
      <c r="I36" s="25">
        <f t="shared" si="1"/>
        <v>0</v>
      </c>
    </row>
    <row r="37" spans="1:9">
      <c r="A37" s="453" t="s">
        <v>218</v>
      </c>
      <c r="B37" s="27">
        <v>0</v>
      </c>
      <c r="C37" s="27">
        <f>_xlfn.IFNA(VLOOKUP(A37,[3]進!$C$3:$F$550,3,0),-[4]整車!$B$22)</f>
        <v>0</v>
      </c>
      <c r="D37" s="23">
        <f t="shared" si="0"/>
        <v>0</v>
      </c>
      <c r="E37" s="28">
        <v>0</v>
      </c>
      <c r="F37" s="24">
        <f t="shared" si="2"/>
        <v>0</v>
      </c>
      <c r="G37" s="28">
        <v>0</v>
      </c>
      <c r="H37" s="24">
        <f t="shared" si="3"/>
        <v>0</v>
      </c>
      <c r="I37" s="25">
        <f t="shared" si="1"/>
        <v>0</v>
      </c>
    </row>
    <row r="38" spans="1:9">
      <c r="A38" s="453" t="s">
        <v>219</v>
      </c>
      <c r="B38" s="27">
        <v>0</v>
      </c>
      <c r="C38" s="27">
        <f>_xlfn.IFNA(VLOOKUP(A38,[3]進!$C$3:$F$550,3,0),-[4]整車!$B$22)</f>
        <v>0</v>
      </c>
      <c r="D38" s="23">
        <f t="shared" si="0"/>
        <v>0</v>
      </c>
      <c r="E38" s="28">
        <v>0</v>
      </c>
      <c r="F38" s="24">
        <f t="shared" si="2"/>
        <v>0</v>
      </c>
      <c r="G38" s="28">
        <v>0</v>
      </c>
      <c r="H38" s="24">
        <f t="shared" si="3"/>
        <v>0</v>
      </c>
      <c r="I38" s="25">
        <f t="shared" si="1"/>
        <v>0</v>
      </c>
    </row>
    <row r="39" spans="1:9">
      <c r="A39" s="453" t="s">
        <v>19</v>
      </c>
      <c r="B39" s="27">
        <v>0</v>
      </c>
      <c r="C39" s="27">
        <f>_xlfn.IFNA(VLOOKUP(A39,[3]進!$C$3:$F$550,3,0),-[4]整車!$B$22)</f>
        <v>0</v>
      </c>
      <c r="D39" s="23">
        <f t="shared" si="0"/>
        <v>0</v>
      </c>
      <c r="E39" s="28">
        <v>0</v>
      </c>
      <c r="F39" s="24">
        <f t="shared" si="2"/>
        <v>0</v>
      </c>
      <c r="G39" s="28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20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f>SUM(E42:E45)</f>
        <v>1</v>
      </c>
      <c r="F41" s="24">
        <f>E41/$E$66</f>
        <v>5.3829425317055318E-6</v>
      </c>
      <c r="G41" s="28">
        <f>SUM(G42:G45)</f>
        <v>260</v>
      </c>
      <c r="H41" s="24">
        <f>G41/$G$66</f>
        <v>1.0454862938757423E-5</v>
      </c>
      <c r="I41" s="25">
        <f t="shared" si="1"/>
        <v>260</v>
      </c>
    </row>
    <row r="42" spans="1:9">
      <c r="A42" s="26" t="s">
        <v>220</v>
      </c>
      <c r="B42" s="27">
        <v>0</v>
      </c>
      <c r="C42" s="27">
        <f>_xlfn.IFNA(VLOOKUP(A42,[3]進!$C$3:$F$50,3,0),-[4]整車!$B$22)</f>
        <v>0</v>
      </c>
      <c r="D42" s="23">
        <f t="shared" si="0"/>
        <v>0</v>
      </c>
      <c r="E42" s="28">
        <f>VLOOKUP(A42,[2]進出口值表查詢結果!$A$9:$C$35,3,0)</f>
        <v>1</v>
      </c>
      <c r="F42" s="24">
        <f>E42/$E$66</f>
        <v>5.3829425317055318E-6</v>
      </c>
      <c r="G42" s="28">
        <f>VLOOKUP(A42,[2]進出口值表查詢結果!$A$9:$C$35,2,0)</f>
        <v>260</v>
      </c>
      <c r="H42" s="24">
        <f>G42/$G$66</f>
        <v>1.0454862938757423E-5</v>
      </c>
      <c r="I42" s="25">
        <f t="shared" si="1"/>
        <v>260</v>
      </c>
    </row>
    <row r="43" spans="1:9">
      <c r="A43" s="26" t="s">
        <v>221</v>
      </c>
      <c r="B43" s="27">
        <v>0</v>
      </c>
      <c r="C43" s="27">
        <f>_xlfn.IFNA(VLOOKUP(A43,[3]進!$C$3:$F$50,3,0),-[4]整車!$B$22)</f>
        <v>0</v>
      </c>
      <c r="D43" s="23">
        <f t="shared" si="0"/>
        <v>0</v>
      </c>
      <c r="E43" s="28">
        <v>0</v>
      </c>
      <c r="F43" s="24">
        <f>E43/$E$66</f>
        <v>0</v>
      </c>
      <c r="G43" s="28">
        <v>0</v>
      </c>
      <c r="H43" s="24">
        <f>G43/$G$66</f>
        <v>0</v>
      </c>
      <c r="I43" s="25">
        <f t="shared" si="1"/>
        <v>0</v>
      </c>
    </row>
    <row r="44" spans="1:9">
      <c r="A44" s="26" t="s">
        <v>222</v>
      </c>
      <c r="B44" s="27">
        <v>0</v>
      </c>
      <c r="C44" s="27">
        <f>_xlfn.IFNA(VLOOKUP(A44,[3]進!$C$3:$F$50,3,0),-[4]整車!$B$22)</f>
        <v>0</v>
      </c>
      <c r="D44" s="23">
        <f t="shared" si="0"/>
        <v>0</v>
      </c>
      <c r="E44" s="28">
        <v>0</v>
      </c>
      <c r="F44" s="24">
        <f>E44/$E$66</f>
        <v>0</v>
      </c>
      <c r="G44" s="28">
        <v>0</v>
      </c>
      <c r="H44" s="24">
        <f>G44/$G$66</f>
        <v>0</v>
      </c>
      <c r="I44" s="25">
        <f t="shared" si="1"/>
        <v>0</v>
      </c>
    </row>
    <row r="45" spans="1:9">
      <c r="A45" s="30" t="s">
        <v>21</v>
      </c>
      <c r="B45" s="27">
        <v>0</v>
      </c>
      <c r="C45" s="27">
        <f>_xlfn.IFNA(VLOOKUP(A45,[3]進!$C$3:$F$50,3,0),-[4]整車!$B$22)</f>
        <v>0</v>
      </c>
      <c r="D45" s="23">
        <f t="shared" si="0"/>
        <v>0</v>
      </c>
      <c r="E45" s="28">
        <v>0</v>
      </c>
      <c r="F45" s="24">
        <f>E45/$E$66</f>
        <v>0</v>
      </c>
      <c r="G45" s="28"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22</v>
      </c>
      <c r="B47" s="33">
        <f>SUM(B48:B64)</f>
        <v>22742</v>
      </c>
      <c r="C47" s="33">
        <f>SUM(C48:C64)</f>
        <v>1667883</v>
      </c>
      <c r="D47" s="23">
        <f t="shared" si="0"/>
        <v>73.339328115381235</v>
      </c>
      <c r="E47" s="33">
        <f>SUM(E48:E64)</f>
        <v>184446</v>
      </c>
      <c r="F47" s="24">
        <f>E47/$E$66</f>
        <v>0.9928622182029585</v>
      </c>
      <c r="G47" s="33">
        <f>SUM(G48:G64)</f>
        <v>22021437</v>
      </c>
      <c r="H47" s="24">
        <f t="shared" ref="H47:H66" si="4">G47/$G$66</f>
        <v>0.88550425211339023</v>
      </c>
      <c r="I47" s="25">
        <f t="shared" si="1"/>
        <v>119.39232620929702</v>
      </c>
    </row>
    <row r="48" spans="1:9" ht="16.899999999999999" customHeight="1">
      <c r="A48" s="484" t="s">
        <v>163</v>
      </c>
      <c r="B48" s="27">
        <f>VLOOKUP(A48,[1]進出口值表查詢結果!$A$9:$C$21,3,0)</f>
        <v>147</v>
      </c>
      <c r="C48" s="28">
        <f>VLOOKUP(A48,[1]進出口值表查詢結果!$A$9:$C$21,2,0)</f>
        <v>150388</v>
      </c>
      <c r="D48" s="23">
        <f t="shared" si="0"/>
        <v>1023.047619047619</v>
      </c>
      <c r="E48" s="28">
        <f>VLOOKUP(A48,[2]進出口值表查詢結果!$A$9:$C$35,3,0)</f>
        <v>1027</v>
      </c>
      <c r="F48" s="24">
        <f>E48/$E$66</f>
        <v>5.5282819800615808E-3</v>
      </c>
      <c r="G48" s="28">
        <f>VLOOKUP(A48,[2]進出口值表查詢結果!$A$9:$C$35,2,0)</f>
        <v>1248561</v>
      </c>
      <c r="H48" s="24">
        <f t="shared" si="4"/>
        <v>5.0205900483376566E-2</v>
      </c>
      <c r="I48" s="25">
        <f t="shared" si="1"/>
        <v>1215.7361246348589</v>
      </c>
    </row>
    <row r="49" spans="1:9">
      <c r="A49" s="26" t="s">
        <v>223</v>
      </c>
      <c r="B49" s="27">
        <f>VLOOKUP(A49,[1]進出口值表查詢結果!$A$9:$C$21,3,0)</f>
        <v>24</v>
      </c>
      <c r="C49" s="28">
        <f>VLOOKUP(A49,[1]進出口值表查詢結果!$A$9:$C$21,2,0)</f>
        <v>3711</v>
      </c>
      <c r="D49" s="23">
        <f t="shared" si="0"/>
        <v>154.625</v>
      </c>
      <c r="E49" s="28">
        <f>VLOOKUP(A49,[2]進出口值表查詢結果!$A$9:$C$35,3,0)</f>
        <v>188</v>
      </c>
      <c r="F49" s="24">
        <f t="shared" ref="F49:F66" si="5">E49/$E$66</f>
        <v>1.01199319596064E-3</v>
      </c>
      <c r="G49" s="28">
        <f>VLOOKUP(A49,[2]進出口值表查詢結果!$A$9:$C$35,2,0)</f>
        <v>40758</v>
      </c>
      <c r="H49" s="24">
        <f t="shared" si="4"/>
        <v>1.6389203986841348E-3</v>
      </c>
      <c r="I49" s="25">
        <f t="shared" si="1"/>
        <v>216.79787234042553</v>
      </c>
    </row>
    <row r="50" spans="1:9">
      <c r="A50" s="465" t="s">
        <v>224</v>
      </c>
      <c r="B50" s="27">
        <v>0</v>
      </c>
      <c r="C50" s="27">
        <f>_xlfn.IFNA(VLOOKUP(A50,[3]進!$C$3:$F$150,3,0),-[4]整車!$B$22)</f>
        <v>0</v>
      </c>
      <c r="D50" s="23">
        <f t="shared" si="0"/>
        <v>0</v>
      </c>
      <c r="E50" s="28">
        <v>0</v>
      </c>
      <c r="F50" s="24">
        <f t="shared" si="5"/>
        <v>0</v>
      </c>
      <c r="G50" s="28">
        <v>0</v>
      </c>
      <c r="H50" s="24">
        <f t="shared" si="4"/>
        <v>0</v>
      </c>
      <c r="I50" s="25">
        <f t="shared" si="1"/>
        <v>0</v>
      </c>
    </row>
    <row r="51" spans="1:9">
      <c r="A51" s="26" t="s">
        <v>225</v>
      </c>
      <c r="B51" s="27">
        <v>0</v>
      </c>
      <c r="C51" s="27">
        <f>_xlfn.IFNA(VLOOKUP(A51,[3]進!$C$3:$F$150,3,0),-[4]整車!$B$22)</f>
        <v>0</v>
      </c>
      <c r="D51" s="23">
        <f t="shared" si="0"/>
        <v>0</v>
      </c>
      <c r="E51" s="28">
        <v>0</v>
      </c>
      <c r="F51" s="24">
        <f t="shared" si="5"/>
        <v>0</v>
      </c>
      <c r="G51" s="28">
        <v>0</v>
      </c>
      <c r="H51" s="24">
        <f t="shared" si="4"/>
        <v>0</v>
      </c>
      <c r="I51" s="25">
        <f t="shared" si="1"/>
        <v>0</v>
      </c>
    </row>
    <row r="52" spans="1:9">
      <c r="A52" s="30" t="s">
        <v>23</v>
      </c>
      <c r="B52" s="27">
        <v>0</v>
      </c>
      <c r="C52" s="27">
        <f>_xlfn.IFNA(VLOOKUP(A52,[3]進!$C$3:$F$150,3,0),-[4]整車!$B$22)</f>
        <v>0</v>
      </c>
      <c r="D52" s="23">
        <f t="shared" si="0"/>
        <v>0</v>
      </c>
      <c r="E52" s="28">
        <v>0</v>
      </c>
      <c r="F52" s="24">
        <f t="shared" si="5"/>
        <v>0</v>
      </c>
      <c r="G52" s="28">
        <v>0</v>
      </c>
      <c r="H52" s="24">
        <f t="shared" si="4"/>
        <v>0</v>
      </c>
      <c r="I52" s="25">
        <f t="shared" si="1"/>
        <v>0</v>
      </c>
    </row>
    <row r="53" spans="1:9">
      <c r="A53" s="26" t="s">
        <v>226</v>
      </c>
      <c r="B53" s="27">
        <v>0</v>
      </c>
      <c r="C53" s="27">
        <f>_xlfn.IFNA(VLOOKUP(A53,[3]進!$C$3:$F$150,3,0),-[4]整車!$B$22)</f>
        <v>0</v>
      </c>
      <c r="D53" s="23">
        <f t="shared" si="0"/>
        <v>0</v>
      </c>
      <c r="E53" s="28">
        <v>0</v>
      </c>
      <c r="F53" s="24">
        <f t="shared" si="5"/>
        <v>0</v>
      </c>
      <c r="G53" s="28">
        <v>0</v>
      </c>
      <c r="H53" s="24">
        <f t="shared" si="4"/>
        <v>0</v>
      </c>
      <c r="I53" s="25">
        <f t="shared" si="1"/>
        <v>0</v>
      </c>
    </row>
    <row r="54" spans="1:9">
      <c r="A54" s="30" t="s">
        <v>112</v>
      </c>
      <c r="B54" s="27">
        <v>0</v>
      </c>
      <c r="C54" s="27">
        <f>_xlfn.IFNA(VLOOKUP(A54,[3]進!$C$3:$F$150,3,0),-[4]整車!$B$22)</f>
        <v>0</v>
      </c>
      <c r="D54" s="23">
        <f t="shared" si="0"/>
        <v>0</v>
      </c>
      <c r="E54" s="28">
        <f>VLOOKUP(A54,[2]進出口值表查詢結果!$A$9:$C$35,3,0)</f>
        <v>1</v>
      </c>
      <c r="F54" s="24">
        <f t="shared" si="5"/>
        <v>5.3829425317055318E-6</v>
      </c>
      <c r="G54" s="28">
        <f>VLOOKUP(A54,[2]進出口值表查詢結果!$A$9:$C$35,2,0)</f>
        <v>3105</v>
      </c>
      <c r="H54" s="24">
        <f t="shared" si="4"/>
        <v>1.2485519009554539E-4</v>
      </c>
      <c r="I54" s="25">
        <f t="shared" si="1"/>
        <v>3105</v>
      </c>
    </row>
    <row r="55" spans="1:9">
      <c r="A55" s="30" t="s">
        <v>24</v>
      </c>
      <c r="B55" s="27">
        <v>0</v>
      </c>
      <c r="C55" s="27">
        <f>_xlfn.IFNA(VLOOKUP(A55,[3]進!$C$3:$F$150,3,0),-[4]整車!$B$22)</f>
        <v>0</v>
      </c>
      <c r="D55" s="23">
        <f t="shared" si="0"/>
        <v>0</v>
      </c>
      <c r="E55" s="28">
        <v>0</v>
      </c>
      <c r="F55" s="24">
        <f t="shared" si="5"/>
        <v>0</v>
      </c>
      <c r="G55" s="28">
        <v>0</v>
      </c>
      <c r="H55" s="24">
        <f t="shared" si="4"/>
        <v>0</v>
      </c>
      <c r="I55" s="25">
        <f t="shared" si="1"/>
        <v>0</v>
      </c>
    </row>
    <row r="56" spans="1:9">
      <c r="A56" s="291" t="s">
        <v>231</v>
      </c>
      <c r="B56" s="27">
        <v>0</v>
      </c>
      <c r="C56" s="27">
        <f>_xlfn.IFNA(VLOOKUP(A56,[3]進!$C$3:$F$150,3,0),-[4]整車!$B$22)</f>
        <v>0</v>
      </c>
      <c r="D56" s="23">
        <f t="shared" si="0"/>
        <v>0</v>
      </c>
      <c r="E56" s="28">
        <f>VLOOKUP(A56,[2]進出口值表查詢結果!$A$9:$C$35,3,0)</f>
        <v>313</v>
      </c>
      <c r="F56" s="24">
        <f t="shared" si="5"/>
        <v>1.6848610124238314E-3</v>
      </c>
      <c r="G56" s="28">
        <f>VLOOKUP(A56,[2]進出口值表查詢結果!$A$9:$C$35,2,0)</f>
        <v>86137</v>
      </c>
      <c r="H56" s="24">
        <f t="shared" si="4"/>
        <v>3.4636558805990316E-3</v>
      </c>
      <c r="I56" s="25">
        <f t="shared" si="1"/>
        <v>275.19808306709263</v>
      </c>
    </row>
    <row r="57" spans="1:9">
      <c r="A57" s="37" t="s">
        <v>229</v>
      </c>
      <c r="B57" s="27">
        <v>0</v>
      </c>
      <c r="C57" s="27">
        <f>_xlfn.IFNA(VLOOKUP(A57,[3]進!$C$3:$F$150,3,0),-[4]整車!$B$22)</f>
        <v>0</v>
      </c>
      <c r="D57" s="23">
        <f t="shared" si="0"/>
        <v>0</v>
      </c>
      <c r="E57" s="28">
        <f>VLOOKUP(A57,[2]進出口值表查詢結果!$A$9:$C$35,3,0)</f>
        <v>117</v>
      </c>
      <c r="F57" s="24">
        <f t="shared" si="5"/>
        <v>6.2980427620954718E-4</v>
      </c>
      <c r="G57" s="28">
        <f>VLOOKUP(A57,[2]進出口值表查詢結果!$A$9:$C$35,2,0)</f>
        <v>54195</v>
      </c>
      <c r="H57" s="24">
        <f t="shared" si="4"/>
        <v>2.1792357575613789E-3</v>
      </c>
      <c r="I57" s="25">
        <f t="shared" si="1"/>
        <v>463.20512820512823</v>
      </c>
    </row>
    <row r="58" spans="1:9">
      <c r="A58" s="37" t="s">
        <v>391</v>
      </c>
      <c r="B58" s="27">
        <f>VLOOKUP(A58,[1]進出口值表查詢結果!$A$9:$C$21,3,0)</f>
        <v>1</v>
      </c>
      <c r="C58" s="28">
        <f>VLOOKUP(A58,[1]進出口值表查詢結果!$A$9:$C$21,2,0)</f>
        <v>1705</v>
      </c>
      <c r="D58" s="23">
        <f t="shared" si="0"/>
        <v>1705</v>
      </c>
      <c r="E58" s="28">
        <f>VLOOKUP(A58,[2]進出口值表查詢結果!$A$9:$C$35,3,0)</f>
        <v>3427</v>
      </c>
      <c r="F58" s="24">
        <f t="shared" si="5"/>
        <v>1.8447344056154856E-2</v>
      </c>
      <c r="G58" s="28">
        <f>VLOOKUP(A58,[2]進出口值表查詢結果!$A$9:$C$35,2,0)</f>
        <v>2777719</v>
      </c>
      <c r="H58" s="24">
        <f t="shared" si="4"/>
        <v>0.11169489010531666</v>
      </c>
      <c r="I58" s="25">
        <f t="shared" si="1"/>
        <v>810.53953895535449</v>
      </c>
    </row>
    <row r="59" spans="1:9">
      <c r="A59" s="37" t="s">
        <v>113</v>
      </c>
      <c r="B59" s="27">
        <f>VLOOKUP(A59,[1]進出口值表查詢結果!$A$9:$C$21,3,0)</f>
        <v>257</v>
      </c>
      <c r="C59" s="28">
        <f>VLOOKUP(A59,[1]進出口值表查詢結果!$A$9:$C$21,2,0)</f>
        <v>74946</v>
      </c>
      <c r="D59" s="23">
        <f t="shared" si="0"/>
        <v>291.61867704280155</v>
      </c>
      <c r="E59" s="28">
        <f>VLOOKUP(A59,[2]進出口值表查詢結果!$A$9:$C$35,3,0)</f>
        <v>2006</v>
      </c>
      <c r="F59" s="24">
        <f t="shared" si="5"/>
        <v>1.0798182718601296E-2</v>
      </c>
      <c r="G59" s="28">
        <f>VLOOKUP(A59,[2]進出口值表查詢結果!$A$9:$C$35,2,0)</f>
        <v>1448463</v>
      </c>
      <c r="H59" s="24">
        <f t="shared" si="4"/>
        <v>5.8244162064851515E-2</v>
      </c>
      <c r="I59" s="25">
        <f t="shared" si="1"/>
        <v>722.06530408773676</v>
      </c>
    </row>
    <row r="60" spans="1:9">
      <c r="A60" s="37" t="s">
        <v>114</v>
      </c>
      <c r="B60" s="27">
        <v>0</v>
      </c>
      <c r="C60" s="27">
        <f>_xlfn.IFNA(VLOOKUP(A60,[3]進!$C$3:$F$150,3,0),-[4]整車!$B$22)</f>
        <v>0</v>
      </c>
      <c r="D60" s="23">
        <f t="shared" si="0"/>
        <v>0</v>
      </c>
      <c r="E60" s="28">
        <f>VLOOKUP(A60,[2]進出口值表查詢結果!$A$9:$C$35,3,0)</f>
        <v>1</v>
      </c>
      <c r="F60" s="24">
        <f t="shared" si="5"/>
        <v>5.3829425317055318E-6</v>
      </c>
      <c r="G60" s="28">
        <f>VLOOKUP(A60,[2]進出口值表查詢結果!$A$9:$C$35,2,0)</f>
        <v>188</v>
      </c>
      <c r="H60" s="24">
        <f t="shared" si="4"/>
        <v>7.5596701249476751E-6</v>
      </c>
      <c r="I60" s="25">
        <f t="shared" si="1"/>
        <v>188</v>
      </c>
    </row>
    <row r="61" spans="1:9">
      <c r="A61" s="37" t="s">
        <v>115</v>
      </c>
      <c r="B61" s="27">
        <f>VLOOKUP(A61,[1]進出口值表查詢結果!$A$9:$C$21,3,0)</f>
        <v>22313</v>
      </c>
      <c r="C61" s="28">
        <f>VLOOKUP(A61,[1]進出口值表查詢結果!$A$9:$C$21,2,0)</f>
        <v>1437133</v>
      </c>
      <c r="D61" s="23">
        <f t="shared" si="0"/>
        <v>64.407878815040561</v>
      </c>
      <c r="E61" s="28">
        <f>VLOOKUP(A61,[2]進出口值表查詢結果!$A$9:$C$35,3,0)</f>
        <v>177366</v>
      </c>
      <c r="F61" s="24">
        <f t="shared" si="5"/>
        <v>0.95475098507848333</v>
      </c>
      <c r="G61" s="28">
        <f>VLOOKUP(A61,[2]進出口值表查詢結果!$A$9:$C$35,2,0)</f>
        <v>16362311</v>
      </c>
      <c r="H61" s="24">
        <f t="shared" si="4"/>
        <v>0.65794507256278045</v>
      </c>
      <c r="I61" s="25">
        <f t="shared" si="1"/>
        <v>92.251677322598468</v>
      </c>
    </row>
    <row r="62" spans="1:9">
      <c r="A62" s="37" t="s">
        <v>392</v>
      </c>
      <c r="B62" s="27">
        <v>0</v>
      </c>
      <c r="C62" s="27">
        <f>_xlfn.IFNA(VLOOKUP(A62,[3]進!$C$3:$F$150,3,0),-[4]整車!$B$22)</f>
        <v>0</v>
      </c>
      <c r="D62" s="23">
        <f t="shared" si="0"/>
        <v>0</v>
      </c>
      <c r="E62" s="28">
        <v>0</v>
      </c>
      <c r="F62" s="24">
        <f t="shared" si="5"/>
        <v>0</v>
      </c>
      <c r="G62" s="28">
        <v>0</v>
      </c>
      <c r="H62" s="24">
        <f t="shared" si="4"/>
        <v>0</v>
      </c>
      <c r="I62" s="25">
        <f t="shared" si="1"/>
        <v>0</v>
      </c>
    </row>
    <row r="63" spans="1:9">
      <c r="A63" s="37" t="s">
        <v>393</v>
      </c>
      <c r="B63" s="27">
        <v>0</v>
      </c>
      <c r="C63" s="27">
        <f>_xlfn.IFNA(VLOOKUP(A63,[3]進!$C$3:$F$150,3,0),-[4]整車!$B$22)</f>
        <v>0</v>
      </c>
      <c r="D63" s="23">
        <f t="shared" si="0"/>
        <v>0</v>
      </c>
      <c r="E63" s="28">
        <v>0</v>
      </c>
      <c r="F63" s="24">
        <f t="shared" si="5"/>
        <v>0</v>
      </c>
      <c r="G63" s="28">
        <v>0</v>
      </c>
      <c r="H63" s="24">
        <f t="shared" si="4"/>
        <v>0</v>
      </c>
      <c r="I63" s="25">
        <f t="shared" si="1"/>
        <v>0</v>
      </c>
    </row>
    <row r="64" spans="1:9">
      <c r="A64" s="37" t="s">
        <v>394</v>
      </c>
      <c r="B64" s="27">
        <v>0</v>
      </c>
      <c r="C64" s="27">
        <f>_xlfn.IFNA(VLOOKUP(A64,[3]進!$C$3:$F$150,3,0),-[4]整車!$B$22)</f>
        <v>0</v>
      </c>
      <c r="D64" s="23">
        <f t="shared" si="0"/>
        <v>0</v>
      </c>
      <c r="E64" s="28">
        <v>0</v>
      </c>
      <c r="F64" s="24">
        <f t="shared" si="5"/>
        <v>0</v>
      </c>
      <c r="G64" s="28">
        <v>0</v>
      </c>
      <c r="H64" s="24">
        <f t="shared" si="4"/>
        <v>0</v>
      </c>
      <c r="I64" s="25">
        <f t="shared" si="1"/>
        <v>0</v>
      </c>
    </row>
    <row r="65" spans="1:9">
      <c r="A65" s="30" t="s">
        <v>30</v>
      </c>
      <c r="B65" s="27">
        <f>B66-B6-B11-B40-B46</f>
        <v>22964</v>
      </c>
      <c r="C65" s="27">
        <f>C66-C47-C41-C12-C7</f>
        <v>468310</v>
      </c>
      <c r="D65" s="563">
        <f t="shared" si="0"/>
        <v>20.393224176972652</v>
      </c>
      <c r="E65" s="27">
        <f>E66-E47-E41-E12-E7</f>
        <v>874</v>
      </c>
      <c r="F65" s="24">
        <f t="shared" si="5"/>
        <v>4.7046917727106346E-3</v>
      </c>
      <c r="G65" s="27">
        <f>G66-G47-G41-G12-G7</f>
        <v>1484703</v>
      </c>
      <c r="H65" s="24">
        <f t="shared" si="4"/>
        <v>5.9701409114469091E-2</v>
      </c>
      <c r="I65" s="25">
        <f t="shared" si="1"/>
        <v>1698.7448512585813</v>
      </c>
    </row>
    <row r="66" spans="1:9">
      <c r="A66" s="32" t="s">
        <v>403</v>
      </c>
      <c r="B66" s="27">
        <f>VLOOKUP(A66,[1]進出口值表查詢結果!$A$9:$C$21,3,0)</f>
        <v>22964</v>
      </c>
      <c r="C66" s="28">
        <f>VLOOKUP(A66,[1]進出口值表查詢結果!$A$9:$C$21,2,0)</f>
        <v>2213681</v>
      </c>
      <c r="D66" s="51">
        <f t="shared" ref="D66" si="6">C66/B66</f>
        <v>96.397883643964462</v>
      </c>
      <c r="E66" s="28">
        <f>VLOOKUP(A66,[2]進出口值表查詢結果!$A$9:$C$35,3,0)</f>
        <v>185772</v>
      </c>
      <c r="F66" s="552">
        <f t="shared" si="5"/>
        <v>1</v>
      </c>
      <c r="G66" s="28">
        <f>VLOOKUP(A66,[2]進出口值表查詢結果!$A$9:$C$35,2,0)</f>
        <v>24868810</v>
      </c>
      <c r="H66" s="552">
        <f t="shared" si="4"/>
        <v>1</v>
      </c>
      <c r="I66" s="51">
        <f>G66/E66</f>
        <v>133.86737506190383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0" t="s">
        <v>153</v>
      </c>
      <c r="B68" s="101"/>
      <c r="C68" s="101"/>
      <c r="D68" s="172"/>
      <c r="E68" s="101"/>
      <c r="F68" s="173"/>
      <c r="G68" s="101"/>
      <c r="H68" s="174"/>
      <c r="I68" s="175"/>
    </row>
    <row r="69" spans="1:9">
      <c r="A69" s="8" t="s">
        <v>464</v>
      </c>
      <c r="B69" s="8" t="s">
        <v>465</v>
      </c>
      <c r="C69" s="8" t="s">
        <v>466</v>
      </c>
      <c r="D69" s="9" t="s">
        <v>1</v>
      </c>
      <c r="E69" s="10" t="s">
        <v>467</v>
      </c>
      <c r="F69" s="11" t="s">
        <v>2</v>
      </c>
      <c r="G69" s="8" t="s">
        <v>468</v>
      </c>
      <c r="H69" s="11" t="s">
        <v>2</v>
      </c>
      <c r="I69" s="12" t="s">
        <v>1</v>
      </c>
    </row>
    <row r="70" spans="1:9">
      <c r="A70" s="45"/>
      <c r="B70" s="46" t="s">
        <v>3</v>
      </c>
      <c r="C70" s="47" t="s">
        <v>4</v>
      </c>
      <c r="D70" s="43" t="s">
        <v>4</v>
      </c>
      <c r="E70" s="46" t="s">
        <v>3</v>
      </c>
      <c r="F70" s="44"/>
      <c r="G70" s="49" t="s">
        <v>4</v>
      </c>
      <c r="H70" s="50"/>
      <c r="I70" s="43" t="s">
        <v>4</v>
      </c>
    </row>
    <row r="71" spans="1:9">
      <c r="A71" s="32" t="s">
        <v>31</v>
      </c>
      <c r="B71" s="27">
        <v>590</v>
      </c>
      <c r="C71" s="27">
        <v>54575</v>
      </c>
      <c r="D71" s="519">
        <f>C71/B71</f>
        <v>92.5</v>
      </c>
      <c r="E71" s="28">
        <v>2898</v>
      </c>
      <c r="F71" s="520">
        <v>1</v>
      </c>
      <c r="G71" s="27">
        <v>462461</v>
      </c>
      <c r="H71" s="52">
        <v>1</v>
      </c>
      <c r="I71" s="51">
        <f>G71/E71</f>
        <v>159.57936507936509</v>
      </c>
    </row>
    <row r="72" spans="1:9" ht="16.149999999999999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56</v>
      </c>
      <c r="B73" s="13"/>
      <c r="C73" s="168"/>
      <c r="D73" s="176"/>
      <c r="E73" s="13"/>
      <c r="F73" s="168"/>
      <c r="G73" s="169"/>
      <c r="H73" s="13"/>
      <c r="I73" s="177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workbookViewId="0">
      <selection activeCell="A2" sqref="A2"/>
    </sheetView>
  </sheetViews>
  <sheetFormatPr defaultRowHeight="16.5"/>
  <cols>
    <col min="1" max="1" width="16.875" style="5" customWidth="1"/>
    <col min="2" max="2" width="14" style="5" bestFit="1" customWidth="1"/>
    <col min="3" max="3" width="12.125" style="58" customWidth="1"/>
    <col min="4" max="4" width="13.75" style="59" customWidth="1"/>
    <col min="5" max="5" width="15" style="5" customWidth="1"/>
    <col min="6" max="6" width="15.125" style="58" customWidth="1"/>
    <col min="7" max="7" width="12.25" style="59" customWidth="1"/>
    <col min="8" max="8" width="11.625" style="5" customWidth="1"/>
    <col min="9" max="9" width="11.87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1" t="s">
        <v>470</v>
      </c>
      <c r="B1" s="1"/>
      <c r="C1" s="56"/>
      <c r="D1" s="57"/>
      <c r="E1" s="1"/>
      <c r="F1" s="56"/>
      <c r="G1" s="57"/>
    </row>
    <row r="2" spans="1:10" ht="7.5" customHeight="1">
      <c r="G2" s="60"/>
    </row>
    <row r="3" spans="1:10">
      <c r="A3" s="61" t="s">
        <v>108</v>
      </c>
      <c r="B3" s="62"/>
      <c r="C3" s="63"/>
      <c r="D3" s="64"/>
      <c r="E3" s="62"/>
      <c r="F3" s="65"/>
      <c r="G3" s="66"/>
      <c r="H3" s="67"/>
      <c r="I3" s="67"/>
      <c r="J3" s="68"/>
    </row>
    <row r="4" spans="1:10">
      <c r="A4" s="69" t="s">
        <v>471</v>
      </c>
      <c r="B4" s="8" t="s">
        <v>424</v>
      </c>
      <c r="C4" s="70" t="s">
        <v>425</v>
      </c>
      <c r="D4" s="71" t="s">
        <v>159</v>
      </c>
      <c r="E4" s="8" t="s">
        <v>424</v>
      </c>
      <c r="F4" s="70" t="s">
        <v>425</v>
      </c>
      <c r="G4" s="73" t="s">
        <v>160</v>
      </c>
      <c r="H4" s="8" t="s">
        <v>424</v>
      </c>
      <c r="I4" s="70" t="s">
        <v>425</v>
      </c>
      <c r="J4" s="74" t="s">
        <v>160</v>
      </c>
    </row>
    <row r="5" spans="1:10">
      <c r="A5" s="14"/>
      <c r="B5" s="8" t="s">
        <v>33</v>
      </c>
      <c r="C5" s="75" t="s">
        <v>33</v>
      </c>
      <c r="D5" s="448" t="s">
        <v>2</v>
      </c>
      <c r="E5" s="76" t="s">
        <v>34</v>
      </c>
      <c r="F5" s="75" t="s">
        <v>34</v>
      </c>
      <c r="G5" s="448" t="s">
        <v>2</v>
      </c>
      <c r="H5" s="77" t="s">
        <v>109</v>
      </c>
      <c r="I5" s="78" t="s">
        <v>110</v>
      </c>
      <c r="J5" s="448" t="s">
        <v>2</v>
      </c>
    </row>
    <row r="6" spans="1:10">
      <c r="A6" s="79" t="s">
        <v>5</v>
      </c>
      <c r="B6" s="17"/>
      <c r="C6" s="80"/>
      <c r="D6" s="81"/>
      <c r="E6" s="17"/>
      <c r="F6" s="80"/>
      <c r="G6" s="81"/>
      <c r="H6" s="82"/>
      <c r="I6" s="83"/>
      <c r="J6" s="81"/>
    </row>
    <row r="7" spans="1:10">
      <c r="A7" s="79" t="s">
        <v>6</v>
      </c>
      <c r="B7" s="22">
        <f>SUM(B8:B10)</f>
        <v>469395</v>
      </c>
      <c r="C7" s="84">
        <f>SUM(C8:C10)</f>
        <v>821382</v>
      </c>
      <c r="D7" s="512">
        <f>IF(C7,(B7-C7)/C7,0)</f>
        <v>-0.42853020884314486</v>
      </c>
      <c r="E7" s="22">
        <f>SUM(E8:E10)</f>
        <v>494497533</v>
      </c>
      <c r="F7" s="84">
        <f>SUM(F8:F10)</f>
        <v>688687302</v>
      </c>
      <c r="G7" s="512">
        <f>IF(F7,(E7-F7)/F7,0)</f>
        <v>-0.28197088640382684</v>
      </c>
      <c r="H7" s="86">
        <f>IF(B7,E7/B7,0)</f>
        <v>1053.4784840060076</v>
      </c>
      <c r="I7" s="87">
        <f>IF(C7,F7/C7,0)</f>
        <v>838.44946930904257</v>
      </c>
      <c r="J7" s="512">
        <f>IF(I7,(H7-I7)/I7,0)</f>
        <v>0.25646031462595859</v>
      </c>
    </row>
    <row r="8" spans="1:10">
      <c r="A8" s="452" t="s">
        <v>201</v>
      </c>
      <c r="B8" s="28">
        <f>整車!E8</f>
        <v>424241</v>
      </c>
      <c r="C8" s="88">
        <f>VLOOKUP(A8,[7]進出口值表查詢結果!$A$3:$C$95,3,0)</f>
        <v>752635</v>
      </c>
      <c r="D8" s="512">
        <f t="shared" ref="D8:D67" si="0">IF(C8,(B8-C8)/C8,0)</f>
        <v>-0.43632570900901502</v>
      </c>
      <c r="E8" s="27">
        <f>整車!G8</f>
        <v>434985234</v>
      </c>
      <c r="F8" s="88">
        <f>VLOOKUP(A8,[7]進出口值表查詢結果!$A$3:$C$95,2,0)</f>
        <v>617830453</v>
      </c>
      <c r="G8" s="512">
        <f t="shared" ref="G8:G67" si="1">IF(F8,(E8-F8)/F8,0)</f>
        <v>-0.29594724266529476</v>
      </c>
      <c r="H8" s="86">
        <f t="shared" ref="H8:H10" si="2">IF(B8,E8/B8,0)</f>
        <v>1025.3257794508311</v>
      </c>
      <c r="I8" s="87">
        <f t="shared" ref="I8:I10" si="3">IF(C8,F8/C8,0)</f>
        <v>820.88987756349354</v>
      </c>
      <c r="J8" s="512">
        <f t="shared" ref="J8:J67" si="4">IF(I8,(H8-I8)/I8,0)</f>
        <v>0.24904181117950866</v>
      </c>
    </row>
    <row r="9" spans="1:10">
      <c r="A9" s="453" t="s">
        <v>7</v>
      </c>
      <c r="B9" s="28">
        <f>整車!E9</f>
        <v>36903</v>
      </c>
      <c r="C9" s="88">
        <f>VLOOKUP(A9,[7]進出口值表查詢結果!$A$3:$C$95,3,0)</f>
        <v>49188</v>
      </c>
      <c r="D9" s="512">
        <f t="shared" si="0"/>
        <v>-0.24975603805806293</v>
      </c>
      <c r="E9" s="27">
        <f>整車!G9</f>
        <v>48274164</v>
      </c>
      <c r="F9" s="88">
        <f>VLOOKUP(A9,[7]進出口值表查詢結果!$A$3:$C$95,2,0)</f>
        <v>56420608</v>
      </c>
      <c r="G9" s="512">
        <f t="shared" si="1"/>
        <v>-0.14438773860785054</v>
      </c>
      <c r="H9" s="86">
        <f t="shared" si="2"/>
        <v>1308.1365742622552</v>
      </c>
      <c r="I9" s="87">
        <f t="shared" si="3"/>
        <v>1147.040091079125</v>
      </c>
      <c r="J9" s="512">
        <f t="shared" si="4"/>
        <v>0.14044538149627542</v>
      </c>
    </row>
    <row r="10" spans="1:10">
      <c r="A10" s="453" t="s">
        <v>8</v>
      </c>
      <c r="B10" s="28">
        <f>整車!E10</f>
        <v>8251</v>
      </c>
      <c r="C10" s="88">
        <f>VLOOKUP(A10,[7]進出口值表查詢結果!$A$3:$C$95,3,0)</f>
        <v>19559</v>
      </c>
      <c r="D10" s="512">
        <f t="shared" si="0"/>
        <v>-0.5781481670842068</v>
      </c>
      <c r="E10" s="27">
        <f>整車!G10</f>
        <v>11238135</v>
      </c>
      <c r="F10" s="88">
        <f>VLOOKUP(A10,[7]進出口值表查詢結果!$A$3:$C$95,2,0)</f>
        <v>14436241</v>
      </c>
      <c r="G10" s="512">
        <f t="shared" si="1"/>
        <v>-0.22153315395607484</v>
      </c>
      <c r="H10" s="86">
        <f t="shared" si="2"/>
        <v>1362.0330868985577</v>
      </c>
      <c r="I10" s="87">
        <f t="shared" si="3"/>
        <v>738.08686538166569</v>
      </c>
      <c r="J10" s="512">
        <f t="shared" si="4"/>
        <v>0.84535608311394161</v>
      </c>
    </row>
    <row r="11" spans="1:10">
      <c r="A11" s="30"/>
      <c r="B11" s="28"/>
      <c r="C11" s="89"/>
      <c r="D11" s="512"/>
      <c r="E11" s="27"/>
      <c r="F11" s="89"/>
      <c r="G11" s="512"/>
      <c r="H11" s="86"/>
      <c r="I11" s="87"/>
      <c r="J11" s="512"/>
    </row>
    <row r="12" spans="1:10">
      <c r="A12" s="32" t="s">
        <v>9</v>
      </c>
      <c r="B12" s="33">
        <f>SUM(B13:B39)</f>
        <v>360735</v>
      </c>
      <c r="C12" s="90">
        <f>SUM(C13:C39)</f>
        <v>487996</v>
      </c>
      <c r="D12" s="512">
        <f t="shared" si="0"/>
        <v>-0.26078287526946942</v>
      </c>
      <c r="E12" s="33">
        <f>SUM(E13:E39)</f>
        <v>346751487</v>
      </c>
      <c r="F12" s="90">
        <f>SUM(F13:F39)</f>
        <v>319913509</v>
      </c>
      <c r="G12" s="512">
        <f t="shared" si="1"/>
        <v>8.3891355772662921E-2</v>
      </c>
      <c r="H12" s="86">
        <f t="shared" ref="H12:H66" si="5">IF(B12,E12/B12,0)</f>
        <v>961.23605139506844</v>
      </c>
      <c r="I12" s="87">
        <f t="shared" ref="I12:I66" si="6">IF(C12,F12/C12,0)</f>
        <v>655.56584275280943</v>
      </c>
      <c r="J12" s="512">
        <f t="shared" si="4"/>
        <v>0.46626927260076356</v>
      </c>
    </row>
    <row r="13" spans="1:10">
      <c r="A13" s="452" t="s">
        <v>202</v>
      </c>
      <c r="B13" s="27">
        <f>整車!E13</f>
        <v>113932</v>
      </c>
      <c r="C13" s="88">
        <f>VLOOKUP(A13,[7]進出口值表查詢結果!$A$3:$C$95,3,0)</f>
        <v>140142</v>
      </c>
      <c r="D13" s="512">
        <f t="shared" si="0"/>
        <v>-0.18702458934509283</v>
      </c>
      <c r="E13" s="27">
        <f>整車!G13</f>
        <v>158042216</v>
      </c>
      <c r="F13" s="88">
        <f>VLOOKUP(A13,[7]進出口值表查詢結果!$A$3:$C$95,2,0)</f>
        <v>146305846</v>
      </c>
      <c r="G13" s="512">
        <f t="shared" si="1"/>
        <v>8.0218052257460717E-2</v>
      </c>
      <c r="H13" s="86">
        <f t="shared" si="5"/>
        <v>1387.1626584278342</v>
      </c>
      <c r="I13" s="87">
        <f t="shared" si="6"/>
        <v>1043.9828602417547</v>
      </c>
      <c r="J13" s="512">
        <f t="shared" si="4"/>
        <v>0.32872167854040202</v>
      </c>
    </row>
    <row r="14" spans="1:10">
      <c r="A14" s="452" t="s">
        <v>203</v>
      </c>
      <c r="B14" s="27">
        <f>整車!E14</f>
        <v>84103</v>
      </c>
      <c r="C14" s="88">
        <f>VLOOKUP(A14,[7]進出口值表查詢結果!$A$3:$C$95,3,0)</f>
        <v>82917</v>
      </c>
      <c r="D14" s="512">
        <f t="shared" si="0"/>
        <v>1.4303460086592617E-2</v>
      </c>
      <c r="E14" s="27">
        <f>整車!G14</f>
        <v>51718489</v>
      </c>
      <c r="F14" s="88">
        <f>VLOOKUP(A14,[7]進出口值表查詢結果!$A$3:$C$95,2,0)</f>
        <v>32421332</v>
      </c>
      <c r="G14" s="512">
        <f t="shared" si="1"/>
        <v>0.59519938909357584</v>
      </c>
      <c r="H14" s="86">
        <f t="shared" si="5"/>
        <v>614.94226127486536</v>
      </c>
      <c r="I14" s="87">
        <f t="shared" si="6"/>
        <v>391.00946729862392</v>
      </c>
      <c r="J14" s="512">
        <f t="shared" si="4"/>
        <v>0.57270427625021736</v>
      </c>
    </row>
    <row r="15" spans="1:10">
      <c r="A15" s="453" t="s">
        <v>10</v>
      </c>
      <c r="B15" s="27">
        <f>整車!E15</f>
        <v>11469</v>
      </c>
      <c r="C15" s="88">
        <f>VLOOKUP(A15,[7]進出口值表查詢結果!$A$3:$C$95,3,0)</f>
        <v>12868</v>
      </c>
      <c r="D15" s="512">
        <f t="shared" si="0"/>
        <v>-0.10871930369909853</v>
      </c>
      <c r="E15" s="27">
        <f>整車!G15</f>
        <v>13885361</v>
      </c>
      <c r="F15" s="88">
        <f>VLOOKUP(A15,[7]進出口值表查詢結果!$A$3:$C$95,2,0)</f>
        <v>5938187</v>
      </c>
      <c r="G15" s="512">
        <f t="shared" si="1"/>
        <v>1.3383165602565228</v>
      </c>
      <c r="H15" s="86">
        <f t="shared" si="5"/>
        <v>1210.6862847676346</v>
      </c>
      <c r="I15" s="87">
        <f t="shared" si="6"/>
        <v>461.46930369909853</v>
      </c>
      <c r="J15" s="512">
        <f t="shared" si="4"/>
        <v>1.6235467344477232</v>
      </c>
    </row>
    <row r="16" spans="1:10">
      <c r="A16" s="452" t="s">
        <v>204</v>
      </c>
      <c r="B16" s="27">
        <f>整車!E16</f>
        <v>36517</v>
      </c>
      <c r="C16" s="88">
        <f>VLOOKUP(A16,[7]進出口值表查詢結果!$A$3:$C$95,3,0)</f>
        <v>35199</v>
      </c>
      <c r="D16" s="512">
        <f t="shared" si="0"/>
        <v>3.7444245575158387E-2</v>
      </c>
      <c r="E16" s="27">
        <f>整車!G16</f>
        <v>31741715</v>
      </c>
      <c r="F16" s="88">
        <f>VLOOKUP(A16,[7]進出口值表查詢結果!$A$3:$C$95,2,0)</f>
        <v>28958741</v>
      </c>
      <c r="G16" s="512">
        <f t="shared" si="1"/>
        <v>9.6101346394858816E-2</v>
      </c>
      <c r="H16" s="86">
        <f t="shared" si="5"/>
        <v>869.23117999835688</v>
      </c>
      <c r="I16" s="87">
        <f t="shared" si="6"/>
        <v>822.71487826358702</v>
      </c>
      <c r="J16" s="512">
        <f t="shared" si="4"/>
        <v>5.6540003060290646E-2</v>
      </c>
    </row>
    <row r="17" spans="1:10">
      <c r="A17" s="453" t="s">
        <v>11</v>
      </c>
      <c r="B17" s="27">
        <f>整車!E17</f>
        <v>12320</v>
      </c>
      <c r="C17" s="88">
        <f>VLOOKUP(A17,[7]進出口值表查詢結果!$A$3:$C$95,3,0)</f>
        <v>20193</v>
      </c>
      <c r="D17" s="512">
        <f t="shared" si="0"/>
        <v>-0.38988758480661617</v>
      </c>
      <c r="E17" s="27">
        <f>整車!G17</f>
        <v>18310797</v>
      </c>
      <c r="F17" s="88">
        <f>VLOOKUP(A17,[7]進出口值表查詢結果!$A$3:$C$95,2,0)</f>
        <v>22446652</v>
      </c>
      <c r="G17" s="512">
        <f t="shared" si="1"/>
        <v>-0.18425264489332308</v>
      </c>
      <c r="H17" s="86">
        <f t="shared" si="5"/>
        <v>1486.2659902597402</v>
      </c>
      <c r="I17" s="87">
        <f t="shared" si="6"/>
        <v>1111.6056059030357</v>
      </c>
      <c r="J17" s="512">
        <f t="shared" si="4"/>
        <v>0.33704434591470189</v>
      </c>
    </row>
    <row r="18" spans="1:10">
      <c r="A18" s="453" t="s">
        <v>12</v>
      </c>
      <c r="B18" s="27">
        <f>整車!E18</f>
        <v>32467</v>
      </c>
      <c r="C18" s="88">
        <f>VLOOKUP(A18,[7]進出口值表查詢結果!$A$3:$C$95,3,0)</f>
        <v>59245</v>
      </c>
      <c r="D18" s="512">
        <f t="shared" si="0"/>
        <v>-0.45198750949447208</v>
      </c>
      <c r="E18" s="27">
        <f>整車!G18</f>
        <v>44549543</v>
      </c>
      <c r="F18" s="88">
        <f>VLOOKUP(A18,[7]進出口值表查詢結果!$A$3:$C$95,2,0)</f>
        <v>43995498</v>
      </c>
      <c r="G18" s="512">
        <f t="shared" si="1"/>
        <v>1.2593220333589587E-2</v>
      </c>
      <c r="H18" s="86">
        <f t="shared" si="5"/>
        <v>1372.1484276342132</v>
      </c>
      <c r="I18" s="87">
        <f t="shared" si="6"/>
        <v>742.60271752890537</v>
      </c>
      <c r="J18" s="512">
        <f t="shared" si="4"/>
        <v>0.84775573162483497</v>
      </c>
    </row>
    <row r="19" spans="1:10">
      <c r="A19" s="452" t="s">
        <v>205</v>
      </c>
      <c r="B19" s="27">
        <f>整車!E19</f>
        <v>15133</v>
      </c>
      <c r="C19" s="88">
        <f>VLOOKUP(A19,[7]進出口值表查詢結果!$A$3:$C$95,3,0)</f>
        <v>23440</v>
      </c>
      <c r="D19" s="512">
        <f t="shared" si="0"/>
        <v>-0.35439419795221844</v>
      </c>
      <c r="E19" s="27">
        <f>整車!G19</f>
        <v>5271051</v>
      </c>
      <c r="F19" s="88">
        <f>VLOOKUP(A19,[7]進出口值表查詢結果!$A$3:$C$95,2,0)</f>
        <v>7700436</v>
      </c>
      <c r="G19" s="512">
        <f t="shared" si="1"/>
        <v>-0.31548668153335735</v>
      </c>
      <c r="H19" s="86">
        <f t="shared" si="5"/>
        <v>348.3150069384788</v>
      </c>
      <c r="I19" s="87">
        <f t="shared" si="6"/>
        <v>328.51689419795224</v>
      </c>
      <c r="J19" s="512">
        <f t="shared" si="4"/>
        <v>6.0265128187279603E-2</v>
      </c>
    </row>
    <row r="20" spans="1:10">
      <c r="A20" s="453" t="s">
        <v>206</v>
      </c>
      <c r="B20" s="27">
        <f>整車!E20</f>
        <v>85</v>
      </c>
      <c r="C20" s="88">
        <f>VLOOKUP(A20,[7]進出口值表查詢結果!$A$3:$C$95,3,0)</f>
        <v>24</v>
      </c>
      <c r="D20" s="512">
        <f t="shared" si="0"/>
        <v>2.5416666666666665</v>
      </c>
      <c r="E20" s="27">
        <f>整車!G20</f>
        <v>175126</v>
      </c>
      <c r="F20" s="88">
        <f>VLOOKUP(A20,[7]進出口值表查詢結果!$A$3:$C$95,2,0)</f>
        <v>54691</v>
      </c>
      <c r="G20" s="512">
        <f t="shared" si="1"/>
        <v>2.2020990656597976</v>
      </c>
      <c r="H20" s="86">
        <f t="shared" si="5"/>
        <v>2060.3058823529414</v>
      </c>
      <c r="I20" s="87">
        <f t="shared" si="6"/>
        <v>2278.7916666666665</v>
      </c>
      <c r="J20" s="512">
        <f t="shared" si="4"/>
        <v>-9.5877910872527547E-2</v>
      </c>
    </row>
    <row r="21" spans="1:10">
      <c r="A21" s="452" t="s">
        <v>207</v>
      </c>
      <c r="B21" s="27">
        <f>整車!E21</f>
        <v>1895</v>
      </c>
      <c r="C21" s="88">
        <f>VLOOKUP(A21,[7]進出口值表查詢結果!$A$3:$C$95,3,0)</f>
        <v>3696</v>
      </c>
      <c r="D21" s="512">
        <f t="shared" si="0"/>
        <v>-0.48728354978354976</v>
      </c>
      <c r="E21" s="27">
        <f>整車!G21</f>
        <v>445459</v>
      </c>
      <c r="F21" s="88">
        <f>VLOOKUP(A21,[7]進出口值表查詢結果!$A$3:$C$95,2,0)</f>
        <v>556897</v>
      </c>
      <c r="G21" s="512">
        <f t="shared" si="1"/>
        <v>-0.20010522592148997</v>
      </c>
      <c r="H21" s="86">
        <f t="shared" si="5"/>
        <v>235.0707124010554</v>
      </c>
      <c r="I21" s="87">
        <f t="shared" si="6"/>
        <v>150.67559523809524</v>
      </c>
      <c r="J21" s="512">
        <f t="shared" si="4"/>
        <v>0.56011139049824432</v>
      </c>
    </row>
    <row r="22" spans="1:10">
      <c r="A22" s="453" t="s">
        <v>14</v>
      </c>
      <c r="B22" s="27">
        <f>整車!E22</f>
        <v>0</v>
      </c>
      <c r="C22" s="88">
        <v>0</v>
      </c>
      <c r="D22" s="512">
        <f t="shared" si="0"/>
        <v>0</v>
      </c>
      <c r="E22" s="27">
        <f>整車!G22</f>
        <v>0</v>
      </c>
      <c r="F22" s="88">
        <f>_xlfn.IFNA(VLOOKUP(A22,[3]出同!$C$3:$H$107,3,0),-[4]整車!$B$22)</f>
        <v>0</v>
      </c>
      <c r="G22" s="512">
        <f t="shared" si="1"/>
        <v>0</v>
      </c>
      <c r="H22" s="86">
        <f t="shared" si="5"/>
        <v>0</v>
      </c>
      <c r="I22" s="87">
        <f t="shared" si="6"/>
        <v>0</v>
      </c>
      <c r="J22" s="512">
        <f t="shared" si="4"/>
        <v>0</v>
      </c>
    </row>
    <row r="23" spans="1:10">
      <c r="A23" s="453" t="s">
        <v>15</v>
      </c>
      <c r="B23" s="27">
        <f>整車!E23</f>
        <v>148</v>
      </c>
      <c r="C23" s="88">
        <f>VLOOKUP(A23,[7]進出口值表查詢結果!$A$3:$C$95,3,0)</f>
        <v>177</v>
      </c>
      <c r="D23" s="512">
        <f t="shared" si="0"/>
        <v>-0.16384180790960451</v>
      </c>
      <c r="E23" s="27">
        <f>整車!G23</f>
        <v>388156</v>
      </c>
      <c r="F23" s="88">
        <f>VLOOKUP(A23,[7]進出口值表查詢結果!$A$3:$C$95,2,0)</f>
        <v>435469</v>
      </c>
      <c r="G23" s="512">
        <f t="shared" si="1"/>
        <v>-0.10864837680753395</v>
      </c>
      <c r="H23" s="86">
        <f t="shared" si="5"/>
        <v>2622.6756756756758</v>
      </c>
      <c r="I23" s="87">
        <f t="shared" si="6"/>
        <v>2460.2768361581921</v>
      </c>
      <c r="J23" s="512">
        <f t="shared" si="4"/>
        <v>6.6008360169368271E-2</v>
      </c>
    </row>
    <row r="24" spans="1:10">
      <c r="A24" s="453" t="s">
        <v>16</v>
      </c>
      <c r="B24" s="27">
        <f>整車!E24</f>
        <v>1650</v>
      </c>
      <c r="C24" s="88">
        <f>VLOOKUP(A24,[7]進出口值表查詢結果!$A$3:$C$95,3,0)</f>
        <v>4270</v>
      </c>
      <c r="D24" s="512">
        <f t="shared" si="0"/>
        <v>-0.61358313817330212</v>
      </c>
      <c r="E24" s="27">
        <f>整車!G24</f>
        <v>1159739</v>
      </c>
      <c r="F24" s="88">
        <f>VLOOKUP(A24,[7]進出口值表查詢結果!$A$3:$C$95,2,0)</f>
        <v>1742810</v>
      </c>
      <c r="G24" s="512">
        <f t="shared" si="1"/>
        <v>-0.33455798394546737</v>
      </c>
      <c r="H24" s="86">
        <f t="shared" si="5"/>
        <v>702.87212121212121</v>
      </c>
      <c r="I24" s="87">
        <f t="shared" si="6"/>
        <v>408.15222482435598</v>
      </c>
      <c r="J24" s="512">
        <f t="shared" si="4"/>
        <v>0.72208327791082072</v>
      </c>
    </row>
    <row r="25" spans="1:10">
      <c r="A25" s="452" t="s">
        <v>208</v>
      </c>
      <c r="B25" s="27">
        <f>整車!E25</f>
        <v>21098</v>
      </c>
      <c r="C25" s="88">
        <f>VLOOKUP(A25,[7]進出口值表查詢結果!$A$3:$C$95,3,0)</f>
        <v>36701</v>
      </c>
      <c r="D25" s="512">
        <f t="shared" si="0"/>
        <v>-0.42513827961090978</v>
      </c>
      <c r="E25" s="27">
        <f>整車!G25</f>
        <v>4660471</v>
      </c>
      <c r="F25" s="88">
        <f>VLOOKUP(A25,[7]進出口值表查詢結果!$A$3:$C$95,2,0)</f>
        <v>8328650</v>
      </c>
      <c r="G25" s="512">
        <f t="shared" si="1"/>
        <v>-0.44042900109861743</v>
      </c>
      <c r="H25" s="86">
        <f t="shared" si="5"/>
        <v>220.89634088539199</v>
      </c>
      <c r="I25" s="87">
        <f t="shared" si="6"/>
        <v>226.93250865099043</v>
      </c>
      <c r="J25" s="512">
        <f t="shared" si="4"/>
        <v>-2.6598955792983037E-2</v>
      </c>
    </row>
    <row r="26" spans="1:10">
      <c r="A26" s="452" t="s">
        <v>209</v>
      </c>
      <c r="B26" s="27">
        <f>整車!E26</f>
        <v>1936</v>
      </c>
      <c r="C26" s="88">
        <f>VLOOKUP(A26,[7]進出口值表查詢結果!$A$3:$C$95,3,0)</f>
        <v>3697</v>
      </c>
      <c r="D26" s="512">
        <f t="shared" si="0"/>
        <v>-0.47633216121179334</v>
      </c>
      <c r="E26" s="27">
        <f>整車!G26</f>
        <v>1070806</v>
      </c>
      <c r="F26" s="88">
        <f>VLOOKUP(A26,[7]進出口值表查詢結果!$A$3:$C$95,2,0)</f>
        <v>1488631</v>
      </c>
      <c r="G26" s="512">
        <f t="shared" si="1"/>
        <v>-0.28067734717334247</v>
      </c>
      <c r="H26" s="86">
        <f t="shared" si="5"/>
        <v>553.10227272727275</v>
      </c>
      <c r="I26" s="87">
        <f t="shared" si="6"/>
        <v>402.65918312144981</v>
      </c>
      <c r="J26" s="512">
        <f t="shared" si="4"/>
        <v>0.37362388817156661</v>
      </c>
    </row>
    <row r="27" spans="1:10">
      <c r="A27" s="454" t="s">
        <v>210</v>
      </c>
      <c r="B27" s="27">
        <f>整車!E27</f>
        <v>13240</v>
      </c>
      <c r="C27" s="88">
        <f>VLOOKUP(A27,[7]進出口值表查詢結果!$A$3:$C$95,3,0)</f>
        <v>31336</v>
      </c>
      <c r="D27" s="512">
        <f t="shared" si="0"/>
        <v>-0.57748276742404903</v>
      </c>
      <c r="E27" s="27">
        <f>整車!G27</f>
        <v>8079685</v>
      </c>
      <c r="F27" s="88">
        <f>VLOOKUP(A27,[7]進出口值表查詢結果!$A$3:$C$95,2,0)</f>
        <v>10679231</v>
      </c>
      <c r="G27" s="512">
        <f t="shared" si="1"/>
        <v>-0.24342071072345939</v>
      </c>
      <c r="H27" s="86">
        <f t="shared" si="5"/>
        <v>610.24811178247739</v>
      </c>
      <c r="I27" s="87">
        <f t="shared" si="6"/>
        <v>340.79751723257596</v>
      </c>
      <c r="J27" s="512">
        <f t="shared" si="4"/>
        <v>0.79064717588894851</v>
      </c>
    </row>
    <row r="28" spans="1:10">
      <c r="A28" s="454" t="s">
        <v>211</v>
      </c>
      <c r="B28" s="27">
        <f>整車!E28</f>
        <v>8382</v>
      </c>
      <c r="C28" s="88">
        <f>VLOOKUP(A28,[7]進出口值表查詢結果!$A$3:$C$95,3,0)</f>
        <v>17980</v>
      </c>
      <c r="D28" s="512">
        <f t="shared" si="0"/>
        <v>-0.53381535038932149</v>
      </c>
      <c r="E28" s="27">
        <f>整車!G28</f>
        <v>3860919</v>
      </c>
      <c r="F28" s="88">
        <f>VLOOKUP(A28,[7]進出口值表查詢結果!$A$3:$C$95,2,0)</f>
        <v>5291553</v>
      </c>
      <c r="G28" s="512">
        <f t="shared" si="1"/>
        <v>-0.27036183895351706</v>
      </c>
      <c r="H28" s="86">
        <f t="shared" si="5"/>
        <v>460.62025769506084</v>
      </c>
      <c r="I28" s="87">
        <f t="shared" si="6"/>
        <v>294.30216907675197</v>
      </c>
      <c r="J28" s="512">
        <f t="shared" si="4"/>
        <v>0.56512695485752362</v>
      </c>
    </row>
    <row r="29" spans="1:10">
      <c r="A29" s="453" t="s">
        <v>212</v>
      </c>
      <c r="B29" s="27">
        <f>整車!E29</f>
        <v>1598</v>
      </c>
      <c r="C29" s="88">
        <f>VLOOKUP(A29,[7]進出口值表查詢結果!$A$3:$C$95,3,0)</f>
        <v>5708</v>
      </c>
      <c r="D29" s="512">
        <f t="shared" si="0"/>
        <v>-0.72004204625087598</v>
      </c>
      <c r="E29" s="27">
        <f>整車!G29</f>
        <v>738884</v>
      </c>
      <c r="F29" s="88">
        <f>VLOOKUP(A29,[7]進出口值表查詢結果!$A$3:$C$95,2,0)</f>
        <v>958412</v>
      </c>
      <c r="G29" s="512">
        <f t="shared" si="1"/>
        <v>-0.22905389331519221</v>
      </c>
      <c r="H29" s="86">
        <f t="shared" si="5"/>
        <v>462.38047559449313</v>
      </c>
      <c r="I29" s="87">
        <f t="shared" si="6"/>
        <v>167.90679747722496</v>
      </c>
      <c r="J29" s="512">
        <f t="shared" si="4"/>
        <v>1.7537924761932933</v>
      </c>
    </row>
    <row r="30" spans="1:10">
      <c r="A30" s="453" t="s">
        <v>213</v>
      </c>
      <c r="B30" s="27">
        <f>整車!E30</f>
        <v>22</v>
      </c>
      <c r="C30" s="88">
        <f>VLOOKUP(A30,[7]進出口值表查詢結果!$A$3:$C$95,3,0)</f>
        <v>52</v>
      </c>
      <c r="D30" s="512">
        <f t="shared" si="0"/>
        <v>-0.57692307692307687</v>
      </c>
      <c r="E30" s="27">
        <f>整車!G30</f>
        <v>4265</v>
      </c>
      <c r="F30" s="88">
        <f>VLOOKUP(A30,[7]進出口值表查詢結果!$A$3:$C$95,2,0)</f>
        <v>9005</v>
      </c>
      <c r="G30" s="512">
        <f t="shared" si="1"/>
        <v>-0.52637423653525817</v>
      </c>
      <c r="H30" s="86">
        <f t="shared" si="5"/>
        <v>193.86363636363637</v>
      </c>
      <c r="I30" s="87">
        <f t="shared" si="6"/>
        <v>173.17307692307693</v>
      </c>
      <c r="J30" s="512">
        <f t="shared" si="4"/>
        <v>0.11947907728029881</v>
      </c>
    </row>
    <row r="31" spans="1:10">
      <c r="A31" s="453" t="s">
        <v>17</v>
      </c>
      <c r="B31" s="27">
        <f>整車!E31</f>
        <v>1471</v>
      </c>
      <c r="C31" s="88">
        <f>VLOOKUP(A31,[7]進出口值表查詢結果!$A$3:$C$95,3,0)</f>
        <v>2237</v>
      </c>
      <c r="D31" s="512">
        <f t="shared" si="0"/>
        <v>-0.34242288779615554</v>
      </c>
      <c r="E31" s="387">
        <f>整車!G31</f>
        <v>1583777</v>
      </c>
      <c r="F31" s="88">
        <f>VLOOKUP(A31,[7]進出口值表查詢結果!$A$3:$C$95,2,0)</f>
        <v>765136</v>
      </c>
      <c r="G31" s="512">
        <f t="shared" si="1"/>
        <v>1.0699287446937538</v>
      </c>
      <c r="H31" s="86">
        <f t="shared" si="5"/>
        <v>1076.6668932698844</v>
      </c>
      <c r="I31" s="87">
        <f t="shared" si="6"/>
        <v>342.03665623603041</v>
      </c>
      <c r="J31" s="512">
        <f t="shared" si="4"/>
        <v>2.1478114220801676</v>
      </c>
    </row>
    <row r="32" spans="1:10">
      <c r="A32" s="453" t="s">
        <v>18</v>
      </c>
      <c r="B32" s="27">
        <f>整車!E32</f>
        <v>50</v>
      </c>
      <c r="C32" s="88">
        <f>VLOOKUP(A32,[7]進出口值表查詢結果!$A$3:$C$95,3,0)</f>
        <v>470</v>
      </c>
      <c r="D32" s="512">
        <f t="shared" si="0"/>
        <v>-0.8936170212765957</v>
      </c>
      <c r="E32" s="27">
        <f>整車!G32</f>
        <v>6219</v>
      </c>
      <c r="F32" s="88">
        <f>VLOOKUP(A32,[7]進出口值表查詢結果!$A$3:$C$95,2,0)</f>
        <v>77364</v>
      </c>
      <c r="G32" s="512">
        <f t="shared" si="1"/>
        <v>-0.91961377384830156</v>
      </c>
      <c r="H32" s="86">
        <f t="shared" si="5"/>
        <v>124.38</v>
      </c>
      <c r="I32" s="87">
        <f t="shared" si="6"/>
        <v>164.60425531914893</v>
      </c>
      <c r="J32" s="512">
        <f t="shared" si="4"/>
        <v>-0.24436947417403446</v>
      </c>
    </row>
    <row r="33" spans="1:10">
      <c r="A33" s="453" t="s">
        <v>214</v>
      </c>
      <c r="B33" s="27">
        <f>整車!E33</f>
        <v>1147</v>
      </c>
      <c r="C33" s="88">
        <f>VLOOKUP(A33,[7]進出口值表查詢結果!$A$3:$C$95,3,0)</f>
        <v>2031</v>
      </c>
      <c r="D33" s="512">
        <f t="shared" si="0"/>
        <v>-0.43525356967011325</v>
      </c>
      <c r="E33" s="27">
        <f>整車!G33</f>
        <v>527674</v>
      </c>
      <c r="F33" s="88">
        <f>VLOOKUP(A33,[7]進出口值表查詢結果!$A$3:$C$95,2,0)</f>
        <v>476510</v>
      </c>
      <c r="G33" s="512">
        <f t="shared" si="1"/>
        <v>0.10737235315103566</v>
      </c>
      <c r="H33" s="86">
        <f t="shared" si="5"/>
        <v>460.0470793374019</v>
      </c>
      <c r="I33" s="87">
        <f t="shared" si="6"/>
        <v>234.61841457410142</v>
      </c>
      <c r="J33" s="512">
        <f t="shared" si="4"/>
        <v>0.96083108042698639</v>
      </c>
    </row>
    <row r="34" spans="1:10">
      <c r="A34" s="453" t="s">
        <v>215</v>
      </c>
      <c r="B34" s="27">
        <f>整車!E34</f>
        <v>427</v>
      </c>
      <c r="C34" s="88">
        <f>VLOOKUP(A34,[7]進出口值表查詢結果!$A$3:$C$95,3,0)</f>
        <v>2302</v>
      </c>
      <c r="D34" s="512">
        <f t="shared" si="0"/>
        <v>-0.814509122502172</v>
      </c>
      <c r="E34" s="27">
        <f>整車!G34</f>
        <v>114645</v>
      </c>
      <c r="F34" s="88">
        <f>VLOOKUP(A34,[7]進出口值表查詢結果!$A$3:$C$95,2,0)</f>
        <v>573917</v>
      </c>
      <c r="G34" s="512">
        <f t="shared" si="1"/>
        <v>-0.80024114985267902</v>
      </c>
      <c r="H34" s="86">
        <f t="shared" si="5"/>
        <v>268.4894613583138</v>
      </c>
      <c r="I34" s="87">
        <f t="shared" si="6"/>
        <v>249.3123370981755</v>
      </c>
      <c r="J34" s="512">
        <f t="shared" si="4"/>
        <v>7.6920077375018284E-2</v>
      </c>
    </row>
    <row r="35" spans="1:10">
      <c r="A35" s="453" t="s">
        <v>216</v>
      </c>
      <c r="B35" s="27">
        <f>整車!E35</f>
        <v>409</v>
      </c>
      <c r="C35" s="88">
        <f>VLOOKUP(A35,[7]進出口值表查詢結果!$A$3:$C$95,3,0)</f>
        <v>1009</v>
      </c>
      <c r="D35" s="512">
        <f t="shared" si="0"/>
        <v>-0.59464816650148666</v>
      </c>
      <c r="E35" s="27">
        <f>整車!G35</f>
        <v>165765</v>
      </c>
      <c r="F35" s="88">
        <f>VLOOKUP(A35,[7]進出口值表查詢結果!$A$3:$C$95,2,0)</f>
        <v>261981</v>
      </c>
      <c r="G35" s="512">
        <f t="shared" si="1"/>
        <v>-0.36726327481763943</v>
      </c>
      <c r="H35" s="86">
        <f t="shared" si="5"/>
        <v>405.29339853300735</v>
      </c>
      <c r="I35" s="87">
        <f t="shared" si="6"/>
        <v>259.64420218037662</v>
      </c>
      <c r="J35" s="512">
        <f t="shared" si="4"/>
        <v>0.56095685992420974</v>
      </c>
    </row>
    <row r="36" spans="1:10">
      <c r="A36" s="453" t="s">
        <v>217</v>
      </c>
      <c r="B36" s="27">
        <f>整車!E36</f>
        <v>210</v>
      </c>
      <c r="C36" s="88">
        <f>VLOOKUP(A36,[7]進出口值表查詢結果!$A$3:$C$95,3,0)</f>
        <v>755</v>
      </c>
      <c r="D36" s="512">
        <f t="shared" si="0"/>
        <v>-0.72185430463576161</v>
      </c>
      <c r="E36" s="27">
        <f>整車!G36</f>
        <v>33789</v>
      </c>
      <c r="F36" s="88">
        <f>VLOOKUP(A36,[7]進出口值表查詢結果!$A$3:$C$95,2,0)</f>
        <v>138272</v>
      </c>
      <c r="G36" s="512">
        <f t="shared" si="1"/>
        <v>-0.75563382318907657</v>
      </c>
      <c r="H36" s="86">
        <f t="shared" si="5"/>
        <v>160.9</v>
      </c>
      <c r="I36" s="87">
        <f t="shared" si="6"/>
        <v>183.14172185430465</v>
      </c>
      <c r="J36" s="512">
        <f t="shared" si="4"/>
        <v>-0.1214454119416802</v>
      </c>
    </row>
    <row r="37" spans="1:10">
      <c r="A37" s="453" t="s">
        <v>218</v>
      </c>
      <c r="B37" s="27">
        <f>整車!E37</f>
        <v>53</v>
      </c>
      <c r="C37" s="88">
        <f>VLOOKUP(A37,[7]進出口值表查詢結果!$A$3:$C$95,3,0)</f>
        <v>142</v>
      </c>
      <c r="D37" s="512">
        <f t="shared" si="0"/>
        <v>-0.62676056338028174</v>
      </c>
      <c r="E37" s="27">
        <f>整車!G37</f>
        <v>6811</v>
      </c>
      <c r="F37" s="88">
        <f>VLOOKUP(A37,[7]進出口值表查詢結果!$A$3:$C$95,2,0)</f>
        <v>16956</v>
      </c>
      <c r="G37" s="512">
        <f t="shared" si="1"/>
        <v>-0.59831328143430051</v>
      </c>
      <c r="H37" s="86">
        <f t="shared" si="5"/>
        <v>128.50943396226415</v>
      </c>
      <c r="I37" s="87">
        <f t="shared" si="6"/>
        <v>119.40845070422536</v>
      </c>
      <c r="J37" s="512">
        <f t="shared" si="4"/>
        <v>7.6217245968477759E-2</v>
      </c>
    </row>
    <row r="38" spans="1:10">
      <c r="A38" s="453" t="s">
        <v>219</v>
      </c>
      <c r="B38" s="27">
        <f>整車!E38</f>
        <v>395</v>
      </c>
      <c r="C38" s="88">
        <f>VLOOKUP(A38,[7]進出口值表查詢結果!$A$3:$C$95,3,0)</f>
        <v>390</v>
      </c>
      <c r="D38" s="512">
        <f t="shared" si="0"/>
        <v>1.282051282051282E-2</v>
      </c>
      <c r="E38" s="27">
        <f>整車!G38</f>
        <v>61429</v>
      </c>
      <c r="F38" s="88">
        <f>VLOOKUP(A38,[7]進出口值表查詢結果!$A$3:$C$95,2,0)</f>
        <v>71607</v>
      </c>
      <c r="G38" s="512">
        <f t="shared" si="1"/>
        <v>-0.14213694191908613</v>
      </c>
      <c r="H38" s="86">
        <f t="shared" si="5"/>
        <v>155.51645569620254</v>
      </c>
      <c r="I38" s="87">
        <f t="shared" si="6"/>
        <v>183.6076923076923</v>
      </c>
      <c r="J38" s="512">
        <f t="shared" si="4"/>
        <v>-0.15299596797074319</v>
      </c>
    </row>
    <row r="39" spans="1:10">
      <c r="A39" s="453" t="s">
        <v>19</v>
      </c>
      <c r="B39" s="27">
        <f>整車!E39</f>
        <v>578</v>
      </c>
      <c r="C39" s="88">
        <f>VLOOKUP(A39,[7]進出口值表查詢結果!$A$3:$C$95,3,0)</f>
        <v>1015</v>
      </c>
      <c r="D39" s="512">
        <f t="shared" si="0"/>
        <v>-0.43054187192118226</v>
      </c>
      <c r="E39" s="27">
        <f>整車!G39</f>
        <v>148696</v>
      </c>
      <c r="F39" s="88">
        <f>VLOOKUP(A39,[7]進出口值表查詢結果!$A$3:$C$95,2,0)</f>
        <v>219725</v>
      </c>
      <c r="G39" s="512">
        <f t="shared" si="1"/>
        <v>-0.32326316987143022</v>
      </c>
      <c r="H39" s="86">
        <f t="shared" si="5"/>
        <v>257.25951557093424</v>
      </c>
      <c r="I39" s="87">
        <f t="shared" si="6"/>
        <v>216.47783251231527</v>
      </c>
      <c r="J39" s="512">
        <f t="shared" si="4"/>
        <v>0.18838734010466834</v>
      </c>
    </row>
    <row r="40" spans="1:10">
      <c r="A40" s="30"/>
      <c r="B40" s="27"/>
      <c r="C40" s="89"/>
      <c r="D40" s="512"/>
      <c r="E40" s="27"/>
      <c r="F40" s="89"/>
      <c r="G40" s="512"/>
      <c r="H40" s="86"/>
      <c r="I40" s="87"/>
      <c r="J40" s="512"/>
    </row>
    <row r="41" spans="1:10" ht="16.149999999999999" customHeight="1">
      <c r="A41" s="36" t="s">
        <v>20</v>
      </c>
      <c r="B41" s="33">
        <f>SUM(B42:B45)</f>
        <v>35870</v>
      </c>
      <c r="C41" s="90">
        <f>SUM(C42:C45)</f>
        <v>40506</v>
      </c>
      <c r="D41" s="512">
        <f t="shared" si="0"/>
        <v>-0.11445217992396188</v>
      </c>
      <c r="E41" s="33">
        <f>SUM(E42:E45)</f>
        <v>26844605</v>
      </c>
      <c r="F41" s="90">
        <f>SUM(F42:F45)</f>
        <v>39982639</v>
      </c>
      <c r="G41" s="512">
        <f t="shared" si="1"/>
        <v>-0.32859346777985315</v>
      </c>
      <c r="H41" s="86">
        <f t="shared" si="5"/>
        <v>748.38597713967101</v>
      </c>
      <c r="I41" s="87">
        <f t="shared" si="6"/>
        <v>987.07942033279016</v>
      </c>
      <c r="J41" s="512">
        <f t="shared" si="4"/>
        <v>-0.24181787025064766</v>
      </c>
    </row>
    <row r="42" spans="1:10">
      <c r="A42" s="452" t="s">
        <v>220</v>
      </c>
      <c r="B42" s="27">
        <f>整車!E42</f>
        <v>12780</v>
      </c>
      <c r="C42" s="88">
        <f>VLOOKUP(A42,[7]進出口值表查詢結果!$A$3:$C$95,3,0)</f>
        <v>20948</v>
      </c>
      <c r="D42" s="512">
        <f t="shared" si="0"/>
        <v>-0.38991789192285659</v>
      </c>
      <c r="E42" s="27">
        <f>整車!G42</f>
        <v>16204661</v>
      </c>
      <c r="F42" s="88">
        <f>VLOOKUP(A42,[7]進出口值表查詢結果!$A$3:$C$95,2,0)</f>
        <v>31162687</v>
      </c>
      <c r="G42" s="512">
        <f t="shared" si="1"/>
        <v>-0.47999795396334083</v>
      </c>
      <c r="H42" s="86">
        <f t="shared" si="5"/>
        <v>1267.97034428795</v>
      </c>
      <c r="I42" s="87">
        <f t="shared" si="6"/>
        <v>1487.6211094137866</v>
      </c>
      <c r="J42" s="512">
        <f t="shared" si="4"/>
        <v>-0.14765235834304102</v>
      </c>
    </row>
    <row r="43" spans="1:10">
      <c r="A43" s="452" t="s">
        <v>221</v>
      </c>
      <c r="B43" s="27">
        <f>整車!E43</f>
        <v>22870</v>
      </c>
      <c r="C43" s="88">
        <f>VLOOKUP(A43,[7]進出口值表查詢結果!$A$3:$C$95,3,0)</f>
        <v>19503</v>
      </c>
      <c r="D43" s="512">
        <f t="shared" si="0"/>
        <v>0.17264010665025895</v>
      </c>
      <c r="E43" s="27">
        <f>整車!G43</f>
        <v>10533419</v>
      </c>
      <c r="F43" s="88">
        <f>VLOOKUP(A43,[7]進出口值表查詢結果!$A$3:$C$95,2,0)</f>
        <v>8757552</v>
      </c>
      <c r="G43" s="512">
        <f t="shared" si="1"/>
        <v>0.20278121100508453</v>
      </c>
      <c r="H43" s="86">
        <f t="shared" si="5"/>
        <v>460.5780061215566</v>
      </c>
      <c r="I43" s="87">
        <f t="shared" si="6"/>
        <v>449.03614828487923</v>
      </c>
      <c r="J43" s="512">
        <f t="shared" si="4"/>
        <v>2.5703627382254617E-2</v>
      </c>
    </row>
    <row r="44" spans="1:10">
      <c r="A44" s="452" t="s">
        <v>222</v>
      </c>
      <c r="B44" s="27">
        <f>整車!E44</f>
        <v>220</v>
      </c>
      <c r="C44" s="88">
        <f>VLOOKUP(A44,[7]進出口值表查詢結果!$A$3:$C$95,3,0)</f>
        <v>55</v>
      </c>
      <c r="D44" s="512">
        <f t="shared" si="0"/>
        <v>3</v>
      </c>
      <c r="E44" s="27">
        <f>整車!G44</f>
        <v>106525</v>
      </c>
      <c r="F44" s="88">
        <f>VLOOKUP(A44,[7]進出口值表查詢結果!$A$3:$C$95,2,0)</f>
        <v>62400</v>
      </c>
      <c r="G44" s="512">
        <f t="shared" si="1"/>
        <v>0.70713141025641024</v>
      </c>
      <c r="H44" s="86">
        <f t="shared" si="5"/>
        <v>484.20454545454544</v>
      </c>
      <c r="I44" s="87">
        <f t="shared" si="6"/>
        <v>1134.5454545454545</v>
      </c>
      <c r="J44" s="512">
        <f t="shared" si="4"/>
        <v>-0.57321714743589736</v>
      </c>
    </row>
    <row r="45" spans="1:10">
      <c r="A45" s="30" t="s">
        <v>21</v>
      </c>
      <c r="B45" s="27">
        <f>整車!E45</f>
        <v>0</v>
      </c>
      <c r="C45" s="88">
        <v>0</v>
      </c>
      <c r="D45" s="512">
        <f t="shared" si="0"/>
        <v>0</v>
      </c>
      <c r="E45" s="27">
        <f>整車!G45</f>
        <v>0</v>
      </c>
      <c r="F45" s="88">
        <f>_xlfn.IFNA(VLOOKUP(A45,[3]出同!$C$3:$H$107,3,0),-[4]整車!$B$22)</f>
        <v>0</v>
      </c>
      <c r="G45" s="512">
        <f t="shared" si="1"/>
        <v>0</v>
      </c>
      <c r="H45" s="86">
        <f t="shared" si="5"/>
        <v>0</v>
      </c>
      <c r="I45" s="87">
        <f t="shared" si="6"/>
        <v>0</v>
      </c>
      <c r="J45" s="512">
        <f t="shared" si="4"/>
        <v>0</v>
      </c>
    </row>
    <row r="46" spans="1:10" ht="17.45" customHeight="1">
      <c r="A46" s="30"/>
      <c r="B46" s="27"/>
      <c r="C46" s="89"/>
      <c r="D46" s="512"/>
      <c r="E46" s="27"/>
      <c r="F46" s="89"/>
      <c r="G46" s="512"/>
      <c r="H46" s="86"/>
      <c r="I46" s="87"/>
      <c r="J46" s="512"/>
    </row>
    <row r="47" spans="1:10">
      <c r="A47" s="36" t="s">
        <v>22</v>
      </c>
      <c r="B47" s="33">
        <f>SUM(B48:B65)</f>
        <v>357491</v>
      </c>
      <c r="C47" s="90">
        <f>SUM(C48:C65)</f>
        <v>427004</v>
      </c>
      <c r="D47" s="512">
        <f t="shared" si="0"/>
        <v>-0.16279238601980309</v>
      </c>
      <c r="E47" s="33">
        <f>SUM(E48:E65)</f>
        <v>388340426</v>
      </c>
      <c r="F47" s="90">
        <f>SUM(F48:F65)</f>
        <v>383525830</v>
      </c>
      <c r="G47" s="512">
        <f t="shared" si="1"/>
        <v>1.2553511715234408E-2</v>
      </c>
      <c r="H47" s="86">
        <f t="shared" si="5"/>
        <v>1086.2942731425408</v>
      </c>
      <c r="I47" s="87">
        <f t="shared" si="6"/>
        <v>898.1785416530056</v>
      </c>
      <c r="J47" s="512">
        <f t="shared" si="4"/>
        <v>0.20944135577245859</v>
      </c>
    </row>
    <row r="48" spans="1:10">
      <c r="A48" s="484" t="s">
        <v>163</v>
      </c>
      <c r="B48" s="27">
        <f>整車!E48</f>
        <v>75195</v>
      </c>
      <c r="C48" s="88">
        <f>VLOOKUP(A48,[7]進出口值表查詢結果!$A$3:$C$95,3,0)</f>
        <v>126205</v>
      </c>
      <c r="D48" s="512">
        <f t="shared" si="0"/>
        <v>-0.40418366942672634</v>
      </c>
      <c r="E48" s="27">
        <f>整車!G48</f>
        <v>69457979</v>
      </c>
      <c r="F48" s="88">
        <f>VLOOKUP(A48,[7]進出口值表查詢結果!$A$3:$C$95,2,0)</f>
        <v>83504967</v>
      </c>
      <c r="G48" s="512">
        <f t="shared" si="1"/>
        <v>-0.1682173947808398</v>
      </c>
      <c r="H48" s="86">
        <f t="shared" si="5"/>
        <v>923.70475430547242</v>
      </c>
      <c r="I48" s="87">
        <f t="shared" si="6"/>
        <v>661.66132086684365</v>
      </c>
      <c r="J48" s="512">
        <f t="shared" si="4"/>
        <v>0.39603861548885039</v>
      </c>
    </row>
    <row r="49" spans="1:10">
      <c r="A49" s="452" t="s">
        <v>223</v>
      </c>
      <c r="B49" s="27">
        <f>整車!E49</f>
        <v>56849</v>
      </c>
      <c r="C49" s="88">
        <f>VLOOKUP(A49,[7]進出口值表查詢結果!$A$3:$C$95,3,0)</f>
        <v>59892</v>
      </c>
      <c r="D49" s="512">
        <f t="shared" si="0"/>
        <v>-5.0808121284979628E-2</v>
      </c>
      <c r="E49" s="27">
        <f>整車!G49</f>
        <v>45232269</v>
      </c>
      <c r="F49" s="88">
        <f>VLOOKUP(A49,[7]進出口值表查詢結果!$A$3:$C$95,2,0)</f>
        <v>40256953</v>
      </c>
      <c r="G49" s="512">
        <f t="shared" si="1"/>
        <v>0.12358898598212338</v>
      </c>
      <c r="H49" s="86">
        <f t="shared" si="5"/>
        <v>795.65637038470334</v>
      </c>
      <c r="I49" s="87">
        <f t="shared" si="6"/>
        <v>672.1591030521605</v>
      </c>
      <c r="J49" s="512">
        <f t="shared" si="4"/>
        <v>0.18373219491004836</v>
      </c>
    </row>
    <row r="50" spans="1:10">
      <c r="A50" s="288" t="s">
        <v>224</v>
      </c>
      <c r="B50" s="27">
        <f>整車!E50</f>
        <v>2487</v>
      </c>
      <c r="C50" s="88">
        <f>VLOOKUP(A50,[7]進出口值表查詢結果!$A$3:$C$95,3,0)</f>
        <v>3134</v>
      </c>
      <c r="D50" s="512">
        <f t="shared" si="0"/>
        <v>-0.20644543714103383</v>
      </c>
      <c r="E50" s="27">
        <f>整車!G50</f>
        <v>2505224</v>
      </c>
      <c r="F50" s="88">
        <f>VLOOKUP(A50,[7]進出口值表查詢結果!$A$3:$C$95,2,0)</f>
        <v>3615200</v>
      </c>
      <c r="G50" s="512">
        <f t="shared" si="1"/>
        <v>-0.30703031644169065</v>
      </c>
      <c r="H50" s="86">
        <f t="shared" si="5"/>
        <v>1007.3277040611179</v>
      </c>
      <c r="I50" s="87">
        <f t="shared" si="6"/>
        <v>1153.5417996171027</v>
      </c>
      <c r="J50" s="512">
        <f t="shared" si="4"/>
        <v>-0.1267523167383427</v>
      </c>
    </row>
    <row r="51" spans="1:10">
      <c r="A51" s="452" t="s">
        <v>225</v>
      </c>
      <c r="B51" s="27">
        <f>整車!E51</f>
        <v>3623</v>
      </c>
      <c r="C51" s="88">
        <f>VLOOKUP(A51,[7]進出口值表查詢結果!$A$3:$C$95,3,0)</f>
        <v>4235</v>
      </c>
      <c r="D51" s="512">
        <f t="shared" si="0"/>
        <v>-0.14451003541912633</v>
      </c>
      <c r="E51" s="27">
        <f>整車!G51</f>
        <v>5481610</v>
      </c>
      <c r="F51" s="88">
        <f>VLOOKUP(A51,[7]進出口值表查詢結果!$A$3:$C$95,2,0)</f>
        <v>5925296</v>
      </c>
      <c r="G51" s="512">
        <f t="shared" si="1"/>
        <v>-7.4879972241049225E-2</v>
      </c>
      <c r="H51" s="86">
        <f t="shared" si="5"/>
        <v>1513.0030361578802</v>
      </c>
      <c r="I51" s="87">
        <f t="shared" si="6"/>
        <v>1399.125383707202</v>
      </c>
      <c r="J51" s="512">
        <f t="shared" si="4"/>
        <v>8.1392028031784747E-2</v>
      </c>
    </row>
    <row r="52" spans="1:10">
      <c r="A52" s="453" t="s">
        <v>23</v>
      </c>
      <c r="B52" s="27">
        <f>整車!E52</f>
        <v>731</v>
      </c>
      <c r="C52" s="88">
        <f>VLOOKUP(A52,[7]進出口值表查詢結果!$A$3:$C$95,3,0)</f>
        <v>2465</v>
      </c>
      <c r="D52" s="512">
        <f t="shared" si="0"/>
        <v>-0.70344827586206893</v>
      </c>
      <c r="E52" s="27">
        <f>整車!G52</f>
        <v>1197048</v>
      </c>
      <c r="F52" s="88">
        <f>VLOOKUP(A52,[7]進出口值表查詢結果!$A$3:$C$95,2,0)</f>
        <v>1902685</v>
      </c>
      <c r="G52" s="512">
        <f t="shared" si="1"/>
        <v>-0.37086380562205518</v>
      </c>
      <c r="H52" s="86">
        <f t="shared" si="5"/>
        <v>1637.5485636114911</v>
      </c>
      <c r="I52" s="87">
        <f t="shared" si="6"/>
        <v>771.88032454361053</v>
      </c>
      <c r="J52" s="512">
        <f t="shared" si="4"/>
        <v>1.1215057717395815</v>
      </c>
    </row>
    <row r="53" spans="1:10">
      <c r="A53" s="452" t="s">
        <v>226</v>
      </c>
      <c r="B53" s="27">
        <f>整車!E53</f>
        <v>2799</v>
      </c>
      <c r="C53" s="88">
        <f>VLOOKUP(A53,[7]進出口值表查詢結果!$A$3:$C$95,3,0)</f>
        <v>10509</v>
      </c>
      <c r="D53" s="512">
        <f t="shared" si="0"/>
        <v>-0.73365686554381959</v>
      </c>
      <c r="E53" s="27">
        <f>整車!G53</f>
        <v>4475402</v>
      </c>
      <c r="F53" s="88">
        <f>VLOOKUP(A53,[7]進出口值表查詢結果!$A$3:$C$95,2,0)</f>
        <v>10350742</v>
      </c>
      <c r="G53" s="512">
        <f t="shared" si="1"/>
        <v>-0.56762500698017593</v>
      </c>
      <c r="H53" s="86">
        <f t="shared" si="5"/>
        <v>1598.928903179707</v>
      </c>
      <c r="I53" s="87">
        <f t="shared" si="6"/>
        <v>984.94071748025499</v>
      </c>
      <c r="J53" s="512">
        <f t="shared" si="4"/>
        <v>0.62337577765106522</v>
      </c>
    </row>
    <row r="54" spans="1:10">
      <c r="A54" s="453" t="s">
        <v>227</v>
      </c>
      <c r="B54" s="27">
        <f>整車!E54</f>
        <v>44835</v>
      </c>
      <c r="C54" s="88">
        <f>VLOOKUP(A54,[7]進出口值表查詢結果!$A$3:$C$95,3,0)</f>
        <v>84305</v>
      </c>
      <c r="D54" s="512">
        <f t="shared" si="0"/>
        <v>-0.46818100943004565</v>
      </c>
      <c r="E54" s="27">
        <f>整車!G54</f>
        <v>61734512</v>
      </c>
      <c r="F54" s="88">
        <f>VLOOKUP(A54,[7]進出口值表查詢結果!$A$3:$C$95,2,0)</f>
        <v>82827703</v>
      </c>
      <c r="G54" s="512">
        <f t="shared" si="1"/>
        <v>-0.25466347895703445</v>
      </c>
      <c r="H54" s="86">
        <f t="shared" si="5"/>
        <v>1376.9267759562842</v>
      </c>
      <c r="I54" s="87">
        <f t="shared" si="6"/>
        <v>982.47675701322578</v>
      </c>
      <c r="J54" s="512">
        <f t="shared" si="4"/>
        <v>0.40148534418483806</v>
      </c>
    </row>
    <row r="55" spans="1:10">
      <c r="A55" s="453" t="s">
        <v>24</v>
      </c>
      <c r="B55" s="27">
        <f>整車!E55</f>
        <v>3828</v>
      </c>
      <c r="C55" s="88">
        <f>VLOOKUP(A55,[7]進出口值表查詢結果!$A$3:$C$95,3,0)</f>
        <v>5235</v>
      </c>
      <c r="D55" s="512">
        <f t="shared" si="0"/>
        <v>-0.26876790830945557</v>
      </c>
      <c r="E55" s="27">
        <f>整車!G55</f>
        <v>4757574</v>
      </c>
      <c r="F55" s="88">
        <f>VLOOKUP(A55,[7]進出口值表查詢結果!$A$3:$C$95,2,0)</f>
        <v>6029430</v>
      </c>
      <c r="G55" s="512">
        <f t="shared" si="1"/>
        <v>-0.21094133276279847</v>
      </c>
      <c r="H55" s="86">
        <f t="shared" si="5"/>
        <v>1242.8354231974922</v>
      </c>
      <c r="I55" s="87">
        <f t="shared" si="6"/>
        <v>1151.7535816618911</v>
      </c>
      <c r="J55" s="512">
        <f t="shared" si="4"/>
        <v>7.9081014364354843E-2</v>
      </c>
    </row>
    <row r="56" spans="1:10">
      <c r="A56" s="453" t="s">
        <v>228</v>
      </c>
      <c r="B56" s="27">
        <f>整車!E56</f>
        <v>114412</v>
      </c>
      <c r="C56" s="88">
        <f>VLOOKUP(A56,[7]進出口值表查詢結果!$A$3:$C$95,3,0)</f>
        <v>46742</v>
      </c>
      <c r="D56" s="512">
        <f t="shared" si="0"/>
        <v>1.447734371657182</v>
      </c>
      <c r="E56" s="27">
        <f>整車!G56</f>
        <v>119956082</v>
      </c>
      <c r="F56" s="88">
        <f>VLOOKUP(A56,[7]進出口值表查詢結果!$A$3:$C$95,2,0)</f>
        <v>44973483</v>
      </c>
      <c r="G56" s="512">
        <f t="shared" si="1"/>
        <v>1.6672624399582305</v>
      </c>
      <c r="H56" s="86">
        <f t="shared" si="5"/>
        <v>1048.4571723245813</v>
      </c>
      <c r="I56" s="87">
        <f t="shared" si="6"/>
        <v>962.16428479739852</v>
      </c>
      <c r="J56" s="512">
        <f t="shared" si="4"/>
        <v>8.9686230190256247E-2</v>
      </c>
    </row>
    <row r="57" spans="1:10">
      <c r="A57" s="455" t="s">
        <v>229</v>
      </c>
      <c r="B57" s="27">
        <f>整車!E57</f>
        <v>25527</v>
      </c>
      <c r="C57" s="88">
        <f>VLOOKUP(A57,[7]進出口值表查詢結果!$A$3:$C$95,3,0)</f>
        <v>33691</v>
      </c>
      <c r="D57" s="512">
        <f t="shared" si="0"/>
        <v>-0.24231990739366596</v>
      </c>
      <c r="E57" s="27">
        <f>整車!G57</f>
        <v>35994671</v>
      </c>
      <c r="F57" s="88">
        <f>VLOOKUP(A57,[7]進出口值表查詢結果!$A$3:$C$95,2,0)</f>
        <v>42585926</v>
      </c>
      <c r="G57" s="512">
        <f t="shared" si="1"/>
        <v>-0.15477542979809808</v>
      </c>
      <c r="H57" s="86">
        <f t="shared" si="5"/>
        <v>1410.0627179065305</v>
      </c>
      <c r="I57" s="87">
        <f t="shared" si="6"/>
        <v>1264.0149001216942</v>
      </c>
      <c r="J57" s="512">
        <f t="shared" si="4"/>
        <v>0.11554279761320489</v>
      </c>
    </row>
    <row r="58" spans="1:10">
      <c r="A58" s="453" t="s">
        <v>25</v>
      </c>
      <c r="B58" s="27">
        <f>整車!E58</f>
        <v>4747</v>
      </c>
      <c r="C58" s="88">
        <f>VLOOKUP(A58,[7]進出口值表查詢結果!$A$3:$C$95,3,0)</f>
        <v>4688</v>
      </c>
      <c r="D58" s="512">
        <f t="shared" si="0"/>
        <v>1.2585324232081911E-2</v>
      </c>
      <c r="E58" s="27">
        <f>整車!G58</f>
        <v>2253138</v>
      </c>
      <c r="F58" s="88">
        <f>VLOOKUP(A58,[7]進出口值表查詢結果!$A$3:$C$95,2,0)</f>
        <v>1298227</v>
      </c>
      <c r="G58" s="512">
        <f t="shared" si="1"/>
        <v>0.73555010025211309</v>
      </c>
      <c r="H58" s="86">
        <f t="shared" si="5"/>
        <v>474.64461765325467</v>
      </c>
      <c r="I58" s="87">
        <f t="shared" si="6"/>
        <v>276.92555460750856</v>
      </c>
      <c r="J58" s="512">
        <f t="shared" si="4"/>
        <v>0.71397911733345376</v>
      </c>
    </row>
    <row r="59" spans="1:10">
      <c r="A59" s="453" t="s">
        <v>26</v>
      </c>
      <c r="B59" s="27">
        <f>整車!E59</f>
        <v>119</v>
      </c>
      <c r="C59" s="88">
        <f>VLOOKUP(A59,[7]進出口值表查詢結果!$A$3:$C$95,3,0)</f>
        <v>223</v>
      </c>
      <c r="D59" s="512">
        <f t="shared" si="0"/>
        <v>-0.46636771300448432</v>
      </c>
      <c r="E59" s="27">
        <f>整車!G59</f>
        <v>44021</v>
      </c>
      <c r="F59" s="88">
        <f>VLOOKUP(A59,[7]進出口值表查詢結果!$A$3:$C$95,2,0)</f>
        <v>48470</v>
      </c>
      <c r="G59" s="512">
        <f t="shared" si="1"/>
        <v>-9.1788735300185678E-2</v>
      </c>
      <c r="H59" s="86">
        <f t="shared" si="5"/>
        <v>369.92436974789916</v>
      </c>
      <c r="I59" s="87">
        <f t="shared" si="6"/>
        <v>217.35426008968611</v>
      </c>
      <c r="J59" s="512">
        <f t="shared" si="4"/>
        <v>0.70194211788284522</v>
      </c>
    </row>
    <row r="60" spans="1:10">
      <c r="A60" s="453" t="s">
        <v>27</v>
      </c>
      <c r="B60" s="27">
        <f>整車!E60</f>
        <v>9561</v>
      </c>
      <c r="C60" s="88">
        <f>VLOOKUP(A60,[7]進出口值表查詢結果!$A$3:$C$95,3,0)</f>
        <v>20074</v>
      </c>
      <c r="D60" s="512">
        <f t="shared" si="0"/>
        <v>-0.5237122646209027</v>
      </c>
      <c r="E60" s="27">
        <f>整車!G60</f>
        <v>12604201</v>
      </c>
      <c r="F60" s="88">
        <f>VLOOKUP(A60,[7]進出口值表查詢結果!$A$3:$C$95,2,0)</f>
        <v>22983376</v>
      </c>
      <c r="G60" s="512">
        <f t="shared" si="1"/>
        <v>-0.45159488318861424</v>
      </c>
      <c r="H60" s="86">
        <f t="shared" si="5"/>
        <v>1318.2931701704842</v>
      </c>
      <c r="I60" s="87">
        <f t="shared" si="6"/>
        <v>1144.9325495666035</v>
      </c>
      <c r="J60" s="512">
        <f t="shared" si="4"/>
        <v>0.15141557524022156</v>
      </c>
    </row>
    <row r="61" spans="1:10">
      <c r="A61" s="454" t="s">
        <v>230</v>
      </c>
      <c r="B61" s="27">
        <f>整車!E61</f>
        <v>4411</v>
      </c>
      <c r="C61" s="88">
        <f>VLOOKUP(A61,[7]進出口值表查詢結果!$A$3:$C$95,3,0)</f>
        <v>6333</v>
      </c>
      <c r="D61" s="512">
        <f t="shared" si="0"/>
        <v>-0.30348965735038685</v>
      </c>
      <c r="E61" s="27">
        <f>整車!G61</f>
        <v>9187200</v>
      </c>
      <c r="F61" s="88">
        <f>VLOOKUP(A61,[7]進出口值表查詢結果!$A$3:$C$95,2,0)</f>
        <v>10225770</v>
      </c>
      <c r="G61" s="512">
        <f t="shared" si="1"/>
        <v>-0.10156398980223494</v>
      </c>
      <c r="H61" s="86">
        <f t="shared" si="5"/>
        <v>2082.7930174563589</v>
      </c>
      <c r="I61" s="87">
        <f t="shared" si="6"/>
        <v>1614.680246328754</v>
      </c>
      <c r="J61" s="512">
        <f t="shared" si="4"/>
        <v>0.2899105084068116</v>
      </c>
    </row>
    <row r="62" spans="1:10">
      <c r="A62" s="453" t="s">
        <v>28</v>
      </c>
      <c r="B62" s="27">
        <f>整車!E62</f>
        <v>3444</v>
      </c>
      <c r="C62" s="88">
        <f>VLOOKUP(A62,[7]進出口值表查詢結果!$A$3:$C$95,3,0)</f>
        <v>8238</v>
      </c>
      <c r="D62" s="512">
        <f t="shared" si="0"/>
        <v>-0.58193736343772762</v>
      </c>
      <c r="E62" s="27">
        <f>整車!G62</f>
        <v>5568179</v>
      </c>
      <c r="F62" s="88">
        <f>VLOOKUP(A62,[7]進出口值表查詢結果!$A$3:$C$95,2,0)</f>
        <v>11917900</v>
      </c>
      <c r="G62" s="512">
        <f t="shared" si="1"/>
        <v>-0.53278857852474004</v>
      </c>
      <c r="H62" s="86">
        <f t="shared" si="5"/>
        <v>1616.776713124274</v>
      </c>
      <c r="I62" s="87">
        <f t="shared" si="6"/>
        <v>1446.6982277251759</v>
      </c>
      <c r="J62" s="512">
        <f t="shared" si="4"/>
        <v>0.11756320851137954</v>
      </c>
    </row>
    <row r="63" spans="1:10">
      <c r="A63" s="291" t="s">
        <v>231</v>
      </c>
      <c r="B63" s="27">
        <f>整車!E63</f>
        <v>436</v>
      </c>
      <c r="C63" s="88">
        <f>VLOOKUP(A63,[7]進出口值表查詢結果!$A$3:$C$95,3,0)</f>
        <v>1746</v>
      </c>
      <c r="D63" s="512">
        <f t="shared" si="0"/>
        <v>-0.75028636884306987</v>
      </c>
      <c r="E63" s="27">
        <f>整車!G63</f>
        <v>849307</v>
      </c>
      <c r="F63" s="88">
        <f>VLOOKUP(A63,[7]進出口值表查詢結果!$A$3:$C$95,2,0)</f>
        <v>2147262</v>
      </c>
      <c r="G63" s="512">
        <f t="shared" si="1"/>
        <v>-0.60446978524278827</v>
      </c>
      <c r="H63" s="86">
        <f t="shared" si="5"/>
        <v>1947.9518348623853</v>
      </c>
      <c r="I63" s="87">
        <f t="shared" si="6"/>
        <v>1229.8178694158075</v>
      </c>
      <c r="J63" s="512">
        <f t="shared" si="4"/>
        <v>0.58393521781213698</v>
      </c>
    </row>
    <row r="64" spans="1:10">
      <c r="A64" s="453" t="s">
        <v>29</v>
      </c>
      <c r="B64" s="27">
        <f>整車!E64</f>
        <v>2447</v>
      </c>
      <c r="C64" s="88">
        <f>VLOOKUP(A64,[7]進出口值表查詢結果!$A$3:$C$95,3,0)</f>
        <v>4606</v>
      </c>
      <c r="D64" s="512">
        <f t="shared" si="0"/>
        <v>-0.46873643074250976</v>
      </c>
      <c r="E64" s="27">
        <f>整車!G64</f>
        <v>4654454</v>
      </c>
      <c r="F64" s="88">
        <f>VLOOKUP(A64,[7]進出口值表查詢結果!$A$3:$C$95,2,0)</f>
        <v>7016239</v>
      </c>
      <c r="G64" s="512">
        <f t="shared" si="1"/>
        <v>-0.33661695389795016</v>
      </c>
      <c r="H64" s="86">
        <f t="shared" si="5"/>
        <v>1902.1062525541479</v>
      </c>
      <c r="I64" s="87">
        <f t="shared" si="6"/>
        <v>1523.2824576639166</v>
      </c>
      <c r="J64" s="512">
        <f t="shared" si="4"/>
        <v>0.24868913377443461</v>
      </c>
    </row>
    <row r="65" spans="1:10">
      <c r="A65" s="291" t="s">
        <v>232</v>
      </c>
      <c r="B65" s="27">
        <f>整車!E65</f>
        <v>2040</v>
      </c>
      <c r="C65" s="88">
        <f>VLOOKUP(A65,[7]進出口值表查詢結果!$A$3:$C$95,3,0)</f>
        <v>4683</v>
      </c>
      <c r="D65" s="512">
        <f t="shared" si="0"/>
        <v>-0.56438180653427295</v>
      </c>
      <c r="E65" s="27">
        <f>整車!G65</f>
        <v>2387555</v>
      </c>
      <c r="F65" s="88">
        <f>VLOOKUP(A65,[7]進出口值表查詢結果!$A$3:$C$95,2,0)</f>
        <v>5916201</v>
      </c>
      <c r="G65" s="512">
        <f t="shared" si="1"/>
        <v>-0.59643781541566965</v>
      </c>
      <c r="H65" s="86">
        <f t="shared" si="5"/>
        <v>1170.3700980392157</v>
      </c>
      <c r="I65" s="87">
        <f t="shared" si="6"/>
        <v>1263.3356822549647</v>
      </c>
      <c r="J65" s="512">
        <f t="shared" si="4"/>
        <v>-7.3587396858617996E-2</v>
      </c>
    </row>
    <row r="66" spans="1:10">
      <c r="A66" s="30" t="s">
        <v>30</v>
      </c>
      <c r="B66" s="27">
        <f>B67-B47-B41-B12-B7</f>
        <v>26262</v>
      </c>
      <c r="C66" s="89">
        <f>C67-C47-C41-C12-C7</f>
        <v>40202</v>
      </c>
      <c r="D66" s="512">
        <f t="shared" si="0"/>
        <v>-0.34674891796428037</v>
      </c>
      <c r="E66" s="27">
        <f>E67-E47-E41-E12-E7</f>
        <v>35790206</v>
      </c>
      <c r="F66" s="89">
        <f>F67-F47-F41-F12-F7</f>
        <v>46640830</v>
      </c>
      <c r="G66" s="512">
        <f t="shared" si="1"/>
        <v>-0.23264217210542779</v>
      </c>
      <c r="H66" s="86">
        <f t="shared" si="5"/>
        <v>1362.813418627675</v>
      </c>
      <c r="I66" s="87">
        <f t="shared" si="6"/>
        <v>1160.161932242177</v>
      </c>
      <c r="J66" s="512">
        <f t="shared" si="4"/>
        <v>0.1746751731405678</v>
      </c>
    </row>
    <row r="67" spans="1:10">
      <c r="A67" s="32" t="s">
        <v>403</v>
      </c>
      <c r="B67" s="33">
        <f>整車!E67</f>
        <v>1249753</v>
      </c>
      <c r="C67" s="88">
        <f>VLOOKUP(A67,[7]進出口值表查詢結果!$A$3:$C$95,3,0)</f>
        <v>1817090</v>
      </c>
      <c r="D67" s="512">
        <f t="shared" si="0"/>
        <v>-0.31222283981530907</v>
      </c>
      <c r="E67" s="33">
        <f>整車!G67</f>
        <v>1292224257</v>
      </c>
      <c r="F67" s="88">
        <f>VLOOKUP(A67,[7]進出口值表查詢結果!$A$3:$C$95,2,0)</f>
        <v>1478750110</v>
      </c>
      <c r="G67" s="512">
        <f t="shared" si="1"/>
        <v>-0.12613750743863006</v>
      </c>
      <c r="H67" s="86">
        <f t="shared" ref="H67:I67" si="7">E67/B67</f>
        <v>1033.9837207832268</v>
      </c>
      <c r="I67" s="87">
        <f t="shared" si="7"/>
        <v>813.80124814951375</v>
      </c>
      <c r="J67" s="512">
        <f t="shared" si="4"/>
        <v>0.27056050004148002</v>
      </c>
    </row>
    <row r="68" spans="1:10">
      <c r="A68" s="95"/>
      <c r="B68" s="96"/>
      <c r="C68" s="97"/>
      <c r="D68" s="98"/>
      <c r="E68" s="96"/>
      <c r="F68" s="97"/>
      <c r="G68" s="99"/>
      <c r="H68" s="93"/>
      <c r="I68" s="93"/>
      <c r="J68" s="94"/>
    </row>
    <row r="69" spans="1:10">
      <c r="A69" s="100" t="s">
        <v>438</v>
      </c>
      <c r="B69" s="101"/>
      <c r="C69" s="102"/>
      <c r="D69" s="103"/>
      <c r="E69" s="101"/>
      <c r="F69" s="102"/>
      <c r="G69" s="104"/>
      <c r="H69" s="93"/>
      <c r="I69" s="93"/>
      <c r="J69" s="94"/>
    </row>
    <row r="70" spans="1:10">
      <c r="A70" s="69" t="s">
        <v>471</v>
      </c>
      <c r="B70" s="8" t="s">
        <v>424</v>
      </c>
      <c r="C70" s="70" t="s">
        <v>425</v>
      </c>
      <c r="D70" s="71" t="s">
        <v>159</v>
      </c>
      <c r="E70" s="8" t="s">
        <v>424</v>
      </c>
      <c r="F70" s="70" t="s">
        <v>425</v>
      </c>
      <c r="G70" s="73" t="s">
        <v>160</v>
      </c>
      <c r="H70" s="8" t="s">
        <v>424</v>
      </c>
      <c r="I70" s="70" t="s">
        <v>425</v>
      </c>
      <c r="J70" s="74" t="s">
        <v>37</v>
      </c>
    </row>
    <row r="71" spans="1:10">
      <c r="A71" s="45"/>
      <c r="B71" s="105" t="s">
        <v>33</v>
      </c>
      <c r="C71" s="106" t="s">
        <v>33</v>
      </c>
      <c r="D71" s="448" t="s">
        <v>2</v>
      </c>
      <c r="E71" s="47" t="s">
        <v>34</v>
      </c>
      <c r="F71" s="106" t="s">
        <v>34</v>
      </c>
      <c r="G71" s="449" t="s">
        <v>2</v>
      </c>
      <c r="H71" s="77" t="s">
        <v>35</v>
      </c>
      <c r="I71" s="78" t="s">
        <v>111</v>
      </c>
      <c r="J71" s="448" t="s">
        <v>2</v>
      </c>
    </row>
    <row r="72" spans="1:10">
      <c r="A72" s="32" t="s">
        <v>31</v>
      </c>
      <c r="B72" s="33">
        <f>整車!E72</f>
        <v>30113</v>
      </c>
      <c r="C72" s="88">
        <v>45587</v>
      </c>
      <c r="D72" s="85">
        <f>(B72-C72)/C72</f>
        <v>-0.33943887511790644</v>
      </c>
      <c r="E72" s="33">
        <f>整車!G72</f>
        <v>11445369</v>
      </c>
      <c r="F72" s="88">
        <v>18065439</v>
      </c>
      <c r="G72" s="92">
        <f>(E72-F72)/F72</f>
        <v>-0.36644943972853361</v>
      </c>
      <c r="H72" s="86">
        <f>E72/B72</f>
        <v>380.08066283664863</v>
      </c>
      <c r="I72" s="521">
        <f>F72/C72</f>
        <v>396.2848838484656</v>
      </c>
      <c r="J72" s="91">
        <f>(H72-I72)/I72</f>
        <v>-4.089033337444499E-2</v>
      </c>
    </row>
    <row r="73" spans="1:10">
      <c r="A73" s="107"/>
      <c r="B73" s="108"/>
      <c r="C73" s="109"/>
      <c r="D73" s="108"/>
      <c r="E73" s="108"/>
      <c r="F73" s="108"/>
      <c r="G73" s="108"/>
      <c r="H73" s="108"/>
      <c r="I73" s="108"/>
      <c r="J73" s="108"/>
    </row>
    <row r="74" spans="1:10" s="108" customFormat="1">
      <c r="A74" s="53" t="s">
        <v>32</v>
      </c>
      <c r="B74" s="13"/>
      <c r="C74" s="58"/>
      <c r="D74" s="59"/>
      <c r="E74" s="13"/>
      <c r="F74" s="58"/>
      <c r="G74" s="59"/>
      <c r="H74" s="5"/>
      <c r="I74" s="5"/>
      <c r="J74" s="5"/>
    </row>
  </sheetData>
  <phoneticPr fontId="3" type="noConversion"/>
  <conditionalFormatting sqref="D1:D4 J6:J70 D72:D1048576">
    <cfRule type="cellIs" dxfId="87" priority="9" operator="greaterThanOrEqual">
      <formula>0</formula>
    </cfRule>
    <cfRule type="cellIs" dxfId="86" priority="10" operator="lessThan">
      <formula>0</formula>
    </cfRule>
  </conditionalFormatting>
  <conditionalFormatting sqref="D6:D70">
    <cfRule type="cellIs" dxfId="85" priority="3" operator="greaterThanOrEqual">
      <formula>0</formula>
    </cfRule>
    <cfRule type="cellIs" dxfId="84" priority="4" operator="lessThan">
      <formula>0</formula>
    </cfRule>
  </conditionalFormatting>
  <conditionalFormatting sqref="G1:G4 G72:G1048576">
    <cfRule type="cellIs" dxfId="83" priority="7" operator="greaterThanOrEqual">
      <formula>0</formula>
    </cfRule>
    <cfRule type="cellIs" dxfId="82" priority="8" operator="lessThan">
      <formula>0</formula>
    </cfRule>
  </conditionalFormatting>
  <conditionalFormatting sqref="G6:G70">
    <cfRule type="cellIs" dxfId="81" priority="1" operator="greaterThanOrEqual">
      <formula>0</formula>
    </cfRule>
    <cfRule type="cellIs" dxfId="80" priority="2" operator="lessThan">
      <formula>0</formula>
    </cfRule>
  </conditionalFormatting>
  <conditionalFormatting sqref="J1:J3 J72:J1048576">
    <cfRule type="cellIs" dxfId="79" priority="5" operator="greaterThanOrEqual">
      <formula>0</formula>
    </cfRule>
    <cfRule type="cellIs" dxfId="78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8" customWidth="1"/>
    <col min="4" max="4" width="10" style="108" customWidth="1"/>
    <col min="5" max="5" width="15.625" style="5" customWidth="1"/>
    <col min="6" max="6" width="15.125" style="58" customWidth="1"/>
    <col min="7" max="7" width="11.125" style="108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97" t="s">
        <v>473</v>
      </c>
      <c r="B1" s="128"/>
      <c r="C1" s="129"/>
      <c r="D1" s="130"/>
      <c r="E1" s="128"/>
      <c r="F1" s="129"/>
      <c r="G1" s="130"/>
    </row>
    <row r="3" spans="1:7" s="121" customFormat="1">
      <c r="A3" s="131" t="s">
        <v>415</v>
      </c>
      <c r="B3" s="132"/>
      <c r="C3" s="133"/>
      <c r="D3" s="134"/>
      <c r="E3" s="132"/>
      <c r="F3" s="135"/>
      <c r="G3" s="136"/>
    </row>
    <row r="4" spans="1:7">
      <c r="A4" s="137" t="s">
        <v>460</v>
      </c>
      <c r="B4" s="67"/>
      <c r="C4" s="138"/>
      <c r="D4" s="139"/>
      <c r="E4" s="67"/>
      <c r="F4" s="140"/>
      <c r="G4" s="141"/>
    </row>
    <row r="5" spans="1:7">
      <c r="A5" s="558" t="s">
        <v>52</v>
      </c>
      <c r="B5" s="142" t="s">
        <v>53</v>
      </c>
      <c r="C5" s="143"/>
      <c r="D5" s="144"/>
      <c r="E5" s="145" t="s">
        <v>54</v>
      </c>
      <c r="F5" s="143"/>
      <c r="G5" s="144"/>
    </row>
    <row r="6" spans="1:7">
      <c r="A6" s="559"/>
      <c r="B6" s="30" t="s">
        <v>436</v>
      </c>
      <c r="C6" s="146" t="s">
        <v>437</v>
      </c>
      <c r="D6" s="147" t="s">
        <v>416</v>
      </c>
      <c r="E6" s="30" t="s">
        <v>436</v>
      </c>
      <c r="F6" s="146" t="s">
        <v>437</v>
      </c>
      <c r="G6" s="147" t="s">
        <v>416</v>
      </c>
    </row>
    <row r="7" spans="1:7">
      <c r="A7" s="31">
        <v>1</v>
      </c>
      <c r="B7" s="375">
        <v>162493</v>
      </c>
      <c r="C7" s="381">
        <v>156750</v>
      </c>
      <c r="D7" s="490">
        <f>IFERROR((B7-C7)/C7,0)</f>
        <v>3.6637958532695372E-2</v>
      </c>
      <c r="E7" s="491">
        <v>151997099</v>
      </c>
      <c r="F7" s="381">
        <v>110756298</v>
      </c>
      <c r="G7" s="490">
        <f>IFERROR((E7-F7)/F7,0)</f>
        <v>0.37235626095050595</v>
      </c>
    </row>
    <row r="8" spans="1:7">
      <c r="A8" s="31">
        <v>2</v>
      </c>
      <c r="B8" s="375">
        <v>115013</v>
      </c>
      <c r="C8" s="381">
        <v>182722</v>
      </c>
      <c r="D8" s="490">
        <f>IFERROR((B8-C8)/C8,0)</f>
        <v>-0.37055745887194758</v>
      </c>
      <c r="E8" s="491">
        <v>109496132</v>
      </c>
      <c r="F8" s="381">
        <v>126655157</v>
      </c>
      <c r="G8" s="490">
        <f t="shared" ref="G8:G18" si="0">IFERROR((E8-F8)/F8,0)</f>
        <v>-0.1354782971845355</v>
      </c>
    </row>
    <row r="9" spans="1:7">
      <c r="A9" s="31">
        <v>3</v>
      </c>
      <c r="B9" s="375">
        <v>134607</v>
      </c>
      <c r="C9" s="381">
        <v>181306</v>
      </c>
      <c r="D9" s="490">
        <f t="shared" ref="D9:D18" si="1">IFERROR((B9-C9)/C9,0)</f>
        <v>-0.25757007490099609</v>
      </c>
      <c r="E9" s="491">
        <v>122131450</v>
      </c>
      <c r="F9" s="381">
        <v>132191658</v>
      </c>
      <c r="G9" s="490">
        <f t="shared" si="0"/>
        <v>-7.6103198584588444E-2</v>
      </c>
    </row>
    <row r="10" spans="1:7">
      <c r="A10" s="31">
        <v>4</v>
      </c>
      <c r="B10" s="379">
        <v>133349</v>
      </c>
      <c r="C10" s="378">
        <v>153555</v>
      </c>
      <c r="D10" s="490">
        <f t="shared" si="1"/>
        <v>-0.13158803034743252</v>
      </c>
      <c r="E10" s="491">
        <v>126190344</v>
      </c>
      <c r="F10" s="378">
        <v>112165448</v>
      </c>
      <c r="G10" s="490">
        <f t="shared" si="0"/>
        <v>0.1250375784171967</v>
      </c>
    </row>
    <row r="11" spans="1:7">
      <c r="A11" s="31">
        <v>5</v>
      </c>
      <c r="B11" s="375">
        <v>130700</v>
      </c>
      <c r="C11" s="381">
        <v>160369</v>
      </c>
      <c r="D11" s="490">
        <f t="shared" si="1"/>
        <v>-0.18500458318004104</v>
      </c>
      <c r="E11" s="491">
        <v>124913855</v>
      </c>
      <c r="F11" s="381">
        <v>123108958</v>
      </c>
      <c r="G11" s="490">
        <f t="shared" si="0"/>
        <v>1.4660972112199992E-2</v>
      </c>
    </row>
    <row r="12" spans="1:7">
      <c r="A12" s="31">
        <v>6</v>
      </c>
      <c r="B12" s="375">
        <v>105847</v>
      </c>
      <c r="C12" s="381">
        <v>130624</v>
      </c>
      <c r="D12" s="490">
        <f t="shared" si="1"/>
        <v>-0.18968183488486037</v>
      </c>
      <c r="E12" s="491">
        <v>117464564</v>
      </c>
      <c r="F12" s="381">
        <v>102593572</v>
      </c>
      <c r="G12" s="490">
        <f t="shared" si="0"/>
        <v>0.14495052380084789</v>
      </c>
    </row>
    <row r="13" spans="1:7">
      <c r="A13" s="31">
        <v>7</v>
      </c>
      <c r="B13" s="375">
        <v>104885</v>
      </c>
      <c r="C13" s="381">
        <v>168045</v>
      </c>
      <c r="D13" s="490">
        <f t="shared" si="1"/>
        <v>-0.37585170638816984</v>
      </c>
      <c r="E13" s="491">
        <v>119683695</v>
      </c>
      <c r="F13" s="381">
        <v>147431792</v>
      </c>
      <c r="G13" s="490">
        <f t="shared" si="0"/>
        <v>-0.18820972480616663</v>
      </c>
    </row>
    <row r="14" spans="1:7">
      <c r="A14" s="31">
        <v>8</v>
      </c>
      <c r="B14" s="375">
        <v>110278</v>
      </c>
      <c r="C14" s="381">
        <v>172476</v>
      </c>
      <c r="D14" s="490">
        <f t="shared" si="1"/>
        <v>-0.36061828892135717</v>
      </c>
      <c r="E14" s="491">
        <v>131898544</v>
      </c>
      <c r="F14" s="381">
        <v>148755369</v>
      </c>
      <c r="G14" s="490">
        <f t="shared" si="0"/>
        <v>-0.1133191031242711</v>
      </c>
    </row>
    <row r="15" spans="1:7">
      <c r="A15" s="31">
        <v>9</v>
      </c>
      <c r="B15" s="27">
        <v>92961</v>
      </c>
      <c r="C15" s="89">
        <v>161525</v>
      </c>
      <c r="D15" s="490">
        <f t="shared" si="1"/>
        <v>-0.42447918278904195</v>
      </c>
      <c r="E15" s="491">
        <v>107794928</v>
      </c>
      <c r="F15" s="89">
        <v>150331127</v>
      </c>
      <c r="G15" s="490">
        <f t="shared" si="0"/>
        <v>-0.2829500440051913</v>
      </c>
    </row>
    <row r="16" spans="1:7">
      <c r="A16" s="31">
        <v>10</v>
      </c>
      <c r="B16" s="27">
        <v>82311</v>
      </c>
      <c r="C16" s="89">
        <v>179556</v>
      </c>
      <c r="D16" s="490">
        <f t="shared" si="1"/>
        <v>-0.54158591191605965</v>
      </c>
      <c r="E16" s="491">
        <v>89508196</v>
      </c>
      <c r="F16" s="89">
        <v>158797929</v>
      </c>
      <c r="G16" s="490">
        <f t="shared" si="0"/>
        <v>-0.43633902177653716</v>
      </c>
    </row>
    <row r="17" spans="1:7">
      <c r="A17" s="31">
        <v>11</v>
      </c>
      <c r="B17" s="27">
        <v>77309</v>
      </c>
      <c r="C17" s="89">
        <v>170162</v>
      </c>
      <c r="D17" s="490">
        <f t="shared" si="1"/>
        <v>-0.54567412230697809</v>
      </c>
      <c r="E17" s="491">
        <v>91145450</v>
      </c>
      <c r="F17" s="89">
        <v>165962802</v>
      </c>
      <c r="G17" s="490">
        <f t="shared" si="0"/>
        <v>-0.45080795876174712</v>
      </c>
    </row>
    <row r="18" spans="1:7">
      <c r="A18" s="31">
        <v>12</v>
      </c>
      <c r="B18" s="27"/>
      <c r="C18" s="89"/>
      <c r="D18" s="490">
        <f t="shared" si="1"/>
        <v>0</v>
      </c>
      <c r="E18" s="491"/>
      <c r="F18" s="89"/>
      <c r="G18" s="490">
        <f t="shared" si="0"/>
        <v>0</v>
      </c>
    </row>
    <row r="19" spans="1:7" s="114" customFormat="1">
      <c r="A19" s="32" t="s">
        <v>51</v>
      </c>
      <c r="B19" s="33">
        <f>SUM(B7:B18)</f>
        <v>1249753</v>
      </c>
      <c r="C19" s="89">
        <f>SUM(C7:C18)</f>
        <v>1817090</v>
      </c>
      <c r="D19" s="490">
        <f>(B19-C19)/C19</f>
        <v>-0.31222283981530907</v>
      </c>
      <c r="E19" s="33">
        <f>SUM(E7:E18)</f>
        <v>1292224257</v>
      </c>
      <c r="F19" s="89">
        <f>SUM(F7:F18)</f>
        <v>1478750110</v>
      </c>
      <c r="G19" s="148">
        <f>(E19-F19)/F19</f>
        <v>-0.12613750743863006</v>
      </c>
    </row>
    <row r="20" spans="1:7" s="114" customFormat="1">
      <c r="A20" s="38"/>
      <c r="B20" s="39"/>
      <c r="C20" s="492"/>
      <c r="D20" s="149"/>
      <c r="E20" s="39"/>
      <c r="F20" s="492"/>
      <c r="G20" s="149"/>
    </row>
    <row r="21" spans="1:7" ht="19.5">
      <c r="A21" s="1" t="s">
        <v>474</v>
      </c>
      <c r="B21" s="128"/>
      <c r="C21" s="129"/>
      <c r="D21" s="130"/>
      <c r="E21" s="128"/>
      <c r="F21" s="129"/>
      <c r="G21" s="130"/>
    </row>
    <row r="22" spans="1:7">
      <c r="B22" s="96"/>
      <c r="C22" s="150"/>
      <c r="D22" s="151"/>
      <c r="E22" s="96"/>
      <c r="F22" s="150"/>
      <c r="G22" s="151"/>
    </row>
    <row r="23" spans="1:7" s="121" customFormat="1">
      <c r="A23" s="152" t="s">
        <v>417</v>
      </c>
      <c r="B23" s="153"/>
      <c r="C23" s="154"/>
      <c r="D23" s="155"/>
      <c r="E23" s="153"/>
      <c r="F23" s="156"/>
      <c r="G23" s="157"/>
    </row>
    <row r="24" spans="1:7">
      <c r="A24" s="137" t="s">
        <v>461</v>
      </c>
      <c r="B24" s="158"/>
      <c r="C24" s="159"/>
      <c r="D24" s="160"/>
      <c r="E24" s="158"/>
      <c r="F24" s="161"/>
      <c r="G24" s="162"/>
    </row>
    <row r="25" spans="1:7">
      <c r="A25" s="558" t="s">
        <v>52</v>
      </c>
      <c r="B25" s="163" t="s">
        <v>53</v>
      </c>
      <c r="C25" s="164"/>
      <c r="D25" s="165"/>
      <c r="E25" s="166" t="s">
        <v>54</v>
      </c>
      <c r="F25" s="164"/>
      <c r="G25" s="165"/>
    </row>
    <row r="26" spans="1:7">
      <c r="A26" s="559"/>
      <c r="B26" s="30" t="s">
        <v>436</v>
      </c>
      <c r="C26" s="146" t="s">
        <v>437</v>
      </c>
      <c r="D26" s="147" t="s">
        <v>416</v>
      </c>
      <c r="E26" s="30" t="s">
        <v>436</v>
      </c>
      <c r="F26" s="146" t="s">
        <v>437</v>
      </c>
      <c r="G26" s="147" t="s">
        <v>416</v>
      </c>
    </row>
    <row r="27" spans="1:7">
      <c r="A27" s="31">
        <v>1</v>
      </c>
      <c r="B27" s="493">
        <v>1565</v>
      </c>
      <c r="C27" s="381">
        <v>7451</v>
      </c>
      <c r="D27" s="490">
        <f>IFERROR((B27-C27)/C27,0)</f>
        <v>-0.78996107904979196</v>
      </c>
      <c r="E27" s="491">
        <v>764739</v>
      </c>
      <c r="F27" s="381">
        <v>1940085</v>
      </c>
      <c r="G27" s="490">
        <f>IFERROR((E27-F27)/F27,0)</f>
        <v>-0.60582190986477391</v>
      </c>
    </row>
    <row r="28" spans="1:7">
      <c r="A28" s="31">
        <v>2</v>
      </c>
      <c r="B28" s="493">
        <v>1930</v>
      </c>
      <c r="C28" s="381">
        <v>2436</v>
      </c>
      <c r="D28" s="490">
        <f>IFERROR((B28-C28)/C28,0)</f>
        <v>-0.2077175697865353</v>
      </c>
      <c r="E28" s="27">
        <v>1217458</v>
      </c>
      <c r="F28" s="381">
        <v>837495</v>
      </c>
      <c r="G28" s="490">
        <f t="shared" ref="G28:G39" si="2">IFERROR((E28-F28)/F28,0)</f>
        <v>0.45368987277535983</v>
      </c>
    </row>
    <row r="29" spans="1:7">
      <c r="A29" s="31">
        <v>3</v>
      </c>
      <c r="B29" s="493">
        <v>3134</v>
      </c>
      <c r="C29" s="381">
        <v>2801</v>
      </c>
      <c r="D29" s="490">
        <f t="shared" ref="D29:D39" si="3">IFERROR((B29-C29)/C29,0)</f>
        <v>0.11888611210282042</v>
      </c>
      <c r="E29" s="491">
        <v>1286924</v>
      </c>
      <c r="F29" s="381">
        <v>1797048</v>
      </c>
      <c r="G29" s="490">
        <f t="shared" si="2"/>
        <v>-0.28386776535740837</v>
      </c>
    </row>
    <row r="30" spans="1:7">
      <c r="A30" s="31">
        <v>4</v>
      </c>
      <c r="B30" s="493">
        <v>4931</v>
      </c>
      <c r="C30" s="494">
        <v>2583</v>
      </c>
      <c r="D30" s="490">
        <f t="shared" si="3"/>
        <v>0.90902051877661638</v>
      </c>
      <c r="E30" s="380">
        <v>1618535</v>
      </c>
      <c r="F30" s="378">
        <v>1203258</v>
      </c>
      <c r="G30" s="490">
        <f t="shared" si="2"/>
        <v>0.34512714646401688</v>
      </c>
    </row>
    <row r="31" spans="1:7">
      <c r="A31" s="31">
        <v>5</v>
      </c>
      <c r="B31" s="493">
        <v>5530</v>
      </c>
      <c r="C31" s="381">
        <v>4746</v>
      </c>
      <c r="D31" s="490">
        <f t="shared" si="3"/>
        <v>0.16519174041297935</v>
      </c>
      <c r="E31" s="491">
        <v>2047150</v>
      </c>
      <c r="F31" s="381">
        <v>1612117</v>
      </c>
      <c r="G31" s="490">
        <f t="shared" si="2"/>
        <v>0.26985200205692267</v>
      </c>
    </row>
    <row r="32" spans="1:7">
      <c r="A32" s="31">
        <v>6</v>
      </c>
      <c r="B32" s="493">
        <v>2471</v>
      </c>
      <c r="C32" s="381">
        <v>5142</v>
      </c>
      <c r="D32" s="490">
        <f t="shared" si="3"/>
        <v>-0.51944768572539868</v>
      </c>
      <c r="E32" s="491">
        <v>1171692</v>
      </c>
      <c r="F32" s="381">
        <v>1685222</v>
      </c>
      <c r="G32" s="490">
        <f t="shared" si="2"/>
        <v>-0.30472543083344511</v>
      </c>
    </row>
    <row r="33" spans="1:12">
      <c r="A33" s="31">
        <v>7</v>
      </c>
      <c r="B33" s="493">
        <v>2849</v>
      </c>
      <c r="C33" s="381">
        <v>4426</v>
      </c>
      <c r="D33" s="490">
        <f t="shared" si="3"/>
        <v>-0.3563036601897876</v>
      </c>
      <c r="E33" s="491">
        <v>726920</v>
      </c>
      <c r="F33" s="381">
        <v>1937710</v>
      </c>
      <c r="G33" s="490">
        <f t="shared" si="2"/>
        <v>-0.62485614462432459</v>
      </c>
    </row>
    <row r="34" spans="1:12">
      <c r="A34" s="31">
        <v>8</v>
      </c>
      <c r="B34" s="493">
        <v>2069</v>
      </c>
      <c r="C34" s="381">
        <v>3683</v>
      </c>
      <c r="D34" s="490">
        <f t="shared" si="3"/>
        <v>-0.43822970404561501</v>
      </c>
      <c r="E34" s="491">
        <v>778476</v>
      </c>
      <c r="F34" s="381">
        <v>1642710</v>
      </c>
      <c r="G34" s="490">
        <f t="shared" si="2"/>
        <v>-0.52610259875449716</v>
      </c>
    </row>
    <row r="35" spans="1:12">
      <c r="A35" s="31">
        <v>9</v>
      </c>
      <c r="B35" s="495">
        <v>1907</v>
      </c>
      <c r="C35" s="89">
        <v>3101</v>
      </c>
      <c r="D35" s="490">
        <f t="shared" si="3"/>
        <v>-0.38503708481135118</v>
      </c>
      <c r="E35" s="27">
        <v>737123</v>
      </c>
      <c r="F35" s="89">
        <v>1603776</v>
      </c>
      <c r="G35" s="490">
        <f t="shared" si="2"/>
        <v>-0.54038282154116291</v>
      </c>
    </row>
    <row r="36" spans="1:12">
      <c r="A36" s="31">
        <v>10</v>
      </c>
      <c r="B36" s="495">
        <v>2024</v>
      </c>
      <c r="C36" s="89">
        <v>4994</v>
      </c>
      <c r="D36" s="490">
        <f t="shared" si="3"/>
        <v>-0.59471365638766516</v>
      </c>
      <c r="E36" s="27">
        <v>477901</v>
      </c>
      <c r="F36" s="89">
        <v>2269587</v>
      </c>
      <c r="G36" s="490">
        <f t="shared" si="2"/>
        <v>-0.78943261483256644</v>
      </c>
    </row>
    <row r="37" spans="1:12">
      <c r="A37" s="31">
        <v>11</v>
      </c>
      <c r="B37" s="495">
        <v>1703</v>
      </c>
      <c r="C37" s="89">
        <v>4224</v>
      </c>
      <c r="D37" s="490">
        <f t="shared" si="3"/>
        <v>-0.59682765151515149</v>
      </c>
      <c r="E37" s="27">
        <v>618451</v>
      </c>
      <c r="F37" s="89">
        <v>1536431</v>
      </c>
      <c r="G37" s="490">
        <f t="shared" si="2"/>
        <v>-0.59747557814181051</v>
      </c>
      <c r="I37" s="486"/>
      <c r="J37" s="486"/>
      <c r="K37" s="486"/>
      <c r="L37" s="486"/>
    </row>
    <row r="38" spans="1:12">
      <c r="A38" s="31">
        <v>12</v>
      </c>
      <c r="B38" s="33"/>
      <c r="C38" s="89"/>
      <c r="D38" s="490">
        <f t="shared" si="3"/>
        <v>0</v>
      </c>
      <c r="E38" s="33"/>
      <c r="F38" s="89"/>
      <c r="G38" s="490">
        <f t="shared" si="2"/>
        <v>0</v>
      </c>
      <c r="I38" s="486"/>
      <c r="J38" s="486"/>
      <c r="K38" s="486"/>
      <c r="L38" s="486"/>
    </row>
    <row r="39" spans="1:12" s="114" customFormat="1">
      <c r="A39" s="32" t="s">
        <v>51</v>
      </c>
      <c r="B39" s="33">
        <f>SUM(B27:B38)</f>
        <v>30113</v>
      </c>
      <c r="C39" s="89">
        <f>SUM(C27:C38)</f>
        <v>45587</v>
      </c>
      <c r="D39" s="490">
        <f t="shared" si="3"/>
        <v>-0.33943887511790644</v>
      </c>
      <c r="E39" s="33">
        <f>SUM(E27:E38)</f>
        <v>11445369</v>
      </c>
      <c r="F39" s="89">
        <f>SUM(F27:F38)</f>
        <v>18065439</v>
      </c>
      <c r="G39" s="490">
        <f t="shared" si="2"/>
        <v>-0.36644943972853361</v>
      </c>
    </row>
    <row r="40" spans="1:12" s="114" customFormat="1" ht="9.75" customHeight="1">
      <c r="A40" s="38"/>
      <c r="B40" s="39"/>
      <c r="C40" s="492"/>
      <c r="D40" s="149"/>
      <c r="E40" s="39"/>
      <c r="F40" s="492"/>
      <c r="G40" s="167"/>
    </row>
    <row r="41" spans="1:12" s="13" customFormat="1" ht="15.75" customHeight="1">
      <c r="A41" s="54" t="s">
        <v>418</v>
      </c>
      <c r="C41" s="168"/>
      <c r="D41" s="169"/>
      <c r="F41" s="168"/>
      <c r="G41" s="169"/>
    </row>
  </sheetData>
  <mergeCells count="2">
    <mergeCell ref="A5:A6"/>
    <mergeCell ref="A25:A26"/>
  </mergeCells>
  <phoneticPr fontId="3" type="noConversion"/>
  <conditionalFormatting sqref="B7:C9">
    <cfRule type="cellIs" dxfId="77" priority="20" operator="lessThan">
      <formula>0</formula>
    </cfRule>
  </conditionalFormatting>
  <conditionalFormatting sqref="B11:C14">
    <cfRule type="cellIs" dxfId="76" priority="8" operator="lessThan">
      <formula>0</formula>
    </cfRule>
  </conditionalFormatting>
  <conditionalFormatting sqref="B27:C29 B30">
    <cfRule type="cellIs" dxfId="75" priority="17" operator="lessThan">
      <formula>0</formula>
    </cfRule>
    <cfRule type="cellIs" dxfId="74" priority="18" operator="lessThan">
      <formula>0</formula>
    </cfRule>
  </conditionalFormatting>
  <conditionalFormatting sqref="B31:C34">
    <cfRule type="cellIs" dxfId="73" priority="5" operator="lessThan">
      <formula>0</formula>
    </cfRule>
    <cfRule type="cellIs" dxfId="72" priority="6" operator="lessThan">
      <formula>0</formula>
    </cfRule>
  </conditionalFormatting>
  <conditionalFormatting sqref="E10">
    <cfRule type="cellIs" dxfId="71" priority="9" operator="lessThan">
      <formula>0</formula>
    </cfRule>
  </conditionalFormatting>
  <conditionalFormatting sqref="E7:F9 F14 E14:E18">
    <cfRule type="cellIs" dxfId="70" priority="19" operator="lessThan">
      <formula>0</formula>
    </cfRule>
  </conditionalFormatting>
  <conditionalFormatting sqref="E11:F13">
    <cfRule type="cellIs" dxfId="69" priority="7" operator="lessThan">
      <formula>0</formula>
    </cfRule>
  </conditionalFormatting>
  <conditionalFormatting sqref="E27:F29">
    <cfRule type="cellIs" dxfId="68" priority="15" operator="lessThan">
      <formula>0</formula>
    </cfRule>
    <cfRule type="cellIs" dxfId="67" priority="16" operator="lessThan">
      <formula>0</formula>
    </cfRule>
  </conditionalFormatting>
  <conditionalFormatting sqref="E31:F34">
    <cfRule type="cellIs" dxfId="66" priority="1" operator="lessThan">
      <formula>0</formula>
    </cfRule>
    <cfRule type="cellIs" dxfId="65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88" t="s">
        <v>152</v>
      </c>
      <c r="B1" s="389"/>
      <c r="C1" s="389"/>
      <c r="D1" s="389"/>
      <c r="E1" s="389"/>
      <c r="F1" s="389"/>
      <c r="G1" s="389"/>
      <c r="H1" s="389"/>
      <c r="I1" s="389"/>
      <c r="J1" s="390"/>
      <c r="K1" s="391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</row>
    <row r="2" spans="1:27">
      <c r="A2" s="392" t="s">
        <v>233</v>
      </c>
      <c r="B2" s="389"/>
      <c r="C2" s="389"/>
      <c r="D2" s="389"/>
      <c r="E2" s="389"/>
      <c r="F2" s="389"/>
      <c r="G2" s="389"/>
      <c r="H2" s="389"/>
      <c r="I2" s="389"/>
      <c r="J2" s="390"/>
      <c r="K2" s="391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</row>
    <row r="3" spans="1:27">
      <c r="A3" s="393" t="s">
        <v>121</v>
      </c>
      <c r="B3" s="389"/>
      <c r="C3" s="389"/>
      <c r="D3" s="389"/>
      <c r="E3" s="389"/>
      <c r="F3" s="389"/>
      <c r="G3" s="389"/>
      <c r="H3" s="389"/>
      <c r="I3" s="389"/>
      <c r="J3" s="390"/>
      <c r="K3" s="391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  <c r="Z3" s="389"/>
      <c r="AA3" s="389"/>
    </row>
    <row r="4" spans="1:27">
      <c r="A4" s="393" t="s">
        <v>122</v>
      </c>
      <c r="B4" s="389"/>
      <c r="C4" s="389"/>
      <c r="D4" s="389"/>
      <c r="E4" s="389"/>
      <c r="F4" s="389"/>
      <c r="G4" s="389"/>
      <c r="H4" s="389"/>
      <c r="I4" s="389"/>
      <c r="J4" s="390"/>
      <c r="K4" s="391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  <c r="Z4" s="389"/>
      <c r="AA4" s="389"/>
    </row>
    <row r="5" spans="1:27">
      <c r="A5" s="394" t="s">
        <v>123</v>
      </c>
      <c r="B5" s="389"/>
      <c r="C5" s="389"/>
      <c r="D5" s="389"/>
      <c r="E5" s="389"/>
      <c r="F5" s="389"/>
      <c r="G5" s="389"/>
      <c r="H5" s="389"/>
      <c r="I5" s="389"/>
      <c r="J5" s="390"/>
      <c r="K5" s="391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  <c r="Z5" s="389"/>
      <c r="AA5" s="389"/>
    </row>
    <row r="6" spans="1:27">
      <c r="A6" s="395"/>
      <c r="B6" s="396" t="s">
        <v>124</v>
      </c>
      <c r="C6" s="397"/>
      <c r="D6" s="396" t="s">
        <v>125</v>
      </c>
      <c r="E6" s="397"/>
      <c r="F6" s="396" t="s">
        <v>126</v>
      </c>
      <c r="G6" s="397"/>
      <c r="H6" s="396" t="s">
        <v>127</v>
      </c>
      <c r="I6" s="397"/>
      <c r="J6" s="398" t="s">
        <v>128</v>
      </c>
      <c r="K6" s="399"/>
      <c r="L6" s="396" t="s">
        <v>129</v>
      </c>
      <c r="M6" s="397"/>
      <c r="N6" s="396" t="s">
        <v>130</v>
      </c>
      <c r="O6" s="397"/>
      <c r="P6" s="396" t="s">
        <v>131</v>
      </c>
      <c r="Q6" s="397"/>
      <c r="R6" s="396" t="s">
        <v>132</v>
      </c>
      <c r="S6" s="397"/>
      <c r="T6" s="396" t="s">
        <v>133</v>
      </c>
      <c r="U6" s="397"/>
      <c r="V6" s="396" t="s">
        <v>134</v>
      </c>
      <c r="W6" s="397"/>
      <c r="X6" s="396" t="s">
        <v>135</v>
      </c>
      <c r="Y6" s="397"/>
      <c r="Z6" s="396" t="s">
        <v>107</v>
      </c>
      <c r="AA6" s="397"/>
    </row>
    <row r="7" spans="1:27">
      <c r="A7" s="400" t="s">
        <v>136</v>
      </c>
      <c r="B7" s="401" t="s">
        <v>137</v>
      </c>
      <c r="C7" s="401" t="s">
        <v>138</v>
      </c>
      <c r="D7" s="401" t="s">
        <v>139</v>
      </c>
      <c r="E7" s="401" t="s">
        <v>140</v>
      </c>
      <c r="F7" s="401" t="s">
        <v>139</v>
      </c>
      <c r="G7" s="401" t="s">
        <v>140</v>
      </c>
      <c r="H7" s="401" t="s">
        <v>139</v>
      </c>
      <c r="I7" s="401" t="s">
        <v>140</v>
      </c>
      <c r="J7" s="402" t="s">
        <v>139</v>
      </c>
      <c r="K7" s="403" t="s">
        <v>140</v>
      </c>
      <c r="L7" s="401" t="s">
        <v>139</v>
      </c>
      <c r="M7" s="401" t="s">
        <v>140</v>
      </c>
      <c r="N7" s="401" t="s">
        <v>139</v>
      </c>
      <c r="O7" s="401" t="s">
        <v>140</v>
      </c>
      <c r="P7" s="401" t="s">
        <v>139</v>
      </c>
      <c r="Q7" s="401" t="s">
        <v>140</v>
      </c>
      <c r="R7" s="401" t="s">
        <v>139</v>
      </c>
      <c r="S7" s="401" t="s">
        <v>140</v>
      </c>
      <c r="T7" s="401" t="s">
        <v>139</v>
      </c>
      <c r="U7" s="401" t="s">
        <v>140</v>
      </c>
      <c r="V7" s="401" t="s">
        <v>139</v>
      </c>
      <c r="W7" s="401" t="s">
        <v>140</v>
      </c>
      <c r="X7" s="401" t="s">
        <v>139</v>
      </c>
      <c r="Y7" s="401" t="s">
        <v>140</v>
      </c>
      <c r="Z7" s="401" t="s">
        <v>139</v>
      </c>
      <c r="AA7" s="401" t="s">
        <v>140</v>
      </c>
    </row>
    <row r="8" spans="1:27">
      <c r="A8" s="404"/>
      <c r="B8" s="405"/>
      <c r="C8" s="405"/>
      <c r="D8" s="405"/>
      <c r="E8" s="405"/>
      <c r="F8" s="405"/>
      <c r="G8" s="405"/>
      <c r="H8" s="405"/>
      <c r="I8" s="405"/>
      <c r="J8" s="406"/>
      <c r="K8" s="407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</row>
    <row r="9" spans="1:27">
      <c r="A9" s="408" t="s">
        <v>107</v>
      </c>
      <c r="B9" s="409">
        <f t="shared" ref="B9:Y9" si="0">B11+B36+B85+B97+B102+B136+B151+B189</f>
        <v>149387</v>
      </c>
      <c r="C9" s="409">
        <f t="shared" si="0"/>
        <v>83642274</v>
      </c>
      <c r="D9" s="409">
        <f t="shared" si="0"/>
        <v>134859</v>
      </c>
      <c r="E9" s="409">
        <f t="shared" si="0"/>
        <v>77838400</v>
      </c>
      <c r="F9" s="409">
        <f t="shared" si="0"/>
        <v>116197</v>
      </c>
      <c r="G9" s="409">
        <f t="shared" si="0"/>
        <v>70981672</v>
      </c>
      <c r="H9" s="409">
        <f>H11+H36+H85+H97+H102+H136+H151+H189</f>
        <v>96180</v>
      </c>
      <c r="I9" s="409">
        <f t="shared" si="0"/>
        <v>53927495</v>
      </c>
      <c r="J9" s="410">
        <f t="shared" si="0"/>
        <v>135293</v>
      </c>
      <c r="K9" s="411">
        <f t="shared" si="0"/>
        <v>86108621</v>
      </c>
      <c r="L9" s="409">
        <f t="shared" si="0"/>
        <v>137464</v>
      </c>
      <c r="M9" s="409">
        <f t="shared" si="0"/>
        <v>97259100</v>
      </c>
      <c r="N9" s="409">
        <f t="shared" si="0"/>
        <v>135636</v>
      </c>
      <c r="O9" s="409">
        <f>O11+O36+O85+O97+O102+O136+O151+O189</f>
        <v>113137191</v>
      </c>
      <c r="P9" s="409">
        <f t="shared" ref="P9:Q9" si="1">P11+P36+P85+P97+P102+P136+P151+P189</f>
        <v>180175</v>
      </c>
      <c r="Q9" s="409">
        <f t="shared" si="1"/>
        <v>130469911</v>
      </c>
      <c r="R9" s="409">
        <f t="shared" si="0"/>
        <v>138272</v>
      </c>
      <c r="S9" s="409">
        <f t="shared" si="0"/>
        <v>91374787</v>
      </c>
      <c r="T9" s="409">
        <f t="shared" si="0"/>
        <v>158604</v>
      </c>
      <c r="U9" s="409">
        <f t="shared" si="0"/>
        <v>99046159</v>
      </c>
      <c r="V9" s="409">
        <f>V11+V36+V85+V97+V102+V136+V151+V189</f>
        <v>154200</v>
      </c>
      <c r="W9" s="409">
        <f>W11+W36+W85+W97+W102+W136+W151+W189</f>
        <v>91747985</v>
      </c>
      <c r="X9" s="409">
        <f t="shared" si="0"/>
        <v>162659</v>
      </c>
      <c r="Y9" s="409">
        <f t="shared" si="0"/>
        <v>102455347</v>
      </c>
      <c r="Z9" s="409">
        <f>SUM(B9,D9,F9,H9,J9,L9,N9,P9,R9,T9,V9,X9)</f>
        <v>1698926</v>
      </c>
      <c r="AA9" s="409">
        <f>SUM(C9,E9,G9,I9,K9,M9,O9,Q9,S9,U9,W9,Y9)</f>
        <v>1097988942</v>
      </c>
    </row>
    <row r="10" spans="1:27">
      <c r="A10" s="412"/>
      <c r="B10" s="413"/>
      <c r="C10" s="413"/>
      <c r="D10" s="413"/>
      <c r="E10" s="413"/>
      <c r="F10" s="413"/>
      <c r="G10" s="413"/>
      <c r="H10" s="413"/>
      <c r="I10" s="413"/>
      <c r="J10" s="406"/>
      <c r="K10" s="407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</row>
    <row r="11" spans="1:27">
      <c r="A11" s="414" t="s">
        <v>141</v>
      </c>
      <c r="B11" s="415">
        <f t="shared" ref="B11:Y11" si="2">SUM(B12:B34)</f>
        <v>9822</v>
      </c>
      <c r="C11" s="415">
        <f t="shared" si="2"/>
        <v>7689072</v>
      </c>
      <c r="D11" s="415">
        <f t="shared" si="2"/>
        <v>13182</v>
      </c>
      <c r="E11" s="415">
        <f t="shared" si="2"/>
        <v>9988636</v>
      </c>
      <c r="F11" s="415">
        <f t="shared" si="2"/>
        <v>12924</v>
      </c>
      <c r="G11" s="415">
        <f t="shared" si="2"/>
        <v>10303881</v>
      </c>
      <c r="H11" s="415">
        <f t="shared" si="2"/>
        <v>8794</v>
      </c>
      <c r="I11" s="415">
        <f t="shared" si="2"/>
        <v>7937732</v>
      </c>
      <c r="J11" s="416">
        <f t="shared" si="2"/>
        <v>14153</v>
      </c>
      <c r="K11" s="417">
        <f>SUM(K12:K34)</f>
        <v>9985367</v>
      </c>
      <c r="L11" s="415">
        <f t="shared" si="2"/>
        <v>13721</v>
      </c>
      <c r="M11" s="415">
        <f t="shared" si="2"/>
        <v>10777159</v>
      </c>
      <c r="N11" s="415">
        <f t="shared" si="2"/>
        <v>17223</v>
      </c>
      <c r="O11" s="415">
        <f t="shared" si="2"/>
        <v>14149868</v>
      </c>
      <c r="P11" s="415">
        <f t="shared" si="2"/>
        <v>16854</v>
      </c>
      <c r="Q11" s="415">
        <f t="shared" si="2"/>
        <v>16948467</v>
      </c>
      <c r="R11" s="415">
        <f t="shared" si="2"/>
        <v>13693</v>
      </c>
      <c r="S11" s="415">
        <f t="shared" si="2"/>
        <v>11152146</v>
      </c>
      <c r="T11" s="415">
        <f t="shared" si="2"/>
        <v>11159</v>
      </c>
      <c r="U11" s="415">
        <f t="shared" si="2"/>
        <v>10364638</v>
      </c>
      <c r="V11" s="415">
        <f>SUM(V12:V34)</f>
        <v>11101</v>
      </c>
      <c r="W11" s="415">
        <f>SUM(W12:W34)</f>
        <v>10615154</v>
      </c>
      <c r="X11" s="415">
        <f t="shared" si="2"/>
        <v>15058</v>
      </c>
      <c r="Y11" s="415">
        <f t="shared" si="2"/>
        <v>14072707</v>
      </c>
      <c r="Z11" s="415">
        <f t="shared" ref="Z11:Z34" si="3">SUM(B11,D11,F11,H11,J11,L11,N11,P11,R11,T11,V11,X11)</f>
        <v>157684</v>
      </c>
      <c r="AA11" s="415">
        <f t="shared" ref="AA11:AA34" si="4">SUM(C11,E11,G11,I11,K11,M11,O11,Q11,S11,U11,W11,Y11)</f>
        <v>133984827</v>
      </c>
    </row>
    <row r="12" spans="1:27">
      <c r="A12" s="418" t="s">
        <v>223</v>
      </c>
      <c r="B12" s="419">
        <v>6052</v>
      </c>
      <c r="C12" s="419">
        <v>4259214</v>
      </c>
      <c r="D12" s="419">
        <v>7754</v>
      </c>
      <c r="E12" s="419">
        <v>4910425</v>
      </c>
      <c r="F12" s="419">
        <v>5600</v>
      </c>
      <c r="G12" s="419">
        <v>3312180</v>
      </c>
      <c r="H12" s="419">
        <v>3341</v>
      </c>
      <c r="I12" s="419">
        <v>2434783</v>
      </c>
      <c r="J12" s="420">
        <v>6917</v>
      </c>
      <c r="K12" s="421">
        <v>3550152</v>
      </c>
      <c r="L12" s="419">
        <v>4508</v>
      </c>
      <c r="M12" s="419">
        <v>3172221</v>
      </c>
      <c r="N12" s="419">
        <v>8345</v>
      </c>
      <c r="O12" s="419">
        <v>5467381</v>
      </c>
      <c r="P12" s="419">
        <v>6542</v>
      </c>
      <c r="Q12" s="419">
        <v>5892377</v>
      </c>
      <c r="R12" s="419">
        <v>4607</v>
      </c>
      <c r="S12" s="419">
        <v>2424966</v>
      </c>
      <c r="T12" s="419">
        <v>3933</v>
      </c>
      <c r="U12" s="419">
        <v>2807435</v>
      </c>
      <c r="V12" s="419">
        <f>_xlfn.IFNA(VLOOKUP(A12,[8]進出口值表查詢結果!$C$11:$F$68,4,0),-[4]整車!$B$22)</f>
        <v>4019</v>
      </c>
      <c r="W12" s="419">
        <f>_xlfn.IFNA(VLOOKUP(A12,[8]進出口值表查詢結果!$C$11:$F$68,3,0),-[4]整車!$B$22)</f>
        <v>3259963</v>
      </c>
      <c r="X12" s="419">
        <f>_xlfn.IFNA(VLOOKUP(A12,[9]進出口值表查詢結果!$C$11:$F$68,4,0),-[4]整車!$B$22)</f>
        <v>5220</v>
      </c>
      <c r="Y12" s="419">
        <f>_xlfn.IFNA(VLOOKUP(A12,[9]進出口值表查詢結果!$C$11:$F$68,3,0),-[4]整車!$B$22)</f>
        <v>3196394</v>
      </c>
      <c r="Z12" s="413">
        <f t="shared" si="3"/>
        <v>66838</v>
      </c>
      <c r="AA12" s="413">
        <f t="shared" si="4"/>
        <v>44687491</v>
      </c>
    </row>
    <row r="13" spans="1:27">
      <c r="A13" s="418" t="s">
        <v>234</v>
      </c>
      <c r="B13" s="419">
        <v>179</v>
      </c>
      <c r="C13" s="419">
        <v>131656</v>
      </c>
      <c r="D13" s="419">
        <v>274</v>
      </c>
      <c r="E13" s="419">
        <v>366955</v>
      </c>
      <c r="F13" s="419">
        <v>379</v>
      </c>
      <c r="G13" s="419">
        <v>326020</v>
      </c>
      <c r="H13" s="419">
        <v>412</v>
      </c>
      <c r="I13" s="419">
        <v>690860</v>
      </c>
      <c r="J13" s="420">
        <v>564</v>
      </c>
      <c r="K13" s="421">
        <v>591178</v>
      </c>
      <c r="L13" s="419">
        <v>419</v>
      </c>
      <c r="M13" s="419">
        <v>628920</v>
      </c>
      <c r="N13" s="419">
        <v>900</v>
      </c>
      <c r="O13" s="419">
        <v>1147430</v>
      </c>
      <c r="P13" s="419">
        <v>1146</v>
      </c>
      <c r="Q13" s="419">
        <v>1244090</v>
      </c>
      <c r="R13" s="419">
        <v>1102</v>
      </c>
      <c r="S13" s="419">
        <v>984782</v>
      </c>
      <c r="T13" s="419">
        <v>754</v>
      </c>
      <c r="U13" s="419">
        <v>962823</v>
      </c>
      <c r="V13" s="419">
        <f>_xlfn.IFNA(VLOOKUP(A13,[8]進出口值表查詢結果!$C$11:$F$68,4,0),-[4]整車!$B$22)</f>
        <v>856</v>
      </c>
      <c r="W13" s="419">
        <f>_xlfn.IFNA(VLOOKUP(A13,[8]進出口值表查詢結果!$C$11:$F$68,3,0),-[4]整車!$B$22)</f>
        <v>955426</v>
      </c>
      <c r="X13" s="419">
        <f>_xlfn.IFNA(VLOOKUP(A13,[9]進出口值表查詢結果!$C$11:$F$68,4,0),-[4]整車!$B$22)</f>
        <v>1391</v>
      </c>
      <c r="Y13" s="419">
        <f>_xlfn.IFNA(VLOOKUP(A13,[9]進出口值表查詢結果!$C$11:$F$68,3,0),-[4]整車!$B$22)</f>
        <v>1781279</v>
      </c>
      <c r="Z13" s="413">
        <f t="shared" si="3"/>
        <v>8376</v>
      </c>
      <c r="AA13" s="413">
        <f t="shared" si="4"/>
        <v>9811419</v>
      </c>
    </row>
    <row r="14" spans="1:27">
      <c r="A14" s="456" t="s">
        <v>235</v>
      </c>
      <c r="B14" s="419">
        <v>524</v>
      </c>
      <c r="C14" s="419">
        <v>127658</v>
      </c>
      <c r="D14" s="419">
        <v>549</v>
      </c>
      <c r="E14" s="419">
        <v>126180</v>
      </c>
      <c r="F14" s="419">
        <v>710</v>
      </c>
      <c r="G14" s="419">
        <v>174742</v>
      </c>
      <c r="H14" s="419">
        <v>864</v>
      </c>
      <c r="I14" s="419">
        <v>362370</v>
      </c>
      <c r="J14" s="420">
        <v>1603</v>
      </c>
      <c r="K14" s="421">
        <v>677515</v>
      </c>
      <c r="L14" s="419">
        <v>1216</v>
      </c>
      <c r="M14" s="419">
        <v>120579</v>
      </c>
      <c r="N14" s="419">
        <v>1021</v>
      </c>
      <c r="O14" s="419">
        <v>611528</v>
      </c>
      <c r="P14" s="419">
        <v>1131</v>
      </c>
      <c r="Q14" s="419">
        <v>586618</v>
      </c>
      <c r="R14" s="419">
        <v>1515</v>
      </c>
      <c r="S14" s="419">
        <v>914097</v>
      </c>
      <c r="T14" s="419">
        <v>818</v>
      </c>
      <c r="U14" s="419">
        <v>265715</v>
      </c>
      <c r="V14" s="419">
        <f>_xlfn.IFNA(VLOOKUP(A14,[8]進出口值表查詢結果!$C$11:$F$68,4,0),-[4]整車!$B$22)</f>
        <v>695</v>
      </c>
      <c r="W14" s="419">
        <f>_xlfn.IFNA(VLOOKUP(A14,[8]進出口值表查詢結果!$C$11:$F$68,3,0),-[4]整車!$B$22)</f>
        <v>379724</v>
      </c>
      <c r="X14" s="419">
        <f>_xlfn.IFNA(VLOOKUP(A14,[9]進出口值表查詢結果!$C$11:$F$68,4,0),-[4]整車!$B$22)</f>
        <v>456</v>
      </c>
      <c r="Y14" s="419">
        <f>_xlfn.IFNA(VLOOKUP(A14,[9]進出口值表查詢結果!$C$11:$F$68,3,0),-[4]整車!$B$22)</f>
        <v>425334</v>
      </c>
      <c r="Z14" s="413">
        <f t="shared" si="3"/>
        <v>11102</v>
      </c>
      <c r="AA14" s="413">
        <f t="shared" si="4"/>
        <v>4772060</v>
      </c>
    </row>
    <row r="15" spans="1:27">
      <c r="A15" s="456" t="s">
        <v>172</v>
      </c>
      <c r="B15" s="419">
        <v>65</v>
      </c>
      <c r="C15" s="419">
        <v>102167</v>
      </c>
      <c r="D15" s="419">
        <v>153</v>
      </c>
      <c r="E15" s="419">
        <v>198502</v>
      </c>
      <c r="F15" s="419">
        <v>171</v>
      </c>
      <c r="G15" s="419">
        <v>186525</v>
      </c>
      <c r="H15" s="419">
        <v>62</v>
      </c>
      <c r="I15" s="419">
        <v>69195</v>
      </c>
      <c r="J15" s="420">
        <v>111</v>
      </c>
      <c r="K15" s="421">
        <v>71668</v>
      </c>
      <c r="L15" s="419">
        <v>156</v>
      </c>
      <c r="M15" s="419">
        <v>125402</v>
      </c>
      <c r="N15" s="419">
        <v>167</v>
      </c>
      <c r="O15" s="419">
        <v>258485</v>
      </c>
      <c r="P15" s="419">
        <v>211</v>
      </c>
      <c r="Q15" s="419">
        <v>238597</v>
      </c>
      <c r="R15" s="419">
        <v>601</v>
      </c>
      <c r="S15" s="419">
        <v>371230</v>
      </c>
      <c r="T15" s="419">
        <v>212</v>
      </c>
      <c r="U15" s="419">
        <v>237659</v>
      </c>
      <c r="V15" s="419">
        <f>_xlfn.IFNA(VLOOKUP(A15,[8]進出口值表查詢結果!$C$11:$F$68,4,0),-[4]整車!$B$22)</f>
        <v>156</v>
      </c>
      <c r="W15" s="419">
        <f>_xlfn.IFNA(VLOOKUP(A15,[8]進出口值表查詢結果!$C$11:$F$68,3,0),-[4]整車!$B$22)</f>
        <v>243778</v>
      </c>
      <c r="X15" s="419">
        <f>_xlfn.IFNA(VLOOKUP(A15,[9]進出口值表查詢結果!$C$11:$F$68,4,0),-[4]整車!$B$22)</f>
        <v>452</v>
      </c>
      <c r="Y15" s="419">
        <f>_xlfn.IFNA(VLOOKUP(A15,[9]進出口值表查詢結果!$C$11:$F$68,3,0),-[4]整車!$B$22)</f>
        <v>279986</v>
      </c>
      <c r="Z15" s="413">
        <f t="shared" si="3"/>
        <v>2517</v>
      </c>
      <c r="AA15" s="413">
        <f t="shared" si="4"/>
        <v>2383194</v>
      </c>
    </row>
    <row r="16" spans="1:27">
      <c r="A16" s="457" t="s">
        <v>178</v>
      </c>
      <c r="B16" s="419">
        <v>1307</v>
      </c>
      <c r="C16" s="419">
        <v>1817059</v>
      </c>
      <c r="D16" s="419">
        <v>1950</v>
      </c>
      <c r="E16" s="419">
        <v>2185577</v>
      </c>
      <c r="F16" s="419">
        <v>2367</v>
      </c>
      <c r="G16" s="419">
        <v>2674246</v>
      </c>
      <c r="H16" s="419">
        <v>2201</v>
      </c>
      <c r="I16" s="419">
        <v>1979400</v>
      </c>
      <c r="J16" s="420">
        <v>2682</v>
      </c>
      <c r="K16" s="421">
        <v>2461078</v>
      </c>
      <c r="L16" s="419">
        <v>2380</v>
      </c>
      <c r="M16" s="419">
        <v>2624768</v>
      </c>
      <c r="N16" s="419">
        <v>2747</v>
      </c>
      <c r="O16" s="419">
        <v>2999359</v>
      </c>
      <c r="P16" s="419">
        <v>3612</v>
      </c>
      <c r="Q16" s="419">
        <v>4516165</v>
      </c>
      <c r="R16" s="419">
        <v>2996</v>
      </c>
      <c r="S16" s="419">
        <v>3713824</v>
      </c>
      <c r="T16" s="419">
        <v>2056</v>
      </c>
      <c r="U16" s="419">
        <v>2891152</v>
      </c>
      <c r="V16" s="419">
        <f>_xlfn.IFNA(VLOOKUP(A16,[8]進出口值表查詢結果!$C$11:$F$68,4,0),-[4]整車!$B$22)</f>
        <v>1790</v>
      </c>
      <c r="W16" s="419">
        <f>_xlfn.IFNA(VLOOKUP(A16,[8]進出口值表查詢結果!$C$11:$F$68,3,0),-[4]整車!$B$22)</f>
        <v>2212342</v>
      </c>
      <c r="X16" s="419">
        <f>_xlfn.IFNA(VLOOKUP(A16,[9]進出口值表查詢結果!$C$11:$F$68,4,0),-[4]整車!$B$22)</f>
        <v>1546</v>
      </c>
      <c r="Y16" s="419">
        <f>_xlfn.IFNA(VLOOKUP(A16,[9]進出口值表查詢結果!$C$11:$F$68,3,0),-[4]整車!$B$22)</f>
        <v>1984044</v>
      </c>
      <c r="Z16" s="413">
        <f t="shared" si="3"/>
        <v>27634</v>
      </c>
      <c r="AA16" s="413">
        <f t="shared" si="4"/>
        <v>32059014</v>
      </c>
    </row>
    <row r="17" spans="1:27">
      <c r="A17" s="456" t="s">
        <v>181</v>
      </c>
      <c r="B17" s="419">
        <v>196</v>
      </c>
      <c r="C17" s="419">
        <v>159614</v>
      </c>
      <c r="D17" s="419">
        <v>25</v>
      </c>
      <c r="E17" s="419">
        <v>14125</v>
      </c>
      <c r="F17" s="419">
        <v>272</v>
      </c>
      <c r="G17" s="419">
        <v>324659</v>
      </c>
      <c r="H17" s="419">
        <v>6</v>
      </c>
      <c r="I17" s="419">
        <v>198</v>
      </c>
      <c r="J17" s="420">
        <v>392</v>
      </c>
      <c r="K17" s="421">
        <v>442301</v>
      </c>
      <c r="L17" s="419">
        <v>213</v>
      </c>
      <c r="M17" s="419">
        <v>334619</v>
      </c>
      <c r="N17" s="419">
        <v>471</v>
      </c>
      <c r="O17" s="419">
        <v>520823</v>
      </c>
      <c r="P17" s="419">
        <v>373</v>
      </c>
      <c r="Q17" s="419">
        <v>455099</v>
      </c>
      <c r="R17" s="419">
        <v>34</v>
      </c>
      <c r="S17" s="419">
        <v>38452</v>
      </c>
      <c r="T17" s="419">
        <v>10</v>
      </c>
      <c r="U17" s="419">
        <v>4200</v>
      </c>
      <c r="V17" s="419">
        <f>_xlfn.IFNA(VLOOKUP(A17,[8]進出口值表查詢結果!$C$11:$F$68,4,0),-[4]整車!$B$22)</f>
        <v>34</v>
      </c>
      <c r="W17" s="419">
        <f>_xlfn.IFNA(VLOOKUP(A17,[8]進出口值表查詢結果!$C$11:$F$68,3,0),-[4]整車!$B$22)</f>
        <v>42910</v>
      </c>
      <c r="X17" s="419">
        <f>_xlfn.IFNA(VLOOKUP(A17,[9]進出口值表查詢結果!$C$11:$F$68,4,0),-[4]整車!$B$22)</f>
        <v>823</v>
      </c>
      <c r="Y17" s="419">
        <f>_xlfn.IFNA(VLOOKUP(A17,[9]進出口值表查詢結果!$C$11:$F$68,3,0),-[4]整車!$B$22)</f>
        <v>958153</v>
      </c>
      <c r="Z17" s="413">
        <f t="shared" si="3"/>
        <v>2849</v>
      </c>
      <c r="AA17" s="413">
        <f t="shared" si="4"/>
        <v>3295153</v>
      </c>
    </row>
    <row r="18" spans="1:27">
      <c r="A18" s="456" t="s">
        <v>183</v>
      </c>
      <c r="B18" s="419">
        <v>246</v>
      </c>
      <c r="C18" s="419">
        <v>218428</v>
      </c>
      <c r="D18" s="419">
        <v>112</v>
      </c>
      <c r="E18" s="419">
        <v>127248</v>
      </c>
      <c r="F18" s="419">
        <v>145</v>
      </c>
      <c r="G18" s="419">
        <v>175938</v>
      </c>
      <c r="H18" s="419">
        <v>76</v>
      </c>
      <c r="I18" s="419">
        <v>84167</v>
      </c>
      <c r="J18" s="420">
        <v>231</v>
      </c>
      <c r="K18" s="421">
        <v>292647</v>
      </c>
      <c r="L18" s="419">
        <v>225</v>
      </c>
      <c r="M18" s="419">
        <v>233311</v>
      </c>
      <c r="N18" s="419">
        <v>442</v>
      </c>
      <c r="O18" s="419">
        <v>515923</v>
      </c>
      <c r="P18" s="419">
        <v>635</v>
      </c>
      <c r="Q18" s="419">
        <v>666047</v>
      </c>
      <c r="R18" s="419">
        <v>372</v>
      </c>
      <c r="S18" s="419">
        <v>415965</v>
      </c>
      <c r="T18" s="419">
        <v>793</v>
      </c>
      <c r="U18" s="419">
        <v>698930</v>
      </c>
      <c r="V18" s="419">
        <f>_xlfn.IFNA(VLOOKUP(A18,[8]進出口值表查詢結果!$C$11:$F$68,4,0),-[4]整車!$B$22)</f>
        <v>332</v>
      </c>
      <c r="W18" s="419">
        <f>_xlfn.IFNA(VLOOKUP(A18,[8]進出口值表查詢結果!$C$11:$F$68,3,0),-[4]整車!$B$22)</f>
        <v>417088</v>
      </c>
      <c r="X18" s="419">
        <f>_xlfn.IFNA(VLOOKUP(A18,[9]進出口值表查詢結果!$C$11:$F$68,4,0),-[4]整車!$B$22)</f>
        <v>830</v>
      </c>
      <c r="Y18" s="419">
        <f>_xlfn.IFNA(VLOOKUP(A18,[9]進出口值表查詢結果!$C$11:$F$68,3,0),-[4]整車!$B$22)</f>
        <v>1167495</v>
      </c>
      <c r="Z18" s="413">
        <f t="shared" si="3"/>
        <v>4439</v>
      </c>
      <c r="AA18" s="413">
        <f t="shared" si="4"/>
        <v>5013187</v>
      </c>
    </row>
    <row r="19" spans="1:27">
      <c r="A19" s="456" t="s">
        <v>182</v>
      </c>
      <c r="B19" s="419">
        <v>38</v>
      </c>
      <c r="C19" s="419">
        <v>34255</v>
      </c>
      <c r="D19" s="419">
        <v>114</v>
      </c>
      <c r="E19" s="419">
        <v>142072</v>
      </c>
      <c r="F19" s="419">
        <v>47</v>
      </c>
      <c r="G19" s="419">
        <v>88748</v>
      </c>
      <c r="H19" s="419">
        <v>116</v>
      </c>
      <c r="I19" s="419">
        <v>179464</v>
      </c>
      <c r="J19" s="420">
        <v>134</v>
      </c>
      <c r="K19" s="421">
        <v>160240</v>
      </c>
      <c r="L19" s="419">
        <v>114</v>
      </c>
      <c r="M19" s="419">
        <v>167091</v>
      </c>
      <c r="N19" s="419">
        <v>103</v>
      </c>
      <c r="O19" s="419">
        <v>156524</v>
      </c>
      <c r="P19" s="419">
        <v>60</v>
      </c>
      <c r="Q19" s="419">
        <v>89867</v>
      </c>
      <c r="R19" s="419">
        <v>291</v>
      </c>
      <c r="S19" s="419">
        <v>452957</v>
      </c>
      <c r="T19" s="419">
        <v>157</v>
      </c>
      <c r="U19" s="419">
        <v>198796</v>
      </c>
      <c r="V19" s="419">
        <f>_xlfn.IFNA(VLOOKUP(A19,[8]進出口值表查詢結果!$C$11:$F$68,4,0),-[4]整車!$B$22)</f>
        <v>161</v>
      </c>
      <c r="W19" s="419">
        <f>_xlfn.IFNA(VLOOKUP(A19,[8]進出口值表查詢結果!$C$11:$F$68,3,0),-[4]整車!$B$22)</f>
        <v>332513</v>
      </c>
      <c r="X19" s="419">
        <f>_xlfn.IFNA(VLOOKUP(A19,[9]進出口值表查詢結果!$C$11:$F$68,4,0),-[4]整車!$B$22)</f>
        <v>82</v>
      </c>
      <c r="Y19" s="419">
        <f>_xlfn.IFNA(VLOOKUP(A19,[9]進出口值表查詢結果!$C$11:$F$68,3,0),-[4]整車!$B$22)</f>
        <v>135445</v>
      </c>
      <c r="Z19" s="413">
        <f t="shared" si="3"/>
        <v>1417</v>
      </c>
      <c r="AA19" s="413">
        <f t="shared" si="4"/>
        <v>2137972</v>
      </c>
    </row>
    <row r="20" spans="1:27">
      <c r="A20" s="456" t="s">
        <v>237</v>
      </c>
      <c r="B20" s="419">
        <v>0</v>
      </c>
      <c r="C20" s="419">
        <v>0</v>
      </c>
      <c r="D20" s="419">
        <v>62</v>
      </c>
      <c r="E20" s="419">
        <v>80913</v>
      </c>
      <c r="F20" s="419">
        <v>0</v>
      </c>
      <c r="G20" s="419"/>
      <c r="H20" s="419">
        <v>0</v>
      </c>
      <c r="I20" s="419">
        <v>0</v>
      </c>
      <c r="J20" s="420">
        <v>14</v>
      </c>
      <c r="K20" s="421">
        <v>18143</v>
      </c>
      <c r="L20" s="419">
        <v>0</v>
      </c>
      <c r="M20" s="419">
        <v>0</v>
      </c>
      <c r="N20" s="419">
        <v>0</v>
      </c>
      <c r="O20" s="419">
        <v>0</v>
      </c>
      <c r="P20" s="419">
        <v>0</v>
      </c>
      <c r="Q20" s="419">
        <v>0</v>
      </c>
      <c r="R20" s="419">
        <v>0</v>
      </c>
      <c r="S20" s="419">
        <v>0</v>
      </c>
      <c r="T20" s="419"/>
      <c r="U20" s="419"/>
      <c r="V20" s="419">
        <f>_xlfn.IFNA(VLOOKUP(A20,[8]進出口值表查詢結果!$C$11:$F$68,4,0),-[4]整車!$B$22)</f>
        <v>0</v>
      </c>
      <c r="W20" s="419">
        <f>_xlfn.IFNA(VLOOKUP(A20,[8]進出口值表查詢結果!$C$11:$F$68,3,0),-[4]整車!$B$22)</f>
        <v>0</v>
      </c>
      <c r="X20" s="419">
        <f>_xlfn.IFNA(VLOOKUP(A20,[9]進出口值表查詢結果!$C$11:$F$68,4,0),-[4]整車!$B$22)</f>
        <v>0</v>
      </c>
      <c r="Y20" s="419">
        <f>_xlfn.IFNA(VLOOKUP(A20,[9]進出口值表查詢結果!$C$11:$F$68,3,0),-[4]整車!$B$22)</f>
        <v>0</v>
      </c>
      <c r="Z20" s="413">
        <f t="shared" si="3"/>
        <v>76</v>
      </c>
      <c r="AA20" s="413">
        <f t="shared" si="4"/>
        <v>99056</v>
      </c>
    </row>
    <row r="21" spans="1:27">
      <c r="A21" s="456" t="s">
        <v>193</v>
      </c>
      <c r="B21" s="419">
        <v>367</v>
      </c>
      <c r="C21" s="419">
        <v>213697</v>
      </c>
      <c r="D21" s="419">
        <v>458</v>
      </c>
      <c r="E21" s="419">
        <v>230710</v>
      </c>
      <c r="F21" s="419">
        <v>165</v>
      </c>
      <c r="G21" s="419">
        <v>82941</v>
      </c>
      <c r="H21" s="419">
        <v>35</v>
      </c>
      <c r="I21" s="419">
        <v>4203</v>
      </c>
      <c r="J21" s="420">
        <v>74</v>
      </c>
      <c r="K21" s="421">
        <v>16703</v>
      </c>
      <c r="L21" s="419">
        <v>938</v>
      </c>
      <c r="M21" s="419">
        <v>178622</v>
      </c>
      <c r="N21" s="419">
        <v>107</v>
      </c>
      <c r="O21" s="419">
        <v>7169</v>
      </c>
      <c r="P21" s="419">
        <v>364</v>
      </c>
      <c r="Q21" s="419">
        <v>13151</v>
      </c>
      <c r="R21" s="419">
        <v>211</v>
      </c>
      <c r="S21" s="419">
        <v>139301</v>
      </c>
      <c r="T21" s="419">
        <v>291</v>
      </c>
      <c r="U21" s="419">
        <v>151421</v>
      </c>
      <c r="V21" s="419">
        <f>_xlfn.IFNA(VLOOKUP(A21,[8]進出口值表查詢結果!$C$11:$F$68,4,0),-[4]整車!$B$22)</f>
        <v>884</v>
      </c>
      <c r="W21" s="419">
        <f>_xlfn.IFNA(VLOOKUP(A21,[8]進出口值表查詢結果!$C$11:$F$68,3,0),-[4]整車!$B$22)</f>
        <v>377477</v>
      </c>
      <c r="X21" s="419">
        <f>_xlfn.IFNA(VLOOKUP(A21,[9]進出口值表查詢結果!$C$11:$F$68,4,0),-[4]整車!$B$22)</f>
        <v>872</v>
      </c>
      <c r="Y21" s="419">
        <f>_xlfn.IFNA(VLOOKUP(A21,[9]進出口值表查詢結果!$C$11:$F$68,3,0),-[4]整車!$B$22)</f>
        <v>486108</v>
      </c>
      <c r="Z21" s="413">
        <f t="shared" si="3"/>
        <v>4766</v>
      </c>
      <c r="AA21" s="413">
        <f t="shared" si="4"/>
        <v>1901503</v>
      </c>
    </row>
    <row r="22" spans="1:27">
      <c r="A22" s="456" t="s">
        <v>238</v>
      </c>
      <c r="B22" s="419">
        <v>0</v>
      </c>
      <c r="C22" s="419">
        <v>0</v>
      </c>
      <c r="D22" s="419"/>
      <c r="E22" s="419"/>
      <c r="F22" s="419">
        <v>0</v>
      </c>
      <c r="G22" s="419"/>
      <c r="H22" s="419">
        <v>0</v>
      </c>
      <c r="I22" s="419">
        <v>0</v>
      </c>
      <c r="J22" s="420">
        <v>0</v>
      </c>
      <c r="K22" s="423" t="s">
        <v>59</v>
      </c>
      <c r="L22" s="419">
        <v>0</v>
      </c>
      <c r="M22" s="419">
        <v>0</v>
      </c>
      <c r="N22" s="419">
        <v>0</v>
      </c>
      <c r="O22" s="419">
        <v>0</v>
      </c>
      <c r="P22" s="419">
        <v>0</v>
      </c>
      <c r="Q22" s="419">
        <v>0</v>
      </c>
      <c r="R22" s="419">
        <v>0</v>
      </c>
      <c r="S22" s="419">
        <v>0</v>
      </c>
      <c r="T22" s="419"/>
      <c r="U22" s="419"/>
      <c r="V22" s="419">
        <f>_xlfn.IFNA(VLOOKUP(A22,[8]進出口值表查詢結果!$C$11:$F$68,4,0),-[4]整車!$B$22)</f>
        <v>0</v>
      </c>
      <c r="W22" s="419">
        <f>_xlfn.IFNA(VLOOKUP(A22,[8]進出口值表查詢結果!$C$11:$F$68,3,0),-[4]整車!$B$22)</f>
        <v>0</v>
      </c>
      <c r="X22" s="419">
        <f>_xlfn.IFNA(VLOOKUP(A22,[9]進出口值表查詢結果!$C$11:$F$68,4,0),-[4]整車!$B$22)</f>
        <v>0</v>
      </c>
      <c r="Y22" s="419">
        <f>_xlfn.IFNA(VLOOKUP(A22,[9]進出口值表查詢結果!$C$11:$F$68,3,0),-[4]整車!$B$22)</f>
        <v>0</v>
      </c>
      <c r="Z22" s="413">
        <f t="shared" si="3"/>
        <v>0</v>
      </c>
      <c r="AA22" s="413">
        <f t="shared" si="4"/>
        <v>0</v>
      </c>
    </row>
    <row r="23" spans="1:27">
      <c r="A23" s="456" t="s">
        <v>180</v>
      </c>
      <c r="B23" s="419">
        <v>4</v>
      </c>
      <c r="C23" s="419">
        <v>12662</v>
      </c>
      <c r="D23" s="419">
        <v>36</v>
      </c>
      <c r="E23" s="419">
        <v>33578</v>
      </c>
      <c r="F23" s="419">
        <v>0</v>
      </c>
      <c r="G23" s="419"/>
      <c r="H23" s="419">
        <v>0</v>
      </c>
      <c r="I23" s="419">
        <v>0</v>
      </c>
      <c r="J23" s="420" t="s">
        <v>59</v>
      </c>
      <c r="K23" s="423" t="s">
        <v>59</v>
      </c>
      <c r="L23" s="419">
        <v>12</v>
      </c>
      <c r="M23" s="419">
        <v>40985</v>
      </c>
      <c r="N23" s="419">
        <v>11</v>
      </c>
      <c r="O23" s="419">
        <v>18898</v>
      </c>
      <c r="P23" s="419">
        <v>15</v>
      </c>
      <c r="Q23" s="419">
        <v>18841</v>
      </c>
      <c r="R23" s="419">
        <v>0</v>
      </c>
      <c r="S23" s="419">
        <v>0</v>
      </c>
      <c r="T23" s="419">
        <v>4</v>
      </c>
      <c r="U23" s="419">
        <v>8709</v>
      </c>
      <c r="V23" s="419">
        <f>_xlfn.IFNA(VLOOKUP(A23,[8]進出口值表查詢結果!$C$11:$F$68,4,0),-[4]整車!$B$22)</f>
        <v>0</v>
      </c>
      <c r="W23" s="419">
        <f>_xlfn.IFNA(VLOOKUP(A23,[8]進出口值表查詢結果!$C$11:$F$68,3,0),-[4]整車!$B$22)</f>
        <v>0</v>
      </c>
      <c r="X23" s="419">
        <f>_xlfn.IFNA(VLOOKUP(A23,[9]進出口值表查詢結果!$C$11:$F$68,4,0),-[4]整車!$B$22)</f>
        <v>23</v>
      </c>
      <c r="Y23" s="419">
        <f>_xlfn.IFNA(VLOOKUP(A23,[9]進出口值表查詢結果!$C$11:$F$68,3,0),-[4]整車!$B$22)</f>
        <v>41742</v>
      </c>
      <c r="Z23" s="413">
        <f t="shared" si="3"/>
        <v>105</v>
      </c>
      <c r="AA23" s="413">
        <f t="shared" si="4"/>
        <v>175415</v>
      </c>
    </row>
    <row r="24" spans="1:27">
      <c r="A24" s="456" t="s">
        <v>239</v>
      </c>
      <c r="B24" s="419">
        <v>0</v>
      </c>
      <c r="C24" s="419">
        <v>0</v>
      </c>
      <c r="D24" s="419"/>
      <c r="E24" s="419"/>
      <c r="F24" s="419">
        <v>0</v>
      </c>
      <c r="G24" s="419"/>
      <c r="H24" s="419">
        <v>0</v>
      </c>
      <c r="I24" s="419">
        <v>0</v>
      </c>
      <c r="J24" s="420">
        <v>1</v>
      </c>
      <c r="K24" s="421">
        <v>2606</v>
      </c>
      <c r="L24" s="419">
        <v>0</v>
      </c>
      <c r="M24" s="413">
        <v>0</v>
      </c>
      <c r="N24" s="419">
        <v>0</v>
      </c>
      <c r="O24" s="419">
        <v>0</v>
      </c>
      <c r="P24" s="419">
        <v>0</v>
      </c>
      <c r="Q24" s="419">
        <v>0</v>
      </c>
      <c r="R24" s="419">
        <v>0</v>
      </c>
      <c r="S24" s="419">
        <v>0</v>
      </c>
      <c r="T24" s="419"/>
      <c r="U24" s="419"/>
      <c r="V24" s="419">
        <f>_xlfn.IFNA(VLOOKUP(A24,[8]進出口值表查詢結果!$C$11:$F$68,4,0),-[4]整車!$B$22)</f>
        <v>0</v>
      </c>
      <c r="W24" s="419">
        <f>_xlfn.IFNA(VLOOKUP(A24,[8]進出口值表查詢結果!$C$11:$F$68,3,0),-[4]整車!$B$22)</f>
        <v>0</v>
      </c>
      <c r="X24" s="419">
        <f>_xlfn.IFNA(VLOOKUP(A24,[9]進出口值表查詢結果!$C$11:$F$68,4,0),-[4]整車!$B$22)</f>
        <v>0</v>
      </c>
      <c r="Y24" s="419">
        <f>_xlfn.IFNA(VLOOKUP(A24,[9]進出口值表查詢結果!$C$11:$F$68,3,0),-[4]整車!$B$22)</f>
        <v>0</v>
      </c>
      <c r="Z24" s="413">
        <f t="shared" si="3"/>
        <v>1</v>
      </c>
      <c r="AA24" s="413">
        <f t="shared" si="4"/>
        <v>2606</v>
      </c>
    </row>
    <row r="25" spans="1:27">
      <c r="A25" s="456" t="s">
        <v>240</v>
      </c>
      <c r="B25" s="419">
        <v>0</v>
      </c>
      <c r="C25" s="419">
        <v>0</v>
      </c>
      <c r="D25" s="419"/>
      <c r="E25" s="419"/>
      <c r="F25" s="419">
        <v>0</v>
      </c>
      <c r="G25" s="419"/>
      <c r="H25" s="419">
        <v>0</v>
      </c>
      <c r="I25" s="419">
        <v>0</v>
      </c>
      <c r="J25" s="420" t="s">
        <v>59</v>
      </c>
      <c r="K25" s="423" t="s">
        <v>59</v>
      </c>
      <c r="L25" s="419">
        <v>0</v>
      </c>
      <c r="M25" s="419">
        <v>0</v>
      </c>
      <c r="N25" s="419">
        <v>0</v>
      </c>
      <c r="O25" s="419">
        <v>0</v>
      </c>
      <c r="P25" s="419">
        <v>0</v>
      </c>
      <c r="Q25" s="419">
        <v>0</v>
      </c>
      <c r="R25" s="419">
        <v>0</v>
      </c>
      <c r="S25" s="419">
        <v>0</v>
      </c>
      <c r="T25" s="419"/>
      <c r="U25" s="419"/>
      <c r="V25" s="419">
        <f>_xlfn.IFNA(VLOOKUP(A25,[8]進出口值表查詢結果!$C$11:$F$68,4,0),-[4]整車!$B$22)</f>
        <v>0</v>
      </c>
      <c r="W25" s="419">
        <f>_xlfn.IFNA(VLOOKUP(A25,[8]進出口值表查詢結果!$C$11:$F$68,3,0),-[4]整車!$B$22)</f>
        <v>0</v>
      </c>
      <c r="X25" s="419">
        <f>_xlfn.IFNA(VLOOKUP(A25,[9]進出口值表查詢結果!$C$11:$F$68,4,0),-[4]整車!$B$22)</f>
        <v>0</v>
      </c>
      <c r="Y25" s="419">
        <f>_xlfn.IFNA(VLOOKUP(A25,[9]進出口值表查詢結果!$C$11:$F$68,3,0),-[4]整車!$B$22)</f>
        <v>0</v>
      </c>
      <c r="Z25" s="413">
        <f t="shared" si="3"/>
        <v>0</v>
      </c>
      <c r="AA25" s="413">
        <f t="shared" si="4"/>
        <v>0</v>
      </c>
    </row>
    <row r="26" spans="1:27">
      <c r="A26" s="456" t="s">
        <v>241</v>
      </c>
      <c r="B26" s="419">
        <v>0</v>
      </c>
      <c r="C26" s="419">
        <v>0</v>
      </c>
      <c r="D26" s="419"/>
      <c r="E26" s="419"/>
      <c r="F26" s="419">
        <v>10</v>
      </c>
      <c r="G26" s="419">
        <v>9226</v>
      </c>
      <c r="H26" s="419">
        <v>0</v>
      </c>
      <c r="I26" s="419">
        <v>0</v>
      </c>
      <c r="J26" s="420" t="s">
        <v>59</v>
      </c>
      <c r="K26" s="423" t="s">
        <v>59</v>
      </c>
      <c r="L26" s="419">
        <v>2</v>
      </c>
      <c r="M26" s="419">
        <v>536</v>
      </c>
      <c r="N26" s="419">
        <v>0</v>
      </c>
      <c r="O26" s="419">
        <v>0</v>
      </c>
      <c r="P26" s="419">
        <v>34</v>
      </c>
      <c r="Q26" s="419">
        <v>17452</v>
      </c>
      <c r="R26" s="419">
        <v>0</v>
      </c>
      <c r="S26" s="419">
        <v>0</v>
      </c>
      <c r="T26" s="419">
        <v>10</v>
      </c>
      <c r="U26" s="419">
        <v>9501</v>
      </c>
      <c r="V26" s="419">
        <f>_xlfn.IFNA(VLOOKUP(A26,[8]進出口值表查詢結果!$C$11:$F$68,4,0),-[4]整車!$B$22)</f>
        <v>0</v>
      </c>
      <c r="W26" s="419">
        <f>_xlfn.IFNA(VLOOKUP(A26,[8]進出口值表查詢結果!$C$11:$F$68,3,0),-[4]整車!$B$22)</f>
        <v>0</v>
      </c>
      <c r="X26" s="419">
        <f>_xlfn.IFNA(VLOOKUP(A26,[9]進出口值表查詢結果!$C$11:$F$68,4,0),-[4]整車!$B$22)</f>
        <v>0</v>
      </c>
      <c r="Y26" s="419">
        <f>_xlfn.IFNA(VLOOKUP(A26,[9]進出口值表查詢結果!$C$11:$F$68,3,0),-[4]整車!$B$22)</f>
        <v>0</v>
      </c>
      <c r="Z26" s="413">
        <f t="shared" si="3"/>
        <v>56</v>
      </c>
      <c r="AA26" s="413">
        <f t="shared" si="4"/>
        <v>36715</v>
      </c>
    </row>
    <row r="27" spans="1:27">
      <c r="A27" s="456" t="s">
        <v>199</v>
      </c>
      <c r="B27" s="419">
        <v>12</v>
      </c>
      <c r="C27" s="419">
        <v>11363</v>
      </c>
      <c r="D27" s="419">
        <v>156</v>
      </c>
      <c r="E27" s="419">
        <v>136343</v>
      </c>
      <c r="F27" s="419">
        <v>53</v>
      </c>
      <c r="G27" s="419">
        <v>48024</v>
      </c>
      <c r="H27" s="419">
        <v>0</v>
      </c>
      <c r="I27" s="419">
        <v>0</v>
      </c>
      <c r="J27" s="420">
        <v>62</v>
      </c>
      <c r="K27" s="421">
        <v>51087</v>
      </c>
      <c r="L27" s="419">
        <v>0</v>
      </c>
      <c r="M27" s="419">
        <v>0</v>
      </c>
      <c r="N27" s="419">
        <v>53</v>
      </c>
      <c r="O27" s="419">
        <v>53415</v>
      </c>
      <c r="P27" s="419">
        <v>125</v>
      </c>
      <c r="Q27" s="419">
        <v>148830</v>
      </c>
      <c r="R27" s="419">
        <v>20</v>
      </c>
      <c r="S27" s="419">
        <v>19056</v>
      </c>
      <c r="T27" s="419">
        <v>26</v>
      </c>
      <c r="U27" s="419">
        <v>35077</v>
      </c>
      <c r="V27" s="419">
        <f>_xlfn.IFNA(VLOOKUP(A27,[8]進出口值表查詢結果!$C$11:$F$68,4,0),-[4]整車!$B$22)</f>
        <v>6</v>
      </c>
      <c r="W27" s="419">
        <f>_xlfn.IFNA(VLOOKUP(A27,[8]進出口值表查詢結果!$C$11:$F$68,3,0),-[4]整車!$B$22)</f>
        <v>6932</v>
      </c>
      <c r="X27" s="419">
        <f>_xlfn.IFNA(VLOOKUP(A27,[9]進出口值表查詢結果!$C$11:$F$68,4,0),-[4]整車!$B$22)</f>
        <v>211</v>
      </c>
      <c r="Y27" s="419">
        <f>_xlfn.IFNA(VLOOKUP(A27,[9]進出口值表查詢結果!$C$11:$F$68,3,0),-[4]整車!$B$22)</f>
        <v>156683</v>
      </c>
      <c r="Z27" s="413">
        <f t="shared" si="3"/>
        <v>724</v>
      </c>
      <c r="AA27" s="413">
        <f t="shared" si="4"/>
        <v>666810</v>
      </c>
    </row>
    <row r="28" spans="1:27">
      <c r="A28" s="456" t="s">
        <v>242</v>
      </c>
      <c r="B28" s="419">
        <v>0</v>
      </c>
      <c r="C28" s="419">
        <v>0</v>
      </c>
      <c r="D28" s="419"/>
      <c r="E28" s="419"/>
      <c r="F28" s="419">
        <v>0</v>
      </c>
      <c r="G28" s="419"/>
      <c r="H28" s="419">
        <v>0</v>
      </c>
      <c r="I28" s="419">
        <v>0</v>
      </c>
      <c r="J28" s="420" t="s">
        <v>59</v>
      </c>
      <c r="K28" s="423" t="s">
        <v>59</v>
      </c>
      <c r="L28" s="419">
        <v>0</v>
      </c>
      <c r="M28" s="419">
        <v>0</v>
      </c>
      <c r="N28" s="419">
        <v>0</v>
      </c>
      <c r="O28" s="419">
        <v>0</v>
      </c>
      <c r="P28" s="419">
        <v>0</v>
      </c>
      <c r="Q28" s="419">
        <v>0</v>
      </c>
      <c r="R28" s="419">
        <v>0</v>
      </c>
      <c r="S28" s="419">
        <v>0</v>
      </c>
      <c r="T28" s="419"/>
      <c r="U28" s="419"/>
      <c r="V28" s="419">
        <f>_xlfn.IFNA(VLOOKUP(A28,[8]進出口值表查詢結果!$C$11:$F$68,4,0),-[4]整車!$B$22)</f>
        <v>0</v>
      </c>
      <c r="W28" s="419">
        <f>_xlfn.IFNA(VLOOKUP(A28,[8]進出口值表查詢結果!$C$11:$F$68,3,0),-[4]整車!$B$22)</f>
        <v>0</v>
      </c>
      <c r="X28" s="419">
        <f>_xlfn.IFNA(VLOOKUP(A28,[9]進出口值表查詢結果!$C$11:$F$68,4,0),-[4]整車!$B$22)</f>
        <v>0</v>
      </c>
      <c r="Y28" s="419">
        <f>_xlfn.IFNA(VLOOKUP(A28,[9]進出口值表查詢結果!$C$11:$F$68,3,0),-[4]整車!$B$22)</f>
        <v>0</v>
      </c>
      <c r="Z28" s="413">
        <f t="shared" si="3"/>
        <v>0</v>
      </c>
      <c r="AA28" s="413">
        <f t="shared" si="4"/>
        <v>0</v>
      </c>
    </row>
    <row r="29" spans="1:27">
      <c r="A29" s="456" t="s">
        <v>169</v>
      </c>
      <c r="B29" s="419">
        <v>832</v>
      </c>
      <c r="C29" s="419">
        <v>601299</v>
      </c>
      <c r="D29" s="419">
        <v>1474</v>
      </c>
      <c r="E29" s="419">
        <v>1335375</v>
      </c>
      <c r="F29" s="419">
        <v>2575</v>
      </c>
      <c r="G29" s="419">
        <v>2824860</v>
      </c>
      <c r="H29" s="419">
        <v>1590</v>
      </c>
      <c r="I29" s="419">
        <v>2035410</v>
      </c>
      <c r="J29" s="420">
        <v>1368</v>
      </c>
      <c r="K29" s="423">
        <v>1650049</v>
      </c>
      <c r="L29" s="419">
        <v>3338</v>
      </c>
      <c r="M29" s="419">
        <v>3123497</v>
      </c>
      <c r="N29" s="419">
        <v>2847</v>
      </c>
      <c r="O29" s="419">
        <v>2378126</v>
      </c>
      <c r="P29" s="419">
        <v>2606</v>
      </c>
      <c r="Q29" s="419">
        <v>3061333</v>
      </c>
      <c r="R29" s="419">
        <v>1944</v>
      </c>
      <c r="S29" s="419">
        <v>1677516</v>
      </c>
      <c r="T29" s="419">
        <v>2095</v>
      </c>
      <c r="U29" s="419">
        <v>2093220</v>
      </c>
      <c r="V29" s="419">
        <f>_xlfn.IFNA(VLOOKUP(A29,[8]進出口值表查詢結果!$C$11:$F$68,4,0),-[4]整車!$B$22)</f>
        <v>2168</v>
      </c>
      <c r="W29" s="419">
        <f>_xlfn.IFNA(VLOOKUP(A29,[8]進出口值表查詢結果!$C$11:$F$68,3,0),-[4]整車!$B$22)</f>
        <v>2387001</v>
      </c>
      <c r="X29" s="419">
        <f>_xlfn.IFNA(VLOOKUP(A29,[9]進出口值表查詢結果!$C$11:$F$68,4,0),-[4]整車!$B$22)</f>
        <v>3104</v>
      </c>
      <c r="Y29" s="419">
        <f>_xlfn.IFNA(VLOOKUP(A29,[9]進出口值表查詢結果!$C$11:$F$68,3,0),-[4]整車!$B$22)</f>
        <v>3401926</v>
      </c>
      <c r="Z29" s="413">
        <f t="shared" si="3"/>
        <v>25941</v>
      </c>
      <c r="AA29" s="413">
        <f t="shared" si="4"/>
        <v>26569612</v>
      </c>
    </row>
    <row r="30" spans="1:27">
      <c r="A30" s="458" t="s">
        <v>244</v>
      </c>
      <c r="B30" s="413">
        <v>0</v>
      </c>
      <c r="C30" s="413">
        <v>0</v>
      </c>
      <c r="D30" s="413"/>
      <c r="E30" s="413"/>
      <c r="F30" s="413">
        <v>0</v>
      </c>
      <c r="G30" s="413"/>
      <c r="H30" s="413">
        <v>0</v>
      </c>
      <c r="I30" s="413">
        <v>0</v>
      </c>
      <c r="J30" s="406" t="s">
        <v>59</v>
      </c>
      <c r="K30" s="423" t="s">
        <v>59</v>
      </c>
      <c r="L30" s="413">
        <v>0</v>
      </c>
      <c r="M30" s="413">
        <v>0</v>
      </c>
      <c r="N30" s="413">
        <v>0</v>
      </c>
      <c r="O30" s="413">
        <v>0</v>
      </c>
      <c r="P30" s="413">
        <v>0</v>
      </c>
      <c r="Q30" s="413">
        <v>0</v>
      </c>
      <c r="R30" s="413">
        <v>0</v>
      </c>
      <c r="S30" s="413">
        <v>0</v>
      </c>
      <c r="T30" s="413"/>
      <c r="U30" s="413"/>
      <c r="V30" s="419">
        <f>_xlfn.IFNA(VLOOKUP(A30,[8]進出口值表查詢結果!$C$11:$F$68,4,0),-[4]整車!$B$22)</f>
        <v>0</v>
      </c>
      <c r="W30" s="419">
        <f>_xlfn.IFNA(VLOOKUP(A30,[8]進出口值表查詢結果!$C$11:$F$68,3,0),-[4]整車!$B$22)</f>
        <v>0</v>
      </c>
      <c r="X30" s="419">
        <f>_xlfn.IFNA(VLOOKUP(A30,[9]進出口值表查詢結果!$C$11:$F$68,4,0),-[4]整車!$B$22)</f>
        <v>0</v>
      </c>
      <c r="Y30" s="419">
        <f>_xlfn.IFNA(VLOOKUP(A30,[9]進出口值表查詢結果!$C$11:$F$68,3,0),-[4]整車!$B$22)</f>
        <v>0</v>
      </c>
      <c r="Z30" s="413">
        <f t="shared" si="3"/>
        <v>0</v>
      </c>
      <c r="AA30" s="413">
        <f t="shared" si="4"/>
        <v>0</v>
      </c>
    </row>
    <row r="31" spans="1:27">
      <c r="A31" s="456" t="s">
        <v>245</v>
      </c>
      <c r="B31" s="413">
        <v>0</v>
      </c>
      <c r="C31" s="413">
        <v>0</v>
      </c>
      <c r="D31" s="419"/>
      <c r="E31" s="419"/>
      <c r="F31" s="419">
        <v>0</v>
      </c>
      <c r="G31" s="419"/>
      <c r="H31" s="419">
        <v>0</v>
      </c>
      <c r="I31" s="419">
        <v>0</v>
      </c>
      <c r="J31" s="420"/>
      <c r="K31" s="423" t="s">
        <v>59</v>
      </c>
      <c r="L31" s="419">
        <v>0</v>
      </c>
      <c r="M31" s="419">
        <v>0</v>
      </c>
      <c r="N31" s="419">
        <v>0</v>
      </c>
      <c r="O31" s="419">
        <v>0</v>
      </c>
      <c r="P31" s="413">
        <v>0</v>
      </c>
      <c r="Q31" s="413">
        <v>0</v>
      </c>
      <c r="R31" s="413">
        <v>0</v>
      </c>
      <c r="S31" s="413">
        <v>0</v>
      </c>
      <c r="T31" s="419"/>
      <c r="U31" s="419"/>
      <c r="V31" s="419">
        <f>_xlfn.IFNA(VLOOKUP(A31,[8]進出口值表查詢結果!$C$11:$F$68,4,0),-[4]整車!$B$22)</f>
        <v>0</v>
      </c>
      <c r="W31" s="419">
        <f>_xlfn.IFNA(VLOOKUP(A31,[8]進出口值表查詢結果!$C$11:$F$68,3,0),-[4]整車!$B$22)</f>
        <v>0</v>
      </c>
      <c r="X31" s="419">
        <f>_xlfn.IFNA(VLOOKUP(A31,[9]進出口值表查詢結果!$C$11:$F$68,4,0),-[4]整車!$B$22)</f>
        <v>0</v>
      </c>
      <c r="Y31" s="419">
        <f>_xlfn.IFNA(VLOOKUP(A31,[9]進出口值表查詢結果!$C$11:$F$68,3,0),-[4]整車!$B$22)</f>
        <v>0</v>
      </c>
      <c r="Z31" s="413">
        <f t="shared" si="3"/>
        <v>0</v>
      </c>
      <c r="AA31" s="413">
        <f t="shared" si="4"/>
        <v>0</v>
      </c>
    </row>
    <row r="32" spans="1:27">
      <c r="A32" s="456" t="s">
        <v>246</v>
      </c>
      <c r="B32" s="413">
        <v>0</v>
      </c>
      <c r="C32" s="413">
        <v>0</v>
      </c>
      <c r="D32" s="419"/>
      <c r="E32" s="419"/>
      <c r="F32" s="419">
        <v>0</v>
      </c>
      <c r="G32" s="419"/>
      <c r="H32" s="419">
        <v>2</v>
      </c>
      <c r="I32" s="419">
        <v>3147</v>
      </c>
      <c r="J32" s="420" t="s">
        <v>59</v>
      </c>
      <c r="K32" s="423" t="s">
        <v>59</v>
      </c>
      <c r="L32" s="419">
        <v>0</v>
      </c>
      <c r="M32" s="419">
        <v>0</v>
      </c>
      <c r="N32" s="419">
        <v>9</v>
      </c>
      <c r="O32" s="419">
        <v>14807</v>
      </c>
      <c r="P32" s="413">
        <v>0</v>
      </c>
      <c r="Q32" s="413">
        <v>0</v>
      </c>
      <c r="R32" s="413">
        <v>0</v>
      </c>
      <c r="S32" s="413">
        <v>0</v>
      </c>
      <c r="T32" s="419"/>
      <c r="U32" s="419"/>
      <c r="V32" s="419">
        <f>_xlfn.IFNA(VLOOKUP(A32,[8]進出口值表查詢結果!$C$11:$F$68,4,0),-[4]整車!$B$22)</f>
        <v>0</v>
      </c>
      <c r="W32" s="419">
        <f>_xlfn.IFNA(VLOOKUP(A32,[8]進出口值表查詢結果!$C$11:$F$68,3,0),-[4]整車!$B$22)</f>
        <v>0</v>
      </c>
      <c r="X32" s="419">
        <f>_xlfn.IFNA(VLOOKUP(A32,[9]進出口值表查詢結果!$C$11:$F$68,4,0),-[4]整車!$B$22)</f>
        <v>12</v>
      </c>
      <c r="Y32" s="419">
        <f>_xlfn.IFNA(VLOOKUP(A32,[9]進出口值表查詢結果!$C$11:$F$68,3,0),-[4]整車!$B$22)</f>
        <v>16410</v>
      </c>
      <c r="Z32" s="413">
        <f t="shared" si="3"/>
        <v>23</v>
      </c>
      <c r="AA32" s="413">
        <f t="shared" si="4"/>
        <v>34364</v>
      </c>
    </row>
    <row r="33" spans="1:27">
      <c r="A33" s="456" t="s">
        <v>247</v>
      </c>
      <c r="B33" s="413">
        <v>0</v>
      </c>
      <c r="C33" s="413">
        <v>0</v>
      </c>
      <c r="D33" s="419">
        <v>65</v>
      </c>
      <c r="E33" s="419">
        <v>100633</v>
      </c>
      <c r="F33" s="413">
        <v>430</v>
      </c>
      <c r="G33" s="419">
        <v>75772</v>
      </c>
      <c r="H33" s="419">
        <v>89</v>
      </c>
      <c r="I33" s="419">
        <v>94535</v>
      </c>
      <c r="J33" s="420" t="s">
        <v>59</v>
      </c>
      <c r="K33" s="423" t="s">
        <v>59</v>
      </c>
      <c r="L33" s="419">
        <v>0</v>
      </c>
      <c r="M33" s="419">
        <v>0</v>
      </c>
      <c r="N33" s="419">
        <v>0</v>
      </c>
      <c r="O33" s="419">
        <v>0</v>
      </c>
      <c r="P33" s="413">
        <v>0</v>
      </c>
      <c r="Q33" s="413">
        <v>0</v>
      </c>
      <c r="R33" s="413">
        <v>0</v>
      </c>
      <c r="S33" s="413">
        <v>0</v>
      </c>
      <c r="T33" s="419"/>
      <c r="U33" s="419"/>
      <c r="V33" s="419">
        <f>_xlfn.IFNA(VLOOKUP(A33,[8]進出口值表查詢結果!$C$11:$F$68,4,0),-[4]整車!$B$22)</f>
        <v>0</v>
      </c>
      <c r="W33" s="419">
        <f>_xlfn.IFNA(VLOOKUP(A33,[8]進出口值表查詢結果!$C$11:$F$68,3,0),-[4]整車!$B$22)</f>
        <v>0</v>
      </c>
      <c r="X33" s="419">
        <f>_xlfn.IFNA(VLOOKUP(A33,[9]進出口值表查詢結果!$C$11:$F$68,4,0),-[4]整車!$B$22)</f>
        <v>36</v>
      </c>
      <c r="Y33" s="419">
        <f>_xlfn.IFNA(VLOOKUP(A33,[9]進出口值表查詢結果!$C$11:$F$68,3,0),-[4]整車!$B$22)</f>
        <v>41708</v>
      </c>
      <c r="Z33" s="419">
        <f t="shared" si="3"/>
        <v>620</v>
      </c>
      <c r="AA33" s="419">
        <f t="shared" si="4"/>
        <v>312648</v>
      </c>
    </row>
    <row r="34" spans="1:27">
      <c r="A34" s="456" t="s">
        <v>248</v>
      </c>
      <c r="B34" s="413">
        <v>0</v>
      </c>
      <c r="C34" s="413">
        <v>0</v>
      </c>
      <c r="D34" s="419"/>
      <c r="E34" s="419"/>
      <c r="F34" s="419">
        <v>0</v>
      </c>
      <c r="G34" s="419"/>
      <c r="H34" s="419">
        <v>0</v>
      </c>
      <c r="I34" s="419">
        <v>0</v>
      </c>
      <c r="J34" s="420" t="s">
        <v>59</v>
      </c>
      <c r="K34" s="423" t="s">
        <v>59</v>
      </c>
      <c r="L34" s="419">
        <v>200</v>
      </c>
      <c r="M34" s="419">
        <v>26608</v>
      </c>
      <c r="N34" s="419">
        <v>0</v>
      </c>
      <c r="O34" s="419">
        <v>0</v>
      </c>
      <c r="P34" s="413">
        <v>0</v>
      </c>
      <c r="Q34" s="413">
        <v>0</v>
      </c>
      <c r="R34" s="413">
        <v>0</v>
      </c>
      <c r="S34" s="413">
        <v>0</v>
      </c>
      <c r="T34" s="419"/>
      <c r="U34" s="419"/>
      <c r="V34" s="419">
        <f>_xlfn.IFNA(VLOOKUP(A34,[8]進出口值表查詢結果!$C$11:$F$68,4,0),-[4]整車!$B$22)</f>
        <v>0</v>
      </c>
      <c r="W34" s="419">
        <f>_xlfn.IFNA(VLOOKUP(A34,[8]進出口值表查詢結果!$C$11:$F$68,3,0),-[4]整車!$B$22)</f>
        <v>0</v>
      </c>
      <c r="X34" s="419">
        <f>_xlfn.IFNA(VLOOKUP(A34,[9]進出口值表查詢結果!$C$11:$F$68,4,0),-[4]整車!$B$22)</f>
        <v>0</v>
      </c>
      <c r="Y34" s="419">
        <f>_xlfn.IFNA(VLOOKUP(A34,[9]進出口值表查詢結果!$C$11:$F$68,3,0),-[4]整車!$B$22)</f>
        <v>0</v>
      </c>
      <c r="Z34" s="419">
        <f t="shared" si="3"/>
        <v>200</v>
      </c>
      <c r="AA34" s="419">
        <f t="shared" si="4"/>
        <v>26608</v>
      </c>
    </row>
    <row r="35" spans="1:27">
      <c r="A35" s="412"/>
      <c r="B35" s="413"/>
      <c r="C35" s="413"/>
      <c r="D35" s="413"/>
      <c r="E35" s="413"/>
      <c r="F35" s="413"/>
      <c r="G35" s="413"/>
      <c r="H35" s="413"/>
      <c r="I35" s="413"/>
      <c r="J35" s="406"/>
      <c r="K35" s="407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</row>
    <row r="36" spans="1:27">
      <c r="A36" s="425" t="s">
        <v>142</v>
      </c>
      <c r="B36" s="426">
        <f t="shared" ref="B36:Y36" si="5">B38+B68+B75</f>
        <v>79424</v>
      </c>
      <c r="C36" s="426">
        <f t="shared" si="5"/>
        <v>35612604</v>
      </c>
      <c r="D36" s="426">
        <f t="shared" si="5"/>
        <v>64213</v>
      </c>
      <c r="E36" s="426">
        <f t="shared" si="5"/>
        <v>30491608</v>
      </c>
      <c r="F36" s="426">
        <f t="shared" si="5"/>
        <v>54696</v>
      </c>
      <c r="G36" s="426">
        <f t="shared" si="5"/>
        <v>29542744</v>
      </c>
      <c r="H36" s="426">
        <f t="shared" si="5"/>
        <v>39009</v>
      </c>
      <c r="I36" s="426">
        <f t="shared" si="5"/>
        <v>19973565</v>
      </c>
      <c r="J36" s="427">
        <f t="shared" si="5"/>
        <v>44931</v>
      </c>
      <c r="K36" s="428">
        <f>K38+K68+K75</f>
        <v>28357229</v>
      </c>
      <c r="L36" s="426">
        <f t="shared" si="5"/>
        <v>51038</v>
      </c>
      <c r="M36" s="426">
        <f t="shared" si="5"/>
        <v>32305965</v>
      </c>
      <c r="N36" s="426">
        <f t="shared" si="5"/>
        <v>44856</v>
      </c>
      <c r="O36" s="426">
        <f t="shared" si="5"/>
        <v>35121669</v>
      </c>
      <c r="P36" s="426">
        <f t="shared" si="5"/>
        <v>69496</v>
      </c>
      <c r="Q36" s="426">
        <f t="shared" si="5"/>
        <v>46505146</v>
      </c>
      <c r="R36" s="426">
        <f t="shared" si="5"/>
        <v>46124</v>
      </c>
      <c r="S36" s="426">
        <f t="shared" si="5"/>
        <v>32297052</v>
      </c>
      <c r="T36" s="426">
        <f t="shared" si="5"/>
        <v>63488</v>
      </c>
      <c r="U36" s="426">
        <f t="shared" si="5"/>
        <v>38464858</v>
      </c>
      <c r="V36" s="426">
        <f>V38+V68+V75</f>
        <v>52331</v>
      </c>
      <c r="W36" s="426">
        <f>W38+W68+W75</f>
        <v>31078138</v>
      </c>
      <c r="X36" s="426">
        <f t="shared" si="5"/>
        <v>64845</v>
      </c>
      <c r="Y36" s="426">
        <f t="shared" si="5"/>
        <v>39655701</v>
      </c>
      <c r="Z36" s="426">
        <f>SUM(B36,D36,F36,H36,J36,L36,N36,P36,R36,T36,V36,X36)</f>
        <v>674451</v>
      </c>
      <c r="AA36" s="426">
        <f>SUM(C36,E36,G36,I36,K36,M36,O36,Q36,S36,U36,W36,Y36)</f>
        <v>399406279</v>
      </c>
    </row>
    <row r="37" spans="1:27">
      <c r="A37" s="412"/>
      <c r="B37" s="413"/>
      <c r="C37" s="413"/>
      <c r="D37" s="413"/>
      <c r="E37" s="413"/>
      <c r="F37" s="413"/>
      <c r="G37" s="413"/>
      <c r="H37" s="413"/>
      <c r="I37" s="413"/>
      <c r="J37" s="406"/>
      <c r="K37" s="407"/>
      <c r="L37" s="413"/>
      <c r="M37" s="413"/>
      <c r="N37" s="413"/>
      <c r="O37" s="413"/>
      <c r="P37" s="413"/>
      <c r="Q37" s="413"/>
      <c r="R37" s="413"/>
      <c r="S37" s="413"/>
      <c r="T37" s="413"/>
      <c r="U37" s="413"/>
      <c r="V37" s="413"/>
      <c r="W37" s="413"/>
      <c r="X37" s="413"/>
      <c r="Y37" s="413"/>
      <c r="Z37" s="413"/>
      <c r="AA37" s="413"/>
    </row>
    <row r="38" spans="1:27">
      <c r="A38" s="429" t="s">
        <v>9</v>
      </c>
      <c r="B38" s="430">
        <f t="shared" ref="B38:Y38" si="6">SUM(B39:B66)</f>
        <v>71602</v>
      </c>
      <c r="C38" s="430">
        <f t="shared" si="6"/>
        <v>31042061</v>
      </c>
      <c r="D38" s="430">
        <f t="shared" si="6"/>
        <v>57938</v>
      </c>
      <c r="E38" s="430">
        <f t="shared" si="6"/>
        <v>27066923</v>
      </c>
      <c r="F38" s="430">
        <f t="shared" si="6"/>
        <v>50036</v>
      </c>
      <c r="G38" s="430">
        <f t="shared" si="6"/>
        <v>26756451</v>
      </c>
      <c r="H38" s="430">
        <f t="shared" si="6"/>
        <v>35898</v>
      </c>
      <c r="I38" s="430">
        <f t="shared" si="6"/>
        <v>18239616</v>
      </c>
      <c r="J38" s="431">
        <f t="shared" si="6"/>
        <v>42641</v>
      </c>
      <c r="K38" s="432">
        <f>SUM(K39:K66)</f>
        <v>26690377</v>
      </c>
      <c r="L38" s="430">
        <f t="shared" si="6"/>
        <v>48143</v>
      </c>
      <c r="M38" s="430">
        <f t="shared" si="6"/>
        <v>30331535</v>
      </c>
      <c r="N38" s="430">
        <f t="shared" si="6"/>
        <v>41659</v>
      </c>
      <c r="O38" s="430">
        <f t="shared" si="6"/>
        <v>32356018</v>
      </c>
      <c r="P38" s="430">
        <f t="shared" si="6"/>
        <v>67372</v>
      </c>
      <c r="Q38" s="430">
        <f t="shared" si="6"/>
        <v>44304841</v>
      </c>
      <c r="R38" s="430">
        <f t="shared" si="6"/>
        <v>44242</v>
      </c>
      <c r="S38" s="430">
        <f t="shared" si="6"/>
        <v>30263800</v>
      </c>
      <c r="T38" s="430">
        <f t="shared" si="6"/>
        <v>58319</v>
      </c>
      <c r="U38" s="430">
        <f t="shared" si="6"/>
        <v>35452809</v>
      </c>
      <c r="V38" s="430">
        <f>SUM(V39:V66)</f>
        <v>49253</v>
      </c>
      <c r="W38" s="430">
        <f>SUM(W39:W66)</f>
        <v>28348880</v>
      </c>
      <c r="X38" s="430">
        <f t="shared" si="6"/>
        <v>58138</v>
      </c>
      <c r="Y38" s="430">
        <f t="shared" si="6"/>
        <v>33913506</v>
      </c>
      <c r="Z38" s="430">
        <f t="shared" ref="Z38:Z66" si="7">SUM(B38,D38,F38,H38,J38,L38,N38,P38,R38,T38,V38,X38)</f>
        <v>625241</v>
      </c>
      <c r="AA38" s="430">
        <f t="shared" ref="AA38:AA66" si="8">SUM(C38,E38,G38,I38,K38,M38,O38,Q38,S38,U38,W38,Y38)</f>
        <v>364766817</v>
      </c>
    </row>
    <row r="39" spans="1:27">
      <c r="A39" s="456" t="s">
        <v>162</v>
      </c>
      <c r="B39" s="419">
        <v>9455</v>
      </c>
      <c r="C39" s="419">
        <v>8098805</v>
      </c>
      <c r="D39" s="419">
        <v>5899</v>
      </c>
      <c r="E39" s="419">
        <v>4489009</v>
      </c>
      <c r="F39" s="419">
        <v>11184</v>
      </c>
      <c r="G39" s="419">
        <v>11101791</v>
      </c>
      <c r="H39" s="419">
        <v>7475</v>
      </c>
      <c r="I39" s="419">
        <v>8873601</v>
      </c>
      <c r="J39" s="420">
        <v>12869</v>
      </c>
      <c r="K39" s="421">
        <v>13913534</v>
      </c>
      <c r="L39" s="419">
        <v>14682</v>
      </c>
      <c r="M39" s="419">
        <v>14178313</v>
      </c>
      <c r="N39" s="419">
        <v>14082</v>
      </c>
      <c r="O39" s="419">
        <v>14946790</v>
      </c>
      <c r="P39" s="419">
        <v>17288</v>
      </c>
      <c r="Q39" s="419">
        <v>20932370</v>
      </c>
      <c r="R39" s="419">
        <v>13841</v>
      </c>
      <c r="S39" s="419">
        <v>14623372</v>
      </c>
      <c r="T39" s="419">
        <v>14781</v>
      </c>
      <c r="U39" s="419">
        <v>14961515</v>
      </c>
      <c r="V39" s="419">
        <f>_xlfn.IFNA(VLOOKUP(A39,[8]進出口值表查詢結果!$C$11:$F$68,4,0),-[4]整車!$B$22)</f>
        <v>14525</v>
      </c>
      <c r="W39" s="419">
        <f>_xlfn.IFNA(VLOOKUP(A39,[8]進出口值表查詢結果!$C$11:$F$68,3,0),-[4]整車!$B$22)</f>
        <v>13590883</v>
      </c>
      <c r="X39" s="419">
        <f>_xlfn.IFNA(VLOOKUP(A39,[9]進出口值表查詢結果!$C$11:$F$68,4,0),-[4]整車!$B$22)</f>
        <v>15792</v>
      </c>
      <c r="Y39" s="419">
        <f>_xlfn.IFNA(VLOOKUP(A39,[9]進出口值表查詢結果!$C$11:$F$68,3,0),-[4]整車!$B$22)</f>
        <v>15201155</v>
      </c>
      <c r="Z39" s="413">
        <f t="shared" si="7"/>
        <v>151873</v>
      </c>
      <c r="AA39" s="413">
        <f t="shared" si="8"/>
        <v>154911138</v>
      </c>
    </row>
    <row r="40" spans="1:27">
      <c r="A40" s="456" t="s">
        <v>165</v>
      </c>
      <c r="B40" s="419">
        <v>6408</v>
      </c>
      <c r="C40" s="419">
        <v>3502900</v>
      </c>
      <c r="D40" s="419">
        <v>12057</v>
      </c>
      <c r="E40" s="419">
        <v>3128315</v>
      </c>
      <c r="F40" s="419">
        <v>8271</v>
      </c>
      <c r="G40" s="419">
        <v>2563956</v>
      </c>
      <c r="H40" s="419">
        <v>4864</v>
      </c>
      <c r="I40" s="419">
        <v>1321695</v>
      </c>
      <c r="J40" s="420">
        <v>2458</v>
      </c>
      <c r="K40" s="421">
        <v>672571</v>
      </c>
      <c r="L40" s="419">
        <v>2556</v>
      </c>
      <c r="M40" s="419">
        <v>1168366</v>
      </c>
      <c r="N40" s="419">
        <v>4316</v>
      </c>
      <c r="O40" s="419">
        <v>1533943</v>
      </c>
      <c r="P40" s="419">
        <v>4965</v>
      </c>
      <c r="Q40" s="419">
        <v>2104096</v>
      </c>
      <c r="R40" s="419">
        <v>3366</v>
      </c>
      <c r="S40" s="419">
        <v>1847351</v>
      </c>
      <c r="T40" s="419">
        <v>3654</v>
      </c>
      <c r="U40" s="419">
        <v>1456075</v>
      </c>
      <c r="V40" s="419">
        <f>_xlfn.IFNA(VLOOKUP(A40,[8]進出口值表查詢結果!$C$11:$F$68,4,0),-[4]整車!$B$22)</f>
        <v>5797</v>
      </c>
      <c r="W40" s="419">
        <f>_xlfn.IFNA(VLOOKUP(A40,[8]進出口值表查詢結果!$C$11:$F$68,3,0),-[4]整車!$B$22)</f>
        <v>1411961</v>
      </c>
      <c r="X40" s="419">
        <f>_xlfn.IFNA(VLOOKUP(A40,[9]進出口值表查詢結果!$C$11:$F$68,4,0),-[4]整車!$B$22)</f>
        <v>5920</v>
      </c>
      <c r="Y40" s="419">
        <f>_xlfn.IFNA(VLOOKUP(A40,[9]進出口值表查詢結果!$C$11:$F$68,3,0),-[4]整車!$B$22)</f>
        <v>1991602</v>
      </c>
      <c r="Z40" s="413">
        <f t="shared" si="7"/>
        <v>64632</v>
      </c>
      <c r="AA40" s="413">
        <f t="shared" si="8"/>
        <v>22702831</v>
      </c>
    </row>
    <row r="41" spans="1:27">
      <c r="A41" s="456" t="s">
        <v>179</v>
      </c>
      <c r="B41" s="419">
        <v>1316</v>
      </c>
      <c r="C41" s="419">
        <v>717427</v>
      </c>
      <c r="D41" s="419">
        <v>911</v>
      </c>
      <c r="E41" s="419">
        <v>709326</v>
      </c>
      <c r="F41" s="419">
        <v>1777</v>
      </c>
      <c r="G41" s="419">
        <v>1217722</v>
      </c>
      <c r="H41" s="419">
        <v>547</v>
      </c>
      <c r="I41" s="419">
        <v>1236471</v>
      </c>
      <c r="J41" s="420">
        <v>504</v>
      </c>
      <c r="K41" s="421">
        <v>997393</v>
      </c>
      <c r="L41" s="419">
        <v>1828</v>
      </c>
      <c r="M41" s="419">
        <v>1782072</v>
      </c>
      <c r="N41" s="419">
        <v>858</v>
      </c>
      <c r="O41" s="419">
        <v>1473021</v>
      </c>
      <c r="P41" s="419">
        <v>1248</v>
      </c>
      <c r="Q41" s="419">
        <v>1567705</v>
      </c>
      <c r="R41" s="419">
        <v>1489</v>
      </c>
      <c r="S41" s="419">
        <v>1445890</v>
      </c>
      <c r="T41" s="419">
        <v>1319</v>
      </c>
      <c r="U41" s="419">
        <v>1108193</v>
      </c>
      <c r="V41" s="419">
        <f>_xlfn.IFNA(VLOOKUP(A41,[8]進出口值表查詢結果!$C$11:$F$68,4,0),-[4]整車!$B$22)</f>
        <v>1769</v>
      </c>
      <c r="W41" s="419">
        <f>_xlfn.IFNA(VLOOKUP(A41,[8]進出口值表查詢結果!$C$11:$F$68,3,0),-[4]整車!$B$22)</f>
        <v>798510</v>
      </c>
      <c r="X41" s="419">
        <f>_xlfn.IFNA(VLOOKUP(A41,[9]進出口值表查詢結果!$C$11:$F$68,4,0),-[4]整車!$B$22)</f>
        <v>2665</v>
      </c>
      <c r="Y41" s="419">
        <f>_xlfn.IFNA(VLOOKUP(A41,[9]進出口值表查詢結果!$C$11:$F$68,3,0),-[4]整車!$B$22)</f>
        <v>1213680</v>
      </c>
      <c r="Z41" s="413">
        <f t="shared" si="7"/>
        <v>16231</v>
      </c>
      <c r="AA41" s="413">
        <f t="shared" si="8"/>
        <v>14267410</v>
      </c>
    </row>
    <row r="42" spans="1:27">
      <c r="A42" s="456" t="s">
        <v>163</v>
      </c>
      <c r="B42" s="419">
        <v>17706</v>
      </c>
      <c r="C42" s="419">
        <v>5035525</v>
      </c>
      <c r="D42" s="419">
        <v>6240</v>
      </c>
      <c r="E42" s="419">
        <v>3784977</v>
      </c>
      <c r="F42" s="419">
        <v>9566</v>
      </c>
      <c r="G42" s="419">
        <v>2935879</v>
      </c>
      <c r="H42" s="419">
        <v>6503</v>
      </c>
      <c r="I42" s="419">
        <v>3044684</v>
      </c>
      <c r="J42" s="420">
        <v>5112</v>
      </c>
      <c r="K42" s="421">
        <v>3224993</v>
      </c>
      <c r="L42" s="419">
        <v>13471</v>
      </c>
      <c r="M42" s="419">
        <v>4417423</v>
      </c>
      <c r="N42" s="419">
        <v>11009</v>
      </c>
      <c r="O42" s="419">
        <v>4729278</v>
      </c>
      <c r="P42" s="419">
        <v>33998</v>
      </c>
      <c r="Q42" s="419">
        <v>11641642</v>
      </c>
      <c r="R42" s="419">
        <v>15962</v>
      </c>
      <c r="S42" s="419">
        <v>6253943</v>
      </c>
      <c r="T42" s="419">
        <v>18510</v>
      </c>
      <c r="U42" s="419">
        <v>8270668</v>
      </c>
      <c r="V42" s="419">
        <f>_xlfn.IFNA(VLOOKUP(A42,[8]進出口值表查詢結果!$C$11:$F$68,4,0),-[4]整車!$B$22)</f>
        <v>12194</v>
      </c>
      <c r="W42" s="419">
        <f>_xlfn.IFNA(VLOOKUP(A42,[8]進出口值表查詢結果!$C$11:$F$68,3,0),-[4]整車!$B$22)</f>
        <v>5955460</v>
      </c>
      <c r="X42" s="419">
        <f>_xlfn.IFNA(VLOOKUP(A42,[9]進出口值表查詢結果!$C$11:$F$68,4,0),-[4]整車!$B$22)</f>
        <v>14217</v>
      </c>
      <c r="Y42" s="419">
        <f>_xlfn.IFNA(VLOOKUP(A42,[9]進出口值表查詢結果!$C$11:$F$68,3,0),-[4]整車!$B$22)</f>
        <v>5372669</v>
      </c>
      <c r="Z42" s="413">
        <f t="shared" si="7"/>
        <v>164488</v>
      </c>
      <c r="AA42" s="413">
        <f t="shared" si="8"/>
        <v>64667141</v>
      </c>
    </row>
    <row r="43" spans="1:27">
      <c r="A43" s="456" t="s">
        <v>171</v>
      </c>
      <c r="B43" s="419">
        <v>1251</v>
      </c>
      <c r="C43" s="419">
        <v>1143718</v>
      </c>
      <c r="D43" s="419">
        <v>1214</v>
      </c>
      <c r="E43" s="419">
        <v>1514756</v>
      </c>
      <c r="F43" s="419">
        <v>1275</v>
      </c>
      <c r="G43" s="419">
        <v>1300366</v>
      </c>
      <c r="H43" s="419">
        <v>85</v>
      </c>
      <c r="I43" s="419">
        <v>106062</v>
      </c>
      <c r="J43" s="420">
        <v>889</v>
      </c>
      <c r="K43" s="421">
        <v>1214599</v>
      </c>
      <c r="L43" s="419">
        <v>1601</v>
      </c>
      <c r="M43" s="419">
        <v>1668970</v>
      </c>
      <c r="N43" s="419">
        <v>925</v>
      </c>
      <c r="O43" s="419">
        <v>1104904</v>
      </c>
      <c r="P43" s="419">
        <v>519</v>
      </c>
      <c r="Q43" s="419">
        <v>835276</v>
      </c>
      <c r="R43" s="419">
        <v>1150</v>
      </c>
      <c r="S43" s="419">
        <v>1209512</v>
      </c>
      <c r="T43" s="419">
        <v>2343</v>
      </c>
      <c r="U43" s="419">
        <v>2166095</v>
      </c>
      <c r="V43" s="419">
        <f>_xlfn.IFNA(VLOOKUP(A43,[8]進出口值表查詢結果!$C$11:$F$68,4,0),-[4]整車!$B$22)</f>
        <v>1094</v>
      </c>
      <c r="W43" s="419">
        <f>_xlfn.IFNA(VLOOKUP(A43,[8]進出口值表查詢結果!$C$11:$F$68,3,0),-[4]整車!$B$22)</f>
        <v>1193068</v>
      </c>
      <c r="X43" s="419">
        <f>_xlfn.IFNA(VLOOKUP(A43,[9]進出口值表查詢結果!$C$11:$F$68,4,0),-[4]整車!$B$22)</f>
        <v>680</v>
      </c>
      <c r="Y43" s="419">
        <f>_xlfn.IFNA(VLOOKUP(A43,[9]進出口值表查詢結果!$C$11:$F$68,3,0),-[4]整車!$B$22)</f>
        <v>895521</v>
      </c>
      <c r="Z43" s="413">
        <f t="shared" si="7"/>
        <v>13026</v>
      </c>
      <c r="AA43" s="413">
        <f t="shared" si="8"/>
        <v>14352847</v>
      </c>
    </row>
    <row r="44" spans="1:27">
      <c r="A44" s="418" t="s">
        <v>252</v>
      </c>
      <c r="B44" s="419">
        <v>1462</v>
      </c>
      <c r="C44" s="419">
        <v>1150648</v>
      </c>
      <c r="D44" s="419">
        <v>1170</v>
      </c>
      <c r="E44" s="419">
        <v>1065890</v>
      </c>
      <c r="F44" s="419">
        <v>328</v>
      </c>
      <c r="G44" s="419">
        <v>441720</v>
      </c>
      <c r="H44" s="419">
        <v>198</v>
      </c>
      <c r="I44" s="419">
        <v>604272</v>
      </c>
      <c r="J44" s="420">
        <v>824</v>
      </c>
      <c r="K44" s="421">
        <v>1298798</v>
      </c>
      <c r="L44" s="419">
        <v>1079</v>
      </c>
      <c r="M44" s="419">
        <v>1208211</v>
      </c>
      <c r="N44" s="419">
        <v>807</v>
      </c>
      <c r="O44" s="419">
        <v>1002195</v>
      </c>
      <c r="P44" s="419">
        <v>796</v>
      </c>
      <c r="Q44" s="419">
        <v>1264047</v>
      </c>
      <c r="R44" s="419">
        <v>605</v>
      </c>
      <c r="S44" s="419">
        <v>956624</v>
      </c>
      <c r="T44" s="419">
        <v>1343</v>
      </c>
      <c r="U44" s="419">
        <v>1450743</v>
      </c>
      <c r="V44" s="419">
        <f>_xlfn.IFNA(VLOOKUP(A44,[8]進出口值表查詢結果!$C$11:$F$68,4,0),-[4]整車!$B$22)</f>
        <v>1030</v>
      </c>
      <c r="W44" s="419">
        <f>_xlfn.IFNA(VLOOKUP(A44,[8]進出口值表查詢結果!$C$11:$F$68,3,0),-[4]整車!$B$22)</f>
        <v>1221871</v>
      </c>
      <c r="X44" s="419">
        <f>_xlfn.IFNA(VLOOKUP(A44,[9]進出口值表查詢結果!$C$11:$F$68,4,0),-[4]整車!$B$22)</f>
        <v>1914</v>
      </c>
      <c r="Y44" s="419">
        <f>_xlfn.IFNA(VLOOKUP(A44,[9]進出口值表查詢結果!$C$11:$F$68,3,0),-[4]整車!$B$22)</f>
        <v>2462982</v>
      </c>
      <c r="Z44" s="413">
        <f t="shared" si="7"/>
        <v>11556</v>
      </c>
      <c r="AA44" s="413">
        <f t="shared" si="8"/>
        <v>14128001</v>
      </c>
    </row>
    <row r="45" spans="1:27">
      <c r="A45" s="456" t="s">
        <v>189</v>
      </c>
      <c r="B45" s="419">
        <v>8259</v>
      </c>
      <c r="C45" s="419">
        <v>7055116</v>
      </c>
      <c r="D45" s="419">
        <v>7827</v>
      </c>
      <c r="E45" s="419">
        <v>8311625</v>
      </c>
      <c r="F45" s="419">
        <v>5451</v>
      </c>
      <c r="G45" s="419">
        <v>4815102</v>
      </c>
      <c r="H45" s="419">
        <v>1437</v>
      </c>
      <c r="I45" s="419">
        <v>897615</v>
      </c>
      <c r="J45" s="420">
        <v>6587</v>
      </c>
      <c r="K45" s="421">
        <v>3549849</v>
      </c>
      <c r="L45" s="419">
        <v>5956</v>
      </c>
      <c r="M45" s="419">
        <v>4372019</v>
      </c>
      <c r="N45" s="419">
        <v>6178</v>
      </c>
      <c r="O45" s="419">
        <v>5869574</v>
      </c>
      <c r="P45" s="419">
        <v>5911</v>
      </c>
      <c r="Q45" s="419">
        <v>4858793</v>
      </c>
      <c r="R45" s="419">
        <v>4741</v>
      </c>
      <c r="S45" s="419">
        <v>2750680</v>
      </c>
      <c r="T45" s="419">
        <v>8165</v>
      </c>
      <c r="U45" s="419">
        <v>3665783</v>
      </c>
      <c r="V45" s="419">
        <f>_xlfn.IFNA(VLOOKUP(A45,[8]進出口值表查詢結果!$C$11:$F$68,4,0),-[4]整車!$B$22)</f>
        <v>4599</v>
      </c>
      <c r="W45" s="419">
        <f>_xlfn.IFNA(VLOOKUP(A45,[8]進出口值表查詢結果!$C$11:$F$68,3,0),-[4]整車!$B$22)</f>
        <v>2448875</v>
      </c>
      <c r="X45" s="419">
        <f>_xlfn.IFNA(VLOOKUP(A45,[9]進出口值表查詢結果!$C$11:$F$68,4,0),-[4]整車!$B$22)</f>
        <v>6519</v>
      </c>
      <c r="Y45" s="419">
        <f>_xlfn.IFNA(VLOOKUP(A45,[9]進出口值表查詢結果!$C$11:$F$68,3,0),-[4]整車!$B$22)</f>
        <v>4708366</v>
      </c>
      <c r="Z45" s="413">
        <f t="shared" si="7"/>
        <v>71630</v>
      </c>
      <c r="AA45" s="413">
        <f t="shared" si="8"/>
        <v>53303397</v>
      </c>
    </row>
    <row r="46" spans="1:27">
      <c r="A46" s="456" t="s">
        <v>166</v>
      </c>
      <c r="B46" s="419">
        <v>2698</v>
      </c>
      <c r="C46" s="419">
        <v>337022</v>
      </c>
      <c r="D46" s="419">
        <v>4227</v>
      </c>
      <c r="E46" s="419">
        <v>590807</v>
      </c>
      <c r="F46" s="419">
        <v>1385</v>
      </c>
      <c r="G46" s="419">
        <v>364355</v>
      </c>
      <c r="H46" s="419">
        <v>2867</v>
      </c>
      <c r="I46" s="419">
        <v>160451</v>
      </c>
      <c r="J46" s="420">
        <v>493</v>
      </c>
      <c r="K46" s="421">
        <v>68059</v>
      </c>
      <c r="L46" s="419">
        <v>3511</v>
      </c>
      <c r="M46" s="419">
        <v>345274</v>
      </c>
      <c r="N46" s="433">
        <v>616</v>
      </c>
      <c r="O46" s="433">
        <v>145435</v>
      </c>
      <c r="P46" s="419">
        <v>252</v>
      </c>
      <c r="Q46" s="419">
        <v>50525</v>
      </c>
      <c r="R46" s="419">
        <v>1078</v>
      </c>
      <c r="S46" s="419">
        <v>229756</v>
      </c>
      <c r="T46" s="419">
        <v>2600</v>
      </c>
      <c r="U46" s="419">
        <v>425508</v>
      </c>
      <c r="V46" s="419">
        <f>_xlfn.IFNA(VLOOKUP(A46,[8]進出口值表查詢結果!$C$11:$F$68,4,0),-[4]整車!$B$22)</f>
        <v>2376</v>
      </c>
      <c r="W46" s="419">
        <f>_xlfn.IFNA(VLOOKUP(A46,[8]進出口值表查詢結果!$C$11:$F$68,3,0),-[4]整車!$B$22)</f>
        <v>357540</v>
      </c>
      <c r="X46" s="419">
        <f>_xlfn.IFNA(VLOOKUP(A46,[9]進出口值表查詢結果!$C$11:$F$68,4,0),-[4]整車!$B$22)</f>
        <v>3399</v>
      </c>
      <c r="Y46" s="419">
        <f>_xlfn.IFNA(VLOOKUP(A46,[9]進出口值表查詢結果!$C$11:$F$68,3,0),-[4]整車!$B$22)</f>
        <v>252100</v>
      </c>
      <c r="Z46" s="413">
        <f t="shared" si="7"/>
        <v>25502</v>
      </c>
      <c r="AA46" s="413">
        <f t="shared" si="8"/>
        <v>3326832</v>
      </c>
    </row>
    <row r="47" spans="1:27">
      <c r="A47" s="456" t="s">
        <v>192</v>
      </c>
      <c r="B47" s="419">
        <v>0</v>
      </c>
      <c r="C47" s="419">
        <v>0</v>
      </c>
      <c r="D47" s="419"/>
      <c r="E47" s="419"/>
      <c r="F47" s="419">
        <v>0</v>
      </c>
      <c r="G47" s="419"/>
      <c r="H47" s="419">
        <v>0</v>
      </c>
      <c r="I47" s="419">
        <v>0</v>
      </c>
      <c r="J47" s="420">
        <v>17</v>
      </c>
      <c r="K47" s="421">
        <v>30939</v>
      </c>
      <c r="L47" s="419">
        <v>0</v>
      </c>
      <c r="M47" s="419">
        <v>0</v>
      </c>
      <c r="N47" s="419">
        <v>0</v>
      </c>
      <c r="O47" s="419">
        <v>0</v>
      </c>
      <c r="P47" s="419">
        <v>0</v>
      </c>
      <c r="Q47" s="419">
        <v>0</v>
      </c>
      <c r="R47" s="419">
        <v>0</v>
      </c>
      <c r="S47" s="419">
        <v>0</v>
      </c>
      <c r="T47" s="419"/>
      <c r="U47" s="419"/>
      <c r="V47" s="419">
        <f>_xlfn.IFNA(VLOOKUP(A47,[8]進出口值表查詢結果!$C$11:$F$68,4,0),-[4]整車!$B$22)</f>
        <v>13</v>
      </c>
      <c r="W47" s="419">
        <f>_xlfn.IFNA(VLOOKUP(A47,[8]進出口值表查詢結果!$C$11:$F$68,3,0),-[4]整車!$B$22)</f>
        <v>30641</v>
      </c>
      <c r="X47" s="419">
        <f>_xlfn.IFNA(VLOOKUP(A47,[9]進出口值表查詢結果!$C$11:$F$68,4,0),-[4]整車!$B$22)</f>
        <v>0</v>
      </c>
      <c r="Y47" s="419">
        <f>_xlfn.IFNA(VLOOKUP(A47,[9]進出口值表查詢結果!$C$11:$F$68,3,0),-[4]整車!$B$22)</f>
        <v>0</v>
      </c>
      <c r="Z47" s="413">
        <f t="shared" si="7"/>
        <v>30</v>
      </c>
      <c r="AA47" s="413">
        <f t="shared" si="8"/>
        <v>61580</v>
      </c>
    </row>
    <row r="48" spans="1:27">
      <c r="A48" s="456" t="s">
        <v>255</v>
      </c>
      <c r="B48" s="419">
        <v>1496</v>
      </c>
      <c r="C48" s="419">
        <v>75974</v>
      </c>
      <c r="D48" s="419">
        <v>887</v>
      </c>
      <c r="E48" s="419">
        <v>76782</v>
      </c>
      <c r="F48" s="419">
        <v>282</v>
      </c>
      <c r="G48" s="419">
        <v>34683</v>
      </c>
      <c r="H48" s="419">
        <v>243</v>
      </c>
      <c r="I48" s="419">
        <v>59854</v>
      </c>
      <c r="J48" s="420">
        <v>2854</v>
      </c>
      <c r="K48" s="421">
        <v>111627</v>
      </c>
      <c r="L48" s="419">
        <v>292</v>
      </c>
      <c r="M48" s="419">
        <v>40717</v>
      </c>
      <c r="N48" s="433">
        <v>50</v>
      </c>
      <c r="O48" s="433">
        <v>7437</v>
      </c>
      <c r="P48" s="419">
        <v>0</v>
      </c>
      <c r="Q48" s="419">
        <v>0</v>
      </c>
      <c r="R48" s="419">
        <v>63</v>
      </c>
      <c r="S48" s="419">
        <v>7337</v>
      </c>
      <c r="T48" s="419">
        <v>110</v>
      </c>
      <c r="U48" s="419">
        <v>19242</v>
      </c>
      <c r="V48" s="419">
        <f>_xlfn.IFNA(VLOOKUP(A48,[8]進出口值表查詢結果!$C$11:$F$68,4,0),-[4]整車!$B$22)</f>
        <v>2810</v>
      </c>
      <c r="W48" s="419">
        <f>_xlfn.IFNA(VLOOKUP(A48,[8]進出口值表查詢結果!$C$11:$F$68,3,0),-[4]整車!$B$22)</f>
        <v>115217</v>
      </c>
      <c r="X48" s="419">
        <f>_xlfn.IFNA(VLOOKUP(A48,[9]進出口值表查詢結果!$C$11:$F$68,4,0),-[4]整車!$B$22)</f>
        <v>233</v>
      </c>
      <c r="Y48" s="419">
        <f>_xlfn.IFNA(VLOOKUP(A48,[9]進出口值表查詢結果!$C$11:$F$68,3,0),-[4]整車!$B$22)</f>
        <v>49405</v>
      </c>
      <c r="Z48" s="413">
        <f t="shared" si="7"/>
        <v>9320</v>
      </c>
      <c r="AA48" s="413">
        <f t="shared" si="8"/>
        <v>598275</v>
      </c>
    </row>
    <row r="49" spans="1:27">
      <c r="A49" s="456" t="s">
        <v>195</v>
      </c>
      <c r="B49" s="419">
        <v>0</v>
      </c>
      <c r="C49" s="419">
        <v>0</v>
      </c>
      <c r="D49" s="419"/>
      <c r="E49" s="419"/>
      <c r="F49" s="419">
        <v>0</v>
      </c>
      <c r="G49" s="419"/>
      <c r="H49" s="419">
        <v>0</v>
      </c>
      <c r="I49" s="419">
        <v>0</v>
      </c>
      <c r="J49" s="420" t="s">
        <v>59</v>
      </c>
      <c r="K49" s="423" t="s">
        <v>59</v>
      </c>
      <c r="L49" s="419">
        <v>0</v>
      </c>
      <c r="M49" s="419">
        <v>0</v>
      </c>
      <c r="N49" s="419">
        <v>0</v>
      </c>
      <c r="O49" s="419">
        <v>0</v>
      </c>
      <c r="P49" s="419">
        <v>1103</v>
      </c>
      <c r="Q49" s="419">
        <v>149812</v>
      </c>
      <c r="R49" s="419">
        <v>0</v>
      </c>
      <c r="S49" s="419">
        <v>0</v>
      </c>
      <c r="T49" s="419">
        <v>1020</v>
      </c>
      <c r="U49" s="419">
        <v>82719</v>
      </c>
      <c r="V49" s="419">
        <f>_xlfn.IFNA(VLOOKUP(A49,[8]進出口值表查詢結果!$C$11:$F$68,4,0),-[4]整車!$B$22)</f>
        <v>250</v>
      </c>
      <c r="W49" s="419">
        <f>_xlfn.IFNA(VLOOKUP(A49,[8]進出口值表查詢結果!$C$11:$F$68,3,0),-[4]整車!$B$22)</f>
        <v>40485</v>
      </c>
      <c r="X49" s="419">
        <f>_xlfn.IFNA(VLOOKUP(A49,[9]進出口值表查詢結果!$C$11:$F$68,4,0),-[4]整車!$B$22)</f>
        <v>0</v>
      </c>
      <c r="Y49" s="419">
        <f>_xlfn.IFNA(VLOOKUP(A49,[9]進出口值表查詢結果!$C$11:$F$68,3,0),-[4]整車!$B$22)</f>
        <v>0</v>
      </c>
      <c r="Z49" s="413">
        <f t="shared" si="7"/>
        <v>2373</v>
      </c>
      <c r="AA49" s="413">
        <f t="shared" si="8"/>
        <v>273016</v>
      </c>
    </row>
    <row r="50" spans="1:27">
      <c r="A50" s="456" t="s">
        <v>256</v>
      </c>
      <c r="B50" s="419">
        <v>0</v>
      </c>
      <c r="C50" s="419">
        <v>0</v>
      </c>
      <c r="D50" s="419"/>
      <c r="E50" s="419"/>
      <c r="F50" s="419">
        <v>41</v>
      </c>
      <c r="G50" s="419">
        <v>46233</v>
      </c>
      <c r="H50" s="419">
        <v>0</v>
      </c>
      <c r="I50" s="419">
        <v>0</v>
      </c>
      <c r="J50" s="420">
        <v>78</v>
      </c>
      <c r="K50" s="423">
        <v>136719</v>
      </c>
      <c r="L50" s="419">
        <v>73</v>
      </c>
      <c r="M50" s="419">
        <v>111226</v>
      </c>
      <c r="N50" s="433">
        <v>42</v>
      </c>
      <c r="O50" s="433">
        <v>82995</v>
      </c>
      <c r="P50" s="419">
        <v>76</v>
      </c>
      <c r="Q50" s="419">
        <v>189800</v>
      </c>
      <c r="R50" s="419">
        <v>3</v>
      </c>
      <c r="S50" s="419">
        <v>18037</v>
      </c>
      <c r="T50" s="419"/>
      <c r="U50" s="419"/>
      <c r="V50" s="419">
        <f>_xlfn.IFNA(VLOOKUP(A50,[8]進出口值表查詢結果!$C$11:$F$68,4,0),-[4]整車!$B$22)</f>
        <v>0</v>
      </c>
      <c r="W50" s="419">
        <f>_xlfn.IFNA(VLOOKUP(A50,[8]進出口值表查詢結果!$C$11:$F$68,3,0),-[4]整車!$B$22)</f>
        <v>0</v>
      </c>
      <c r="X50" s="419">
        <f>_xlfn.IFNA(VLOOKUP(A50,[9]進出口值表查詢結果!$C$11:$F$68,4,0),-[4]整車!$B$22)</f>
        <v>0</v>
      </c>
      <c r="Y50" s="419">
        <f>_xlfn.IFNA(VLOOKUP(A50,[9]進出口值表查詢結果!$C$11:$F$68,3,0),-[4]整車!$B$22)</f>
        <v>0</v>
      </c>
      <c r="Z50" s="413">
        <f t="shared" si="7"/>
        <v>313</v>
      </c>
      <c r="AA50" s="413">
        <f t="shared" si="8"/>
        <v>585010</v>
      </c>
    </row>
    <row r="51" spans="1:27">
      <c r="A51" s="456" t="s">
        <v>187</v>
      </c>
      <c r="B51" s="419">
        <v>201</v>
      </c>
      <c r="C51" s="419">
        <v>272709</v>
      </c>
      <c r="D51" s="419"/>
      <c r="E51" s="419"/>
      <c r="F51" s="419">
        <v>0</v>
      </c>
      <c r="G51" s="419"/>
      <c r="H51" s="419">
        <v>32</v>
      </c>
      <c r="I51" s="419">
        <v>33620</v>
      </c>
      <c r="J51" s="420">
        <v>101</v>
      </c>
      <c r="K51" s="423">
        <v>102138</v>
      </c>
      <c r="L51" s="419">
        <v>63</v>
      </c>
      <c r="M51" s="419">
        <v>100302</v>
      </c>
      <c r="N51" s="433">
        <v>9</v>
      </c>
      <c r="O51" s="433">
        <v>13320</v>
      </c>
      <c r="P51" s="419">
        <v>0</v>
      </c>
      <c r="Q51" s="419">
        <v>0</v>
      </c>
      <c r="R51" s="419">
        <v>78</v>
      </c>
      <c r="S51" s="419">
        <v>157745</v>
      </c>
      <c r="T51" s="419"/>
      <c r="U51" s="419"/>
      <c r="V51" s="419">
        <f>_xlfn.IFNA(VLOOKUP(A51,[8]進出口值表查詢結果!$C$11:$F$68,4,0),-[4]整車!$B$22)</f>
        <v>149</v>
      </c>
      <c r="W51" s="419">
        <f>_xlfn.IFNA(VLOOKUP(A51,[8]進出口值表查詢結果!$C$11:$F$68,3,0),-[4]整車!$B$22)</f>
        <v>101179</v>
      </c>
      <c r="X51" s="419">
        <f>_xlfn.IFNA(VLOOKUP(A51,[9]進出口值表查詢結果!$C$11:$F$68,4,0),-[4]整車!$B$22)</f>
        <v>177</v>
      </c>
      <c r="Y51" s="419">
        <f>_xlfn.IFNA(VLOOKUP(A51,[9]進出口值表查詢結果!$C$11:$F$68,3,0),-[4]整車!$B$22)</f>
        <v>208957</v>
      </c>
      <c r="Z51" s="413">
        <f t="shared" si="7"/>
        <v>810</v>
      </c>
      <c r="AA51" s="413">
        <f t="shared" si="8"/>
        <v>989970</v>
      </c>
    </row>
    <row r="52" spans="1:27">
      <c r="A52" s="456" t="s">
        <v>258</v>
      </c>
      <c r="B52" s="419">
        <v>14850</v>
      </c>
      <c r="C52" s="419">
        <v>1819825</v>
      </c>
      <c r="D52" s="419">
        <v>10994</v>
      </c>
      <c r="E52" s="419">
        <v>1791539</v>
      </c>
      <c r="F52" s="419">
        <v>5163</v>
      </c>
      <c r="G52" s="419">
        <v>792431</v>
      </c>
      <c r="H52" s="419">
        <v>8731</v>
      </c>
      <c r="I52" s="419">
        <v>1291818</v>
      </c>
      <c r="J52" s="420">
        <v>8229</v>
      </c>
      <c r="K52" s="421">
        <v>909253</v>
      </c>
      <c r="L52" s="419">
        <v>1974</v>
      </c>
      <c r="M52" s="419">
        <v>362668</v>
      </c>
      <c r="N52" s="433">
        <v>1030</v>
      </c>
      <c r="O52" s="433">
        <v>144084</v>
      </c>
      <c r="P52" s="419">
        <v>637</v>
      </c>
      <c r="Q52" s="419">
        <v>148186</v>
      </c>
      <c r="R52" s="419">
        <v>0</v>
      </c>
      <c r="S52" s="419">
        <v>0</v>
      </c>
      <c r="T52" s="419">
        <v>492</v>
      </c>
      <c r="U52" s="419">
        <v>276110</v>
      </c>
      <c r="V52" s="419">
        <f>_xlfn.IFNA(VLOOKUP(A52,[8]進出口值表查詢結果!$C$11:$F$68,4,0),-[4]整車!$B$22)</f>
        <v>373</v>
      </c>
      <c r="W52" s="419">
        <f>_xlfn.IFNA(VLOOKUP(A52,[8]進出口值表查詢結果!$C$11:$F$68,3,0),-[4]整車!$B$22)</f>
        <v>210711</v>
      </c>
      <c r="X52" s="419">
        <f>_xlfn.IFNA(VLOOKUP(A52,[9]進出口值表查詢結果!$C$11:$F$68,4,0),-[4]整車!$B$22)</f>
        <v>255</v>
      </c>
      <c r="Y52" s="419">
        <f>_xlfn.IFNA(VLOOKUP(A52,[9]進出口值表查詢結果!$C$11:$F$68,3,0),-[4]整車!$B$22)</f>
        <v>121134</v>
      </c>
      <c r="Z52" s="413">
        <f t="shared" si="7"/>
        <v>52728</v>
      </c>
      <c r="AA52" s="413">
        <f t="shared" si="8"/>
        <v>7867759</v>
      </c>
    </row>
    <row r="53" spans="1:27">
      <c r="A53" s="456" t="s">
        <v>170</v>
      </c>
      <c r="B53" s="419">
        <v>415</v>
      </c>
      <c r="C53" s="419">
        <v>138854</v>
      </c>
      <c r="D53" s="419">
        <v>347</v>
      </c>
      <c r="E53" s="419">
        <v>89541</v>
      </c>
      <c r="F53" s="419">
        <v>168</v>
      </c>
      <c r="G53" s="419">
        <v>63590</v>
      </c>
      <c r="H53" s="419">
        <v>91</v>
      </c>
      <c r="I53" s="419">
        <v>41073</v>
      </c>
      <c r="J53" s="420" t="s">
        <v>59</v>
      </c>
      <c r="K53" s="423" t="s">
        <v>59</v>
      </c>
      <c r="L53" s="419">
        <v>192</v>
      </c>
      <c r="M53" s="419">
        <v>38137</v>
      </c>
      <c r="N53" s="433">
        <v>565</v>
      </c>
      <c r="O53" s="433">
        <v>326470</v>
      </c>
      <c r="P53" s="419">
        <v>55</v>
      </c>
      <c r="Q53" s="419">
        <v>37445</v>
      </c>
      <c r="R53" s="419">
        <v>12</v>
      </c>
      <c r="S53" s="419">
        <v>17120</v>
      </c>
      <c r="T53" s="419">
        <v>3</v>
      </c>
      <c r="U53" s="419">
        <v>1549</v>
      </c>
      <c r="V53" s="419">
        <f>_xlfn.IFNA(VLOOKUP(A53,[8]進出口值表查詢結果!$C$11:$F$68,4,0),-[4]整車!$B$22)</f>
        <v>6</v>
      </c>
      <c r="W53" s="419">
        <f>_xlfn.IFNA(VLOOKUP(A53,[8]進出口值表查詢結果!$C$11:$F$68,3,0),-[4]整車!$B$22)</f>
        <v>1837</v>
      </c>
      <c r="X53" s="419">
        <f>_xlfn.IFNA(VLOOKUP(A53,[9]進出口值表查詢結果!$C$11:$F$68,4,0),-[4]整車!$B$22)</f>
        <v>0</v>
      </c>
      <c r="Y53" s="419">
        <f>_xlfn.IFNA(VLOOKUP(A53,[9]進出口值表查詢結果!$C$11:$F$68,3,0),-[4]整車!$B$22)</f>
        <v>0</v>
      </c>
      <c r="Z53" s="413">
        <f t="shared" si="7"/>
        <v>1854</v>
      </c>
      <c r="AA53" s="413">
        <f t="shared" si="8"/>
        <v>755616</v>
      </c>
    </row>
    <row r="54" spans="1:27">
      <c r="A54" s="456" t="s">
        <v>177</v>
      </c>
      <c r="B54" s="419">
        <v>2701</v>
      </c>
      <c r="C54" s="419">
        <v>1013330</v>
      </c>
      <c r="D54" s="419">
        <v>526</v>
      </c>
      <c r="E54" s="419">
        <v>174316</v>
      </c>
      <c r="F54" s="419">
        <v>871</v>
      </c>
      <c r="G54" s="419">
        <v>261235</v>
      </c>
      <c r="H54" s="419">
        <v>560</v>
      </c>
      <c r="I54" s="419">
        <v>111328</v>
      </c>
      <c r="J54" s="420">
        <v>122</v>
      </c>
      <c r="K54" s="423">
        <v>126429</v>
      </c>
      <c r="L54" s="419">
        <v>437</v>
      </c>
      <c r="M54" s="419">
        <v>340350</v>
      </c>
      <c r="N54" s="433">
        <v>995</v>
      </c>
      <c r="O54" s="433">
        <v>812171</v>
      </c>
      <c r="P54" s="419">
        <v>393</v>
      </c>
      <c r="Q54" s="419">
        <v>427618</v>
      </c>
      <c r="R54" s="419">
        <v>1762</v>
      </c>
      <c r="S54" s="419">
        <v>731590</v>
      </c>
      <c r="T54" s="419">
        <v>2871</v>
      </c>
      <c r="U54" s="419">
        <v>1163960</v>
      </c>
      <c r="V54" s="419">
        <f>_xlfn.IFNA(VLOOKUP(A54,[8]進出口值表查詢結果!$C$11:$F$68,4,0),-[4]整車!$B$22)</f>
        <v>2077</v>
      </c>
      <c r="W54" s="419">
        <f>_xlfn.IFNA(VLOOKUP(A54,[8]進出口值表查詢結果!$C$11:$F$68,3,0),-[4]整車!$B$22)</f>
        <v>695253</v>
      </c>
      <c r="X54" s="419">
        <f>_xlfn.IFNA(VLOOKUP(A54,[9]進出口值表查詢結果!$C$11:$F$68,4,0),-[4]整車!$B$22)</f>
        <v>2420</v>
      </c>
      <c r="Y54" s="419">
        <f>_xlfn.IFNA(VLOOKUP(A54,[9]進出口值表查詢結果!$C$11:$F$68,3,0),-[4]整車!$B$22)</f>
        <v>651295</v>
      </c>
      <c r="Z54" s="413">
        <f t="shared" si="7"/>
        <v>15735</v>
      </c>
      <c r="AA54" s="413">
        <f t="shared" si="8"/>
        <v>6508875</v>
      </c>
    </row>
    <row r="55" spans="1:27">
      <c r="A55" s="456" t="s">
        <v>167</v>
      </c>
      <c r="B55" s="419">
        <v>184</v>
      </c>
      <c r="C55" s="419">
        <v>65445</v>
      </c>
      <c r="D55" s="419">
        <v>384</v>
      </c>
      <c r="E55" s="419">
        <v>270420</v>
      </c>
      <c r="F55" s="419">
        <v>117</v>
      </c>
      <c r="G55" s="419">
        <v>125456</v>
      </c>
      <c r="H55" s="419">
        <v>125</v>
      </c>
      <c r="I55" s="419">
        <v>79330</v>
      </c>
      <c r="J55" s="420">
        <v>112</v>
      </c>
      <c r="K55" s="423">
        <v>53759</v>
      </c>
      <c r="L55" s="419">
        <v>191</v>
      </c>
      <c r="M55" s="419">
        <v>102112</v>
      </c>
      <c r="N55" s="433">
        <v>97</v>
      </c>
      <c r="O55" s="433">
        <v>124577</v>
      </c>
      <c r="P55" s="419">
        <v>96</v>
      </c>
      <c r="Q55" s="419">
        <v>91901</v>
      </c>
      <c r="R55" s="419">
        <v>1</v>
      </c>
      <c r="S55" s="419">
        <v>4144</v>
      </c>
      <c r="T55" s="419">
        <v>262</v>
      </c>
      <c r="U55" s="419">
        <v>270569</v>
      </c>
      <c r="V55" s="419">
        <f>_xlfn.IFNA(VLOOKUP(A55,[8]進出口值表查詢結果!$C$11:$F$68,4,0),-[4]整車!$B$22)</f>
        <v>124</v>
      </c>
      <c r="W55" s="419">
        <f>_xlfn.IFNA(VLOOKUP(A55,[8]進出口值表查詢結果!$C$11:$F$68,3,0),-[4]整車!$B$22)</f>
        <v>163570</v>
      </c>
      <c r="X55" s="419">
        <f>_xlfn.IFNA(VLOOKUP(A55,[9]進出口值表查詢結果!$C$11:$F$68,4,0),-[4]整車!$B$22)</f>
        <v>2983</v>
      </c>
      <c r="Y55" s="419">
        <f>_xlfn.IFNA(VLOOKUP(A55,[9]進出口值表查詢結果!$C$11:$F$68,3,0),-[4]整車!$B$22)</f>
        <v>600700</v>
      </c>
      <c r="Z55" s="413">
        <f t="shared" si="7"/>
        <v>4676</v>
      </c>
      <c r="AA55" s="413">
        <f t="shared" si="8"/>
        <v>1951983</v>
      </c>
    </row>
    <row r="56" spans="1:27">
      <c r="A56" s="456" t="s">
        <v>173</v>
      </c>
      <c r="B56" s="419">
        <v>1004</v>
      </c>
      <c r="C56" s="419">
        <v>51950</v>
      </c>
      <c r="D56" s="419">
        <v>726</v>
      </c>
      <c r="E56" s="419">
        <v>56062</v>
      </c>
      <c r="F56" s="419">
        <v>1874</v>
      </c>
      <c r="G56" s="419">
        <v>133920</v>
      </c>
      <c r="H56" s="419">
        <v>806</v>
      </c>
      <c r="I56" s="419">
        <v>75224</v>
      </c>
      <c r="J56" s="420" t="s">
        <v>59</v>
      </c>
      <c r="K56" s="423" t="s">
        <v>59</v>
      </c>
      <c r="L56" s="419">
        <v>52</v>
      </c>
      <c r="M56" s="419">
        <v>5931</v>
      </c>
      <c r="N56" s="419">
        <v>0</v>
      </c>
      <c r="O56" s="419">
        <v>0</v>
      </c>
      <c r="P56" s="419">
        <v>0</v>
      </c>
      <c r="Q56" s="419">
        <v>0</v>
      </c>
      <c r="R56" s="419">
        <v>0</v>
      </c>
      <c r="S56" s="419">
        <v>0</v>
      </c>
      <c r="T56" s="419">
        <v>70</v>
      </c>
      <c r="U56" s="419">
        <v>11429</v>
      </c>
      <c r="V56" s="419">
        <f>_xlfn.IFNA(VLOOKUP(A56,[8]進出口值表查詢結果!$C$11:$F$68,4,0),-[4]整車!$B$22)</f>
        <v>13</v>
      </c>
      <c r="W56" s="419">
        <f>_xlfn.IFNA(VLOOKUP(A56,[8]進出口值表查詢結果!$C$11:$F$68,3,0),-[4]整車!$B$22)</f>
        <v>1698</v>
      </c>
      <c r="X56" s="419">
        <f>_xlfn.IFNA(VLOOKUP(A56,[9]進出口值表查詢結果!$C$11:$F$68,4,0),-[4]整車!$B$22)</f>
        <v>55</v>
      </c>
      <c r="Y56" s="419">
        <f>_xlfn.IFNA(VLOOKUP(A56,[9]進出口值表查詢結果!$C$11:$F$68,3,0),-[4]整車!$B$22)</f>
        <v>5808</v>
      </c>
      <c r="Z56" s="413">
        <f t="shared" si="7"/>
        <v>4600</v>
      </c>
      <c r="AA56" s="413">
        <f t="shared" si="8"/>
        <v>342022</v>
      </c>
    </row>
    <row r="57" spans="1:27">
      <c r="A57" s="456" t="s">
        <v>264</v>
      </c>
      <c r="B57" s="419">
        <v>0</v>
      </c>
      <c r="C57" s="419">
        <v>0</v>
      </c>
      <c r="D57" s="419">
        <v>40</v>
      </c>
      <c r="E57" s="419">
        <v>6163</v>
      </c>
      <c r="F57" s="419">
        <v>0</v>
      </c>
      <c r="G57" s="419"/>
      <c r="H57" s="419">
        <v>0</v>
      </c>
      <c r="I57" s="419">
        <v>0</v>
      </c>
      <c r="J57" s="420" t="s">
        <v>59</v>
      </c>
      <c r="K57" s="423" t="s">
        <v>59</v>
      </c>
      <c r="L57" s="419">
        <v>0</v>
      </c>
      <c r="M57" s="419">
        <v>0</v>
      </c>
      <c r="N57" s="419">
        <v>0</v>
      </c>
      <c r="O57" s="419">
        <v>0</v>
      </c>
      <c r="P57" s="419">
        <v>0</v>
      </c>
      <c r="Q57" s="419">
        <v>0</v>
      </c>
      <c r="R57" s="419">
        <v>0</v>
      </c>
      <c r="S57" s="419">
        <v>0</v>
      </c>
      <c r="T57" s="419"/>
      <c r="U57" s="419"/>
      <c r="V57" s="419">
        <f>_xlfn.IFNA(VLOOKUP(A57,[8]進出口值表查詢結果!$C$11:$F$68,4,0),-[4]整車!$B$22)</f>
        <v>0</v>
      </c>
      <c r="W57" s="419">
        <f>_xlfn.IFNA(VLOOKUP(A57,[8]進出口值表查詢結果!$C$11:$F$68,3,0),-[4]整車!$B$22)</f>
        <v>0</v>
      </c>
      <c r="X57" s="419">
        <f>_xlfn.IFNA(VLOOKUP(A57,[9]進出口值表查詢結果!$C$11:$F$68,4,0),-[4]整車!$B$22)</f>
        <v>0</v>
      </c>
      <c r="Y57" s="419">
        <f>_xlfn.IFNA(VLOOKUP(A57,[9]進出口值表查詢結果!$C$11:$F$68,3,0),-[4]整車!$B$22)</f>
        <v>0</v>
      </c>
      <c r="Z57" s="413">
        <f t="shared" si="7"/>
        <v>40</v>
      </c>
      <c r="AA57" s="413">
        <f t="shared" si="8"/>
        <v>6163</v>
      </c>
    </row>
    <row r="58" spans="1:27">
      <c r="A58" s="459" t="s">
        <v>266</v>
      </c>
      <c r="B58" s="419">
        <v>696</v>
      </c>
      <c r="C58" s="419">
        <v>253916</v>
      </c>
      <c r="D58" s="419">
        <v>1323</v>
      </c>
      <c r="E58" s="419">
        <v>281646</v>
      </c>
      <c r="F58" s="419">
        <v>898</v>
      </c>
      <c r="G58" s="419">
        <v>263987</v>
      </c>
      <c r="H58" s="419">
        <v>276</v>
      </c>
      <c r="I58" s="419">
        <v>95595</v>
      </c>
      <c r="J58" s="420">
        <v>767</v>
      </c>
      <c r="K58" s="423">
        <v>158803</v>
      </c>
      <c r="L58" s="419">
        <v>0</v>
      </c>
      <c r="M58" s="419">
        <v>0</v>
      </c>
      <c r="N58" s="433">
        <v>80</v>
      </c>
      <c r="O58" s="433">
        <v>39824</v>
      </c>
      <c r="P58" s="419">
        <v>0</v>
      </c>
      <c r="Q58" s="419">
        <v>0</v>
      </c>
      <c r="R58" s="419">
        <v>0</v>
      </c>
      <c r="S58" s="419">
        <v>0</v>
      </c>
      <c r="T58" s="419">
        <v>169</v>
      </c>
      <c r="U58" s="419">
        <v>44957</v>
      </c>
      <c r="V58" s="419">
        <f>_xlfn.IFNA(VLOOKUP(A58,[8]進出口值表查詢結果!$C$11:$F$68,4,0),-[4]整車!$B$22)</f>
        <v>0</v>
      </c>
      <c r="W58" s="419">
        <f>_xlfn.IFNA(VLOOKUP(A58,[8]進出口值表查詢結果!$C$11:$F$68,3,0),-[4]整車!$B$22)</f>
        <v>0</v>
      </c>
      <c r="X58" s="419">
        <f>_xlfn.IFNA(VLOOKUP(A58,[9]進出口值表查詢結果!$C$11:$F$68,4,0),-[4]整車!$B$22)</f>
        <v>0</v>
      </c>
      <c r="Y58" s="419">
        <f>_xlfn.IFNA(VLOOKUP(A58,[9]進出口值表查詢結果!$C$11:$F$68,3,0),-[4]整車!$B$22)</f>
        <v>0</v>
      </c>
      <c r="Z58" s="413">
        <f t="shared" si="7"/>
        <v>4209</v>
      </c>
      <c r="AA58" s="413">
        <f t="shared" si="8"/>
        <v>1138728</v>
      </c>
    </row>
    <row r="59" spans="1:27">
      <c r="A59" s="460" t="s">
        <v>18</v>
      </c>
      <c r="B59" s="419">
        <v>0</v>
      </c>
      <c r="C59" s="419">
        <v>0</v>
      </c>
      <c r="D59" s="419"/>
      <c r="E59" s="419"/>
      <c r="F59" s="419">
        <v>0</v>
      </c>
      <c r="G59" s="419"/>
      <c r="H59" s="419">
        <v>0</v>
      </c>
      <c r="I59" s="419">
        <v>0</v>
      </c>
      <c r="J59" s="420">
        <v>50</v>
      </c>
      <c r="K59" s="423">
        <v>5012</v>
      </c>
      <c r="L59" s="419">
        <v>0</v>
      </c>
      <c r="M59" s="419">
        <v>0</v>
      </c>
      <c r="N59" s="419">
        <v>0</v>
      </c>
      <c r="O59" s="419">
        <v>0</v>
      </c>
      <c r="P59" s="419">
        <v>0</v>
      </c>
      <c r="Q59" s="419">
        <v>0</v>
      </c>
      <c r="R59" s="419">
        <v>0</v>
      </c>
      <c r="S59" s="419">
        <v>0</v>
      </c>
      <c r="T59" s="419">
        <v>440</v>
      </c>
      <c r="U59" s="419">
        <v>55250</v>
      </c>
      <c r="V59" s="419">
        <f>_xlfn.IFNA(VLOOKUP(A59,[8]進出口值表查詢結果!$C$11:$F$68,4,0),-[4]整車!$B$22)</f>
        <v>0</v>
      </c>
      <c r="W59" s="419">
        <f>_xlfn.IFNA(VLOOKUP(A59,[8]進出口值表查詢結果!$C$11:$F$68,3,0),-[4]整車!$B$22)</f>
        <v>0</v>
      </c>
      <c r="X59" s="419">
        <f>_xlfn.IFNA(VLOOKUP(A59,[9]進出口值表查詢結果!$C$11:$F$68,4,0),-[4]整車!$B$22)</f>
        <v>0</v>
      </c>
      <c r="Y59" s="419">
        <f>_xlfn.IFNA(VLOOKUP(A59,[9]進出口值表查詢結果!$C$11:$F$68,3,0),-[4]整車!$B$22)</f>
        <v>0</v>
      </c>
      <c r="Z59" s="413">
        <f t="shared" si="7"/>
        <v>490</v>
      </c>
      <c r="AA59" s="413">
        <f t="shared" si="8"/>
        <v>60262</v>
      </c>
    </row>
    <row r="60" spans="1:27">
      <c r="A60" s="456" t="s">
        <v>269</v>
      </c>
      <c r="B60" s="419">
        <v>0</v>
      </c>
      <c r="C60" s="419">
        <v>0</v>
      </c>
      <c r="D60" s="419">
        <v>523</v>
      </c>
      <c r="E60" s="419">
        <v>150033</v>
      </c>
      <c r="F60" s="419">
        <v>813</v>
      </c>
      <c r="G60" s="419">
        <v>183637</v>
      </c>
      <c r="H60" s="419">
        <v>317</v>
      </c>
      <c r="I60" s="419">
        <v>63199</v>
      </c>
      <c r="J60" s="420" t="s">
        <v>59</v>
      </c>
      <c r="K60" s="423" t="s">
        <v>59</v>
      </c>
      <c r="L60" s="419">
        <v>160</v>
      </c>
      <c r="M60" s="419">
        <v>66421</v>
      </c>
      <c r="N60" s="419">
        <v>0</v>
      </c>
      <c r="O60" s="419">
        <v>0</v>
      </c>
      <c r="P60" s="419">
        <v>0</v>
      </c>
      <c r="Q60" s="419">
        <v>0</v>
      </c>
      <c r="R60" s="419">
        <v>0</v>
      </c>
      <c r="S60" s="419">
        <v>0</v>
      </c>
      <c r="T60" s="419"/>
      <c r="U60" s="419"/>
      <c r="V60" s="419">
        <f>_xlfn.IFNA(VLOOKUP(A60,[8]進出口值表查詢結果!$C$11:$F$68,4,0),-[4]整車!$B$22)</f>
        <v>0</v>
      </c>
      <c r="W60" s="419">
        <f>_xlfn.IFNA(VLOOKUP(A60,[8]進出口值表查詢結果!$C$11:$F$68,3,0),-[4]整車!$B$22)</f>
        <v>0</v>
      </c>
      <c r="X60" s="419">
        <f>_xlfn.IFNA(VLOOKUP(A60,[9]進出口值表查詢結果!$C$11:$F$68,4,0),-[4]整車!$B$22)</f>
        <v>0</v>
      </c>
      <c r="Y60" s="419">
        <f>_xlfn.IFNA(VLOOKUP(A60,[9]進出口值表查詢結果!$C$11:$F$68,3,0),-[4]整車!$B$22)</f>
        <v>0</v>
      </c>
      <c r="Z60" s="413">
        <f t="shared" si="7"/>
        <v>1813</v>
      </c>
      <c r="AA60" s="413">
        <f t="shared" si="8"/>
        <v>463290</v>
      </c>
    </row>
    <row r="61" spans="1:27">
      <c r="A61" s="418" t="s">
        <v>270</v>
      </c>
      <c r="B61" s="419">
        <v>1370</v>
      </c>
      <c r="C61" s="419">
        <v>251116</v>
      </c>
      <c r="D61" s="419">
        <v>1982</v>
      </c>
      <c r="E61" s="419">
        <v>436276</v>
      </c>
      <c r="F61" s="419">
        <v>324</v>
      </c>
      <c r="G61" s="419">
        <v>53469</v>
      </c>
      <c r="H61" s="419">
        <v>496</v>
      </c>
      <c r="I61" s="419">
        <v>109871</v>
      </c>
      <c r="J61" s="420">
        <v>113</v>
      </c>
      <c r="K61" s="434">
        <v>38322</v>
      </c>
      <c r="L61" s="419">
        <v>0</v>
      </c>
      <c r="M61" s="419">
        <v>0</v>
      </c>
      <c r="N61" s="419">
        <v>0</v>
      </c>
      <c r="O61" s="419">
        <v>0</v>
      </c>
      <c r="P61" s="419">
        <v>0</v>
      </c>
      <c r="Q61" s="419">
        <v>0</v>
      </c>
      <c r="R61" s="419">
        <v>0</v>
      </c>
      <c r="S61" s="419">
        <v>0</v>
      </c>
      <c r="T61" s="419"/>
      <c r="U61" s="419"/>
      <c r="V61" s="419">
        <f>_xlfn.IFNA(VLOOKUP(A61,[8]進出口值表查詢結果!$C$11:$F$68,4,0),-[4]整車!$B$22)</f>
        <v>0</v>
      </c>
      <c r="W61" s="419">
        <f>_xlfn.IFNA(VLOOKUP(A61,[8]進出口值表查詢結果!$C$11:$F$68,3,0),-[4]整車!$B$22)</f>
        <v>0</v>
      </c>
      <c r="X61" s="419">
        <f>_xlfn.IFNA(VLOOKUP(A61,[9]進出口值表查詢結果!$C$11:$F$68,4,0),-[4]整車!$B$22)</f>
        <v>214</v>
      </c>
      <c r="Y61" s="419">
        <f>_xlfn.IFNA(VLOOKUP(A61,[9]進出口值表查詢結果!$C$11:$F$68,3,0),-[4]整車!$B$22)</f>
        <v>33520</v>
      </c>
      <c r="Z61" s="413">
        <f t="shared" si="7"/>
        <v>4499</v>
      </c>
      <c r="AA61" s="413">
        <f t="shared" si="8"/>
        <v>922574</v>
      </c>
    </row>
    <row r="62" spans="1:27">
      <c r="A62" s="456" t="s">
        <v>272</v>
      </c>
      <c r="B62" s="419">
        <v>70</v>
      </c>
      <c r="C62" s="419">
        <v>43452</v>
      </c>
      <c r="D62" s="419">
        <v>261</v>
      </c>
      <c r="E62" s="419">
        <v>64456</v>
      </c>
      <c r="F62" s="419">
        <v>18</v>
      </c>
      <c r="G62" s="419">
        <v>17756</v>
      </c>
      <c r="H62" s="419">
        <v>0</v>
      </c>
      <c r="I62" s="419">
        <v>0</v>
      </c>
      <c r="J62" s="420" t="s">
        <v>59</v>
      </c>
      <c r="K62" s="423" t="s">
        <v>59</v>
      </c>
      <c r="L62" s="419">
        <v>25</v>
      </c>
      <c r="M62" s="419">
        <v>23023</v>
      </c>
      <c r="N62" s="419">
        <v>0</v>
      </c>
      <c r="O62" s="419">
        <v>0</v>
      </c>
      <c r="P62" s="419">
        <v>0</v>
      </c>
      <c r="Q62" s="419">
        <v>0</v>
      </c>
      <c r="R62" s="419">
        <v>0</v>
      </c>
      <c r="S62" s="419">
        <v>0</v>
      </c>
      <c r="T62" s="419"/>
      <c r="U62" s="419"/>
      <c r="V62" s="419">
        <f>_xlfn.IFNA(VLOOKUP(A62,[8]進出口值表查詢結果!$C$11:$F$68,4,0),-[4]整車!$B$22)</f>
        <v>1</v>
      </c>
      <c r="W62" s="419">
        <f>_xlfn.IFNA(VLOOKUP(A62,[8]進出口值表查詢結果!$C$11:$F$68,3,0),-[4]整車!$B$22)</f>
        <v>3951</v>
      </c>
      <c r="X62" s="419">
        <f>_xlfn.IFNA(VLOOKUP(A62,[9]進出口值表查詢結果!$C$11:$F$68,4,0),-[4]整車!$B$22)</f>
        <v>355</v>
      </c>
      <c r="Y62" s="419">
        <f>_xlfn.IFNA(VLOOKUP(A62,[9]進出口值表查詢結果!$C$11:$F$68,3,0),-[4]整車!$B$22)</f>
        <v>93772</v>
      </c>
      <c r="Z62" s="413">
        <f t="shared" si="7"/>
        <v>730</v>
      </c>
      <c r="AA62" s="413">
        <f t="shared" si="8"/>
        <v>246410</v>
      </c>
    </row>
    <row r="63" spans="1:27">
      <c r="A63" s="459" t="s">
        <v>406</v>
      </c>
      <c r="B63" s="419">
        <v>0</v>
      </c>
      <c r="C63" s="419">
        <v>0</v>
      </c>
      <c r="D63" s="419"/>
      <c r="E63" s="419"/>
      <c r="F63" s="419">
        <v>80</v>
      </c>
      <c r="G63" s="419">
        <v>11981</v>
      </c>
      <c r="H63" s="419">
        <v>125</v>
      </c>
      <c r="I63" s="419">
        <v>14310</v>
      </c>
      <c r="J63" s="420">
        <v>100</v>
      </c>
      <c r="K63" s="423">
        <v>16037</v>
      </c>
      <c r="L63" s="419">
        <v>0</v>
      </c>
      <c r="M63" s="419">
        <v>0</v>
      </c>
      <c r="N63" s="419">
        <v>0</v>
      </c>
      <c r="O63" s="419">
        <v>0</v>
      </c>
      <c r="P63" s="419">
        <v>0</v>
      </c>
      <c r="Q63" s="419">
        <v>0</v>
      </c>
      <c r="R63" s="419">
        <v>0</v>
      </c>
      <c r="S63" s="419">
        <v>0</v>
      </c>
      <c r="T63" s="419">
        <v>125</v>
      </c>
      <c r="U63" s="419">
        <v>16317</v>
      </c>
      <c r="V63" s="419">
        <f>_xlfn.IFNA(VLOOKUP(A63,[8]進出口值表查詢結果!$C$11:$F$68,4,0),-[4]整車!$B$22)</f>
        <v>0</v>
      </c>
      <c r="W63" s="419">
        <f>_xlfn.IFNA(VLOOKUP(A63,[8]進出口值表查詢結果!$C$11:$F$68,3,0),-[4]整車!$B$22)</f>
        <v>0</v>
      </c>
      <c r="X63" s="419">
        <f>_xlfn.IFNA(VLOOKUP(A63,[9]進出口值表查詢結果!$C$11:$F$68,4,0),-[4]整車!$B$22)</f>
        <v>340</v>
      </c>
      <c r="Y63" s="419">
        <f>_xlfn.IFNA(VLOOKUP(A63,[9]進出口值表查詢結果!$C$11:$F$68,3,0),-[4]整車!$B$22)</f>
        <v>50840</v>
      </c>
      <c r="Z63" s="413">
        <f t="shared" si="7"/>
        <v>770</v>
      </c>
      <c r="AA63" s="413">
        <f t="shared" si="8"/>
        <v>109485</v>
      </c>
    </row>
    <row r="64" spans="1:27">
      <c r="A64" s="456" t="s">
        <v>191</v>
      </c>
      <c r="B64" s="419">
        <v>44</v>
      </c>
      <c r="C64" s="419">
        <v>6265</v>
      </c>
      <c r="D64" s="419"/>
      <c r="E64" s="419"/>
      <c r="F64" s="419">
        <v>0</v>
      </c>
      <c r="G64" s="419"/>
      <c r="H64" s="419">
        <v>0</v>
      </c>
      <c r="I64" s="419">
        <v>0</v>
      </c>
      <c r="J64" s="420">
        <v>74</v>
      </c>
      <c r="K64" s="423">
        <v>8920</v>
      </c>
      <c r="L64" s="419">
        <v>0</v>
      </c>
      <c r="M64" s="419">
        <v>0</v>
      </c>
      <c r="N64" s="419">
        <v>0</v>
      </c>
      <c r="O64" s="419">
        <v>0</v>
      </c>
      <c r="P64" s="419">
        <v>35</v>
      </c>
      <c r="Q64" s="419">
        <v>5625</v>
      </c>
      <c r="R64" s="419">
        <v>45</v>
      </c>
      <c r="S64" s="419">
        <v>4959</v>
      </c>
      <c r="T64" s="419">
        <v>42</v>
      </c>
      <c r="U64" s="419">
        <v>6127</v>
      </c>
      <c r="V64" s="419">
        <f>_xlfn.IFNA(VLOOKUP(A64,[8]進出口值表查詢結果!$C$11:$F$68,4,0),-[4]整車!$B$22)</f>
        <v>0</v>
      </c>
      <c r="W64" s="419">
        <f>_xlfn.IFNA(VLOOKUP(A64,[8]進出口值表查詢結果!$C$11:$F$68,3,0),-[4]整車!$B$22)</f>
        <v>0</v>
      </c>
      <c r="X64" s="419">
        <f>_xlfn.IFNA(VLOOKUP(A64,[9]進出口值表查詢結果!$C$11:$F$68,4,0),-[4]整車!$B$22)</f>
        <v>0</v>
      </c>
      <c r="Y64" s="419">
        <f>_xlfn.IFNA(VLOOKUP(A64,[9]進出口值表查詢結果!$C$11:$F$68,3,0),-[4]整車!$B$22)</f>
        <v>0</v>
      </c>
      <c r="Z64" s="413">
        <f t="shared" si="7"/>
        <v>240</v>
      </c>
      <c r="AA64" s="413">
        <f t="shared" si="8"/>
        <v>31896</v>
      </c>
    </row>
    <row r="65" spans="1:27">
      <c r="A65" s="456" t="s">
        <v>186</v>
      </c>
      <c r="B65" s="419">
        <v>0</v>
      </c>
      <c r="C65" s="419">
        <v>0</v>
      </c>
      <c r="D65" s="419"/>
      <c r="E65" s="419"/>
      <c r="F65" s="419">
        <v>20</v>
      </c>
      <c r="G65" s="419">
        <v>7667</v>
      </c>
      <c r="H65" s="419">
        <v>0</v>
      </c>
      <c r="I65" s="419">
        <v>0</v>
      </c>
      <c r="J65" s="420">
        <v>53</v>
      </c>
      <c r="K65" s="423">
        <v>6883</v>
      </c>
      <c r="L65" s="419">
        <v>0</v>
      </c>
      <c r="M65" s="419">
        <v>0</v>
      </c>
      <c r="N65" s="419">
        <v>0</v>
      </c>
      <c r="O65" s="419">
        <v>0</v>
      </c>
      <c r="P65" s="419">
        <v>0</v>
      </c>
      <c r="Q65" s="419">
        <v>0</v>
      </c>
      <c r="R65" s="419">
        <v>46</v>
      </c>
      <c r="S65" s="419">
        <v>5740</v>
      </c>
      <c r="T65" s="419"/>
      <c r="U65" s="419"/>
      <c r="V65" s="419">
        <f>_xlfn.IFNA(VLOOKUP(A65,[8]進出口值表查詢結果!$C$11:$F$68,4,0),-[4]整車!$B$22)</f>
        <v>53</v>
      </c>
      <c r="W65" s="419">
        <f>_xlfn.IFNA(VLOOKUP(A65,[8]進出口值表查詢結果!$C$11:$F$68,3,0),-[4]整車!$B$22)</f>
        <v>6170</v>
      </c>
      <c r="X65" s="419">
        <f>_xlfn.IFNA(VLOOKUP(A65,[9]進出口值表查詢結果!$C$11:$F$68,4,0),-[4]整車!$B$22)</f>
        <v>0</v>
      </c>
      <c r="Y65" s="419">
        <f>_xlfn.IFNA(VLOOKUP(A65,[9]進出口值表查詢結果!$C$11:$F$68,3,0),-[4]整車!$B$22)</f>
        <v>0</v>
      </c>
      <c r="Z65" s="413">
        <f t="shared" si="7"/>
        <v>172</v>
      </c>
      <c r="AA65" s="413">
        <f t="shared" si="8"/>
        <v>26460</v>
      </c>
    </row>
    <row r="66" spans="1:27">
      <c r="A66" s="456" t="s">
        <v>276</v>
      </c>
      <c r="B66" s="419">
        <v>16</v>
      </c>
      <c r="C66" s="419">
        <v>8064</v>
      </c>
      <c r="D66" s="419">
        <v>400</v>
      </c>
      <c r="E66" s="419">
        <v>74984</v>
      </c>
      <c r="F66" s="419">
        <v>130</v>
      </c>
      <c r="G66" s="419">
        <v>19515</v>
      </c>
      <c r="H66" s="419">
        <v>120</v>
      </c>
      <c r="I66" s="419">
        <v>19543</v>
      </c>
      <c r="J66" s="420">
        <v>235</v>
      </c>
      <c r="K66" s="423">
        <v>45740</v>
      </c>
      <c r="L66" s="419">
        <v>0</v>
      </c>
      <c r="M66" s="419">
        <v>0</v>
      </c>
      <c r="N66" s="419">
        <v>0</v>
      </c>
      <c r="O66" s="419">
        <v>0</v>
      </c>
      <c r="P66" s="419">
        <v>0</v>
      </c>
      <c r="Q66" s="419">
        <v>0</v>
      </c>
      <c r="R66" s="419">
        <v>0</v>
      </c>
      <c r="S66" s="419">
        <v>0</v>
      </c>
      <c r="T66" s="419"/>
      <c r="U66" s="419"/>
      <c r="V66" s="419">
        <f>_xlfn.IFNA(VLOOKUP(A66,[8]進出口值表查詢結果!$C$11:$F$68,4,0),-[4]整車!$B$22)</f>
        <v>0</v>
      </c>
      <c r="W66" s="419">
        <f>_xlfn.IFNA(VLOOKUP(A66,[8]進出口值表查詢結果!$C$11:$F$68,3,0),-[4]整車!$B$22)</f>
        <v>0</v>
      </c>
      <c r="X66" s="419">
        <f>_xlfn.IFNA(VLOOKUP(A66,[9]進出口值表查詢結果!$C$11:$F$68,4,0),-[4]整車!$B$22)</f>
        <v>0</v>
      </c>
      <c r="Y66" s="419">
        <f>_xlfn.IFNA(VLOOKUP(A66,[9]進出口值表查詢結果!$C$11:$F$68,3,0),-[4]整車!$B$22)</f>
        <v>0</v>
      </c>
      <c r="Z66" s="413">
        <f t="shared" si="7"/>
        <v>901</v>
      </c>
      <c r="AA66" s="413">
        <f t="shared" si="8"/>
        <v>167846</v>
      </c>
    </row>
    <row r="67" spans="1:27">
      <c r="A67" s="422"/>
      <c r="B67" s="419"/>
      <c r="C67" s="419"/>
      <c r="D67" s="419"/>
      <c r="E67" s="419"/>
      <c r="F67" s="419"/>
      <c r="G67" s="419"/>
      <c r="H67" s="419"/>
      <c r="I67" s="419"/>
      <c r="J67" s="420"/>
      <c r="K67" s="421"/>
      <c r="L67" s="419"/>
      <c r="M67" s="419"/>
      <c r="N67" s="419"/>
      <c r="O67" s="419"/>
      <c r="P67" s="419"/>
      <c r="Q67" s="419"/>
      <c r="R67" s="419"/>
      <c r="S67" s="419"/>
      <c r="T67" s="419"/>
      <c r="U67" s="419"/>
      <c r="V67" s="419"/>
      <c r="W67" s="419"/>
      <c r="X67" s="419"/>
      <c r="Y67" s="419"/>
      <c r="Z67" s="413"/>
      <c r="AA67" s="413"/>
    </row>
    <row r="68" spans="1:27">
      <c r="A68" s="435" t="s">
        <v>20</v>
      </c>
      <c r="B68" s="436">
        <f t="shared" ref="B68:G68" si="9">SUM(B69:B73)</f>
        <v>6047</v>
      </c>
      <c r="C68" s="436">
        <f t="shared" si="9"/>
        <v>3779240</v>
      </c>
      <c r="D68" s="436">
        <f t="shared" si="9"/>
        <v>4374</v>
      </c>
      <c r="E68" s="436">
        <f t="shared" si="9"/>
        <v>2793538</v>
      </c>
      <c r="F68" s="436">
        <f t="shared" si="9"/>
        <v>3335</v>
      </c>
      <c r="G68" s="436">
        <f t="shared" si="9"/>
        <v>1866843</v>
      </c>
      <c r="H68" s="436">
        <f>SUM(H69:H73)</f>
        <v>2480</v>
      </c>
      <c r="I68" s="436">
        <f>SUM(I69:I73)</f>
        <v>1512983</v>
      </c>
      <c r="J68" s="437">
        <f t="shared" ref="J68:O68" si="10">SUM(J69:J73)</f>
        <v>1816</v>
      </c>
      <c r="K68" s="438">
        <f t="shared" si="10"/>
        <v>1480084</v>
      </c>
      <c r="L68" s="436">
        <f t="shared" si="10"/>
        <v>1849</v>
      </c>
      <c r="M68" s="436">
        <f t="shared" si="10"/>
        <v>1617191</v>
      </c>
      <c r="N68" s="436">
        <f t="shared" si="10"/>
        <v>1838</v>
      </c>
      <c r="O68" s="436">
        <f t="shared" si="10"/>
        <v>1928770</v>
      </c>
      <c r="P68" s="436">
        <f>SUM(P69:P73)</f>
        <v>1960</v>
      </c>
      <c r="Q68" s="436">
        <f>SUM(Q69:Q73)</f>
        <v>1999119</v>
      </c>
      <c r="R68" s="436">
        <f t="shared" ref="R68:Y68" si="11">SUM(R69:R73)</f>
        <v>1097</v>
      </c>
      <c r="S68" s="436">
        <f t="shared" si="11"/>
        <v>1708965</v>
      </c>
      <c r="T68" s="436">
        <f t="shared" si="11"/>
        <v>2389</v>
      </c>
      <c r="U68" s="436">
        <f t="shared" si="11"/>
        <v>2156903</v>
      </c>
      <c r="V68" s="436">
        <f>SUM(V69:V73)</f>
        <v>1149</v>
      </c>
      <c r="W68" s="436">
        <f>SUM(W69:W73)</f>
        <v>1843745</v>
      </c>
      <c r="X68" s="436">
        <f t="shared" si="11"/>
        <v>3615</v>
      </c>
      <c r="Y68" s="436">
        <f t="shared" si="11"/>
        <v>4337331</v>
      </c>
      <c r="Z68" s="430">
        <f t="shared" ref="Z68:AA73" si="12">SUM(B68,D68,F68,H68,J68,L68,N68,P68,R68,T68,V68,X68)</f>
        <v>31949</v>
      </c>
      <c r="AA68" s="430">
        <f t="shared" si="12"/>
        <v>27024712</v>
      </c>
    </row>
    <row r="69" spans="1:27">
      <c r="A69" s="456" t="s">
        <v>184</v>
      </c>
      <c r="B69" s="419">
        <v>1857</v>
      </c>
      <c r="C69" s="419">
        <v>2017794</v>
      </c>
      <c r="D69" s="419">
        <v>1373</v>
      </c>
      <c r="E69" s="419">
        <v>1011526</v>
      </c>
      <c r="F69" s="419">
        <v>425</v>
      </c>
      <c r="G69" s="419">
        <v>428146</v>
      </c>
      <c r="H69" s="419">
        <v>671</v>
      </c>
      <c r="I69" s="419">
        <v>699536</v>
      </c>
      <c r="J69" s="420">
        <v>587</v>
      </c>
      <c r="K69" s="421">
        <v>1041998</v>
      </c>
      <c r="L69" s="419">
        <v>1055</v>
      </c>
      <c r="M69" s="419">
        <v>1243264</v>
      </c>
      <c r="N69" s="433">
        <v>947</v>
      </c>
      <c r="O69" s="433">
        <v>1493476</v>
      </c>
      <c r="P69" s="419">
        <v>1258</v>
      </c>
      <c r="Q69" s="419">
        <v>1726838</v>
      </c>
      <c r="R69" s="419">
        <v>988</v>
      </c>
      <c r="S69" s="419">
        <v>1565929</v>
      </c>
      <c r="T69" s="419">
        <v>2202</v>
      </c>
      <c r="U69" s="419">
        <v>2043237</v>
      </c>
      <c r="V69" s="419">
        <f>_xlfn.IFNA(VLOOKUP(A69,[8]進出口值表查詢結果!$C$11:$F$68,4,0),-[4]整車!$B$22)</f>
        <v>835</v>
      </c>
      <c r="W69" s="419">
        <f>_xlfn.IFNA(VLOOKUP(A69,[8]進出口值表查詢結果!$C$11:$F$68,3,0),-[4]整車!$B$22)</f>
        <v>1325166</v>
      </c>
      <c r="X69" s="419">
        <f>_xlfn.IFNA(VLOOKUP(A69,[9]進出口值表查詢結果!$C$11:$F$68,4,0),-[4]整車!$B$22)</f>
        <v>2736</v>
      </c>
      <c r="Y69" s="419">
        <f>_xlfn.IFNA(VLOOKUP(A69,[9]進出口值表查詢結果!$C$11:$F$68,3,0),-[4]整車!$B$22)</f>
        <v>3402098</v>
      </c>
      <c r="Z69" s="413">
        <f t="shared" si="12"/>
        <v>14934</v>
      </c>
      <c r="AA69" s="413">
        <f t="shared" si="12"/>
        <v>17999008</v>
      </c>
    </row>
    <row r="70" spans="1:27">
      <c r="A70" s="456" t="s">
        <v>277</v>
      </c>
      <c r="B70" s="419">
        <v>4127</v>
      </c>
      <c r="C70" s="419">
        <v>1691969</v>
      </c>
      <c r="D70" s="419">
        <v>2950</v>
      </c>
      <c r="E70" s="419">
        <v>1716256</v>
      </c>
      <c r="F70" s="419">
        <v>2760</v>
      </c>
      <c r="G70" s="419">
        <v>1417688</v>
      </c>
      <c r="H70" s="419">
        <v>1808</v>
      </c>
      <c r="I70" s="419">
        <v>811327</v>
      </c>
      <c r="J70" s="420">
        <v>1210</v>
      </c>
      <c r="K70" s="421">
        <v>402504</v>
      </c>
      <c r="L70" s="419">
        <v>780</v>
      </c>
      <c r="M70" s="419">
        <v>350268</v>
      </c>
      <c r="N70" s="433">
        <v>875</v>
      </c>
      <c r="O70" s="433">
        <v>407876</v>
      </c>
      <c r="P70" s="419">
        <v>700</v>
      </c>
      <c r="Q70" s="419">
        <v>267943</v>
      </c>
      <c r="R70" s="419">
        <v>108</v>
      </c>
      <c r="S70" s="419">
        <v>140862</v>
      </c>
      <c r="T70" s="419">
        <v>186</v>
      </c>
      <c r="U70" s="419">
        <v>111463</v>
      </c>
      <c r="V70" s="419">
        <f>_xlfn.IFNA(VLOOKUP(A70,[8]進出口值表查詢結果!$C$11:$F$68,4,0),-[4]整車!$B$22)</f>
        <v>314</v>
      </c>
      <c r="W70" s="419">
        <f>_xlfn.IFNA(VLOOKUP(A70,[8]進出口值表查詢結果!$C$11:$F$68,3,0),-[4]整車!$B$22)</f>
        <v>518579</v>
      </c>
      <c r="X70" s="419">
        <f>_xlfn.IFNA(VLOOKUP(A70,[9]進出口值表查詢結果!$C$11:$F$68,4,0),-[4]整車!$B$22)</f>
        <v>838</v>
      </c>
      <c r="Y70" s="419">
        <f>_xlfn.IFNA(VLOOKUP(A70,[9]進出口值表查詢結果!$C$11:$F$68,3,0),-[4]整車!$B$22)</f>
        <v>906262</v>
      </c>
      <c r="Z70" s="413">
        <f t="shared" si="12"/>
        <v>16656</v>
      </c>
      <c r="AA70" s="413">
        <f t="shared" si="12"/>
        <v>8742997</v>
      </c>
    </row>
    <row r="71" spans="1:27">
      <c r="A71" s="456" t="s">
        <v>278</v>
      </c>
      <c r="B71" s="419">
        <v>63</v>
      </c>
      <c r="C71" s="419">
        <v>69477</v>
      </c>
      <c r="D71" s="419">
        <v>51</v>
      </c>
      <c r="E71" s="419">
        <v>65756</v>
      </c>
      <c r="F71" s="419">
        <v>150</v>
      </c>
      <c r="G71" s="419">
        <v>21009</v>
      </c>
      <c r="H71" s="419">
        <v>1</v>
      </c>
      <c r="I71" s="419">
        <v>2120</v>
      </c>
      <c r="J71" s="420">
        <v>19</v>
      </c>
      <c r="K71" s="421">
        <v>35582</v>
      </c>
      <c r="L71" s="419">
        <v>14</v>
      </c>
      <c r="M71" s="419">
        <v>23659</v>
      </c>
      <c r="N71" s="433">
        <v>16</v>
      </c>
      <c r="O71" s="433">
        <v>27418</v>
      </c>
      <c r="P71" s="419">
        <v>2</v>
      </c>
      <c r="Q71" s="419">
        <v>4338</v>
      </c>
      <c r="R71" s="419">
        <v>1</v>
      </c>
      <c r="S71" s="419">
        <v>2174</v>
      </c>
      <c r="T71" s="419">
        <v>1</v>
      </c>
      <c r="U71" s="419">
        <v>2203</v>
      </c>
      <c r="V71" s="419">
        <f>_xlfn.IFNA(VLOOKUP(A71,[8]進出口值表查詢結果!$C$11:$F$68,4,0),-[4]整車!$B$22)</f>
        <v>0</v>
      </c>
      <c r="W71" s="419">
        <f>_xlfn.IFNA(VLOOKUP(A71,[8]進出口值表查詢結果!$C$11:$F$68,3,0),-[4]整車!$B$22)</f>
        <v>0</v>
      </c>
      <c r="X71" s="419">
        <f>_xlfn.IFNA(VLOOKUP(A71,[9]進出口值表查詢結果!$C$11:$F$68,4,0),-[4]整車!$B$22)</f>
        <v>41</v>
      </c>
      <c r="Y71" s="419">
        <f>_xlfn.IFNA(VLOOKUP(A71,[9]進出口值表查詢結果!$C$11:$F$68,3,0),-[4]整車!$B$22)</f>
        <v>28971</v>
      </c>
      <c r="Z71" s="413">
        <f t="shared" si="12"/>
        <v>359</v>
      </c>
      <c r="AA71" s="413">
        <f t="shared" si="12"/>
        <v>282707</v>
      </c>
    </row>
    <row r="72" spans="1:27">
      <c r="A72" s="456" t="s">
        <v>280</v>
      </c>
      <c r="B72" s="419">
        <v>0</v>
      </c>
      <c r="C72" s="419">
        <v>0</v>
      </c>
      <c r="D72" s="419"/>
      <c r="E72" s="419"/>
      <c r="F72" s="419">
        <v>0</v>
      </c>
      <c r="G72" s="419"/>
      <c r="H72" s="419">
        <v>0</v>
      </c>
      <c r="I72" s="419">
        <v>0</v>
      </c>
      <c r="J72" s="420" t="s">
        <v>59</v>
      </c>
      <c r="K72" s="423" t="s">
        <v>59</v>
      </c>
      <c r="L72" s="419">
        <v>0</v>
      </c>
      <c r="M72" s="419">
        <v>0</v>
      </c>
      <c r="N72" s="419">
        <v>0</v>
      </c>
      <c r="O72" s="419">
        <v>0</v>
      </c>
      <c r="P72" s="419">
        <v>0</v>
      </c>
      <c r="Q72" s="419">
        <v>0</v>
      </c>
      <c r="R72" s="419">
        <v>0</v>
      </c>
      <c r="S72" s="419">
        <v>0</v>
      </c>
      <c r="T72" s="419"/>
      <c r="U72" s="419"/>
      <c r="V72" s="419">
        <f>_xlfn.IFNA(VLOOKUP(A72,[8]進出口值表查詢結果!$C$11:$F$68,4,0),-[4]整車!$B$22)</f>
        <v>0</v>
      </c>
      <c r="W72" s="419">
        <f>_xlfn.IFNA(VLOOKUP(A72,[8]進出口值表查詢結果!$C$11:$F$68,3,0),-[4]整車!$B$22)</f>
        <v>0</v>
      </c>
      <c r="X72" s="419">
        <f>_xlfn.IFNA(VLOOKUP(A72,[9]進出口值表查詢結果!$C$11:$F$68,4,0),-[4]整車!$B$22)</f>
        <v>0</v>
      </c>
      <c r="Y72" s="419">
        <f>_xlfn.IFNA(VLOOKUP(A72,[9]進出口值表查詢結果!$C$11:$F$68,3,0),-[4]整車!$B$22)</f>
        <v>0</v>
      </c>
      <c r="Z72" s="413">
        <f t="shared" si="12"/>
        <v>0</v>
      </c>
      <c r="AA72" s="413">
        <f t="shared" si="12"/>
        <v>0</v>
      </c>
    </row>
    <row r="73" spans="1:27">
      <c r="A73" s="456" t="s">
        <v>279</v>
      </c>
      <c r="B73" s="419">
        <v>0</v>
      </c>
      <c r="C73" s="419">
        <v>0</v>
      </c>
      <c r="D73" s="419"/>
      <c r="E73" s="419"/>
      <c r="F73" s="419">
        <v>0</v>
      </c>
      <c r="G73" s="419"/>
      <c r="H73" s="419">
        <v>0</v>
      </c>
      <c r="I73" s="419">
        <v>0</v>
      </c>
      <c r="J73" s="420" t="s">
        <v>59</v>
      </c>
      <c r="K73" s="423" t="s">
        <v>59</v>
      </c>
      <c r="L73" s="419">
        <v>0</v>
      </c>
      <c r="M73" s="419">
        <v>0</v>
      </c>
      <c r="N73" s="419">
        <v>0</v>
      </c>
      <c r="O73" s="419">
        <v>0</v>
      </c>
      <c r="P73" s="419">
        <v>0</v>
      </c>
      <c r="Q73" s="419">
        <v>0</v>
      </c>
      <c r="R73" s="419">
        <v>0</v>
      </c>
      <c r="S73" s="419">
        <v>0</v>
      </c>
      <c r="T73" s="419"/>
      <c r="U73" s="419"/>
      <c r="V73" s="419">
        <f>_xlfn.IFNA(VLOOKUP(A73,[8]進出口值表查詢結果!$C$11:$F$68,4,0),-[4]整車!$B$22)</f>
        <v>0</v>
      </c>
      <c r="W73" s="419">
        <f>_xlfn.IFNA(VLOOKUP(A73,[8]進出口值表查詢結果!$C$11:$F$68,3,0),-[4]整車!$B$22)</f>
        <v>0</v>
      </c>
      <c r="X73" s="419">
        <f>_xlfn.IFNA(VLOOKUP(A73,[9]進出口值表查詢結果!$C$11:$F$68,4,0),-[4]整車!$B$22)</f>
        <v>0</v>
      </c>
      <c r="Y73" s="419">
        <f>_xlfn.IFNA(VLOOKUP(A73,[9]進出口值表查詢結果!$C$11:$F$68,3,0),-[4]整車!$B$22)</f>
        <v>0</v>
      </c>
      <c r="Z73" s="413">
        <f t="shared" si="12"/>
        <v>0</v>
      </c>
      <c r="AA73" s="413">
        <f t="shared" si="12"/>
        <v>0</v>
      </c>
    </row>
    <row r="74" spans="1:27">
      <c r="A74" s="422"/>
      <c r="B74" s="419"/>
      <c r="C74" s="419"/>
      <c r="D74" s="419"/>
      <c r="E74" s="419"/>
      <c r="F74" s="419"/>
      <c r="G74" s="419"/>
      <c r="H74" s="419"/>
      <c r="I74" s="419"/>
      <c r="J74" s="420"/>
      <c r="K74" s="421"/>
      <c r="L74" s="419"/>
      <c r="M74" s="419"/>
      <c r="N74" s="419"/>
      <c r="O74" s="419"/>
      <c r="P74" s="419"/>
      <c r="Q74" s="419"/>
      <c r="R74" s="419"/>
      <c r="S74" s="419"/>
      <c r="T74" s="419"/>
      <c r="U74" s="419"/>
      <c r="V74" s="419"/>
      <c r="W74" s="419"/>
      <c r="X74" s="419"/>
      <c r="Y74" s="419"/>
      <c r="Z74" s="413"/>
      <c r="AA74" s="413"/>
    </row>
    <row r="75" spans="1:27">
      <c r="A75" s="435" t="s">
        <v>143</v>
      </c>
      <c r="B75" s="436">
        <f t="shared" ref="B75:Y75" si="13">SUM(B76:B83)</f>
        <v>1775</v>
      </c>
      <c r="C75" s="436">
        <f t="shared" si="13"/>
        <v>791303</v>
      </c>
      <c r="D75" s="436">
        <f t="shared" si="13"/>
        <v>1901</v>
      </c>
      <c r="E75" s="436">
        <f t="shared" si="13"/>
        <v>631147</v>
      </c>
      <c r="F75" s="436">
        <f t="shared" si="13"/>
        <v>1325</v>
      </c>
      <c r="G75" s="436">
        <f t="shared" si="13"/>
        <v>919450</v>
      </c>
      <c r="H75" s="436">
        <f t="shared" si="13"/>
        <v>631</v>
      </c>
      <c r="I75" s="436">
        <f>SUM(I76:I83)</f>
        <v>220966</v>
      </c>
      <c r="J75" s="437">
        <f t="shared" si="13"/>
        <v>474</v>
      </c>
      <c r="K75" s="438">
        <f>SUM(K76:K83)</f>
        <v>186768</v>
      </c>
      <c r="L75" s="436">
        <f t="shared" si="13"/>
        <v>1046</v>
      </c>
      <c r="M75" s="436">
        <f t="shared" si="13"/>
        <v>357239</v>
      </c>
      <c r="N75" s="436">
        <f t="shared" si="13"/>
        <v>1359</v>
      </c>
      <c r="O75" s="436">
        <f t="shared" si="13"/>
        <v>836881</v>
      </c>
      <c r="P75" s="436">
        <f t="shared" si="13"/>
        <v>164</v>
      </c>
      <c r="Q75" s="436">
        <f t="shared" si="13"/>
        <v>201186</v>
      </c>
      <c r="R75" s="436">
        <f t="shared" si="13"/>
        <v>785</v>
      </c>
      <c r="S75" s="436">
        <f t="shared" si="13"/>
        <v>324287</v>
      </c>
      <c r="T75" s="436">
        <f t="shared" si="13"/>
        <v>2780</v>
      </c>
      <c r="U75" s="436">
        <f t="shared" si="13"/>
        <v>855146</v>
      </c>
      <c r="V75" s="436">
        <f>SUM(V76:V83)</f>
        <v>1929</v>
      </c>
      <c r="W75" s="436">
        <f>SUM(W76:W83)</f>
        <v>885513</v>
      </c>
      <c r="X75" s="436">
        <f t="shared" si="13"/>
        <v>3092</v>
      </c>
      <c r="Y75" s="436">
        <f t="shared" si="13"/>
        <v>1404864</v>
      </c>
      <c r="Z75" s="430">
        <f t="shared" ref="Z75:Z83" si="14">SUM(B75,D75,F75,H75,J75,L75,N75,P75,R75,T75,V75,X75)</f>
        <v>17261</v>
      </c>
      <c r="AA75" s="430">
        <f t="shared" ref="AA75:AA83" si="15">SUM(C75,E75,G75,I75,K75,M75,O75,Q75,S75,U75,W75,Y75)</f>
        <v>7614750</v>
      </c>
    </row>
    <row r="76" spans="1:27">
      <c r="A76" s="456" t="s">
        <v>282</v>
      </c>
      <c r="B76" s="419">
        <v>1579</v>
      </c>
      <c r="C76" s="419">
        <v>669877</v>
      </c>
      <c r="D76" s="419">
        <v>1436</v>
      </c>
      <c r="E76" s="419">
        <v>495570</v>
      </c>
      <c r="F76" s="419">
        <v>931</v>
      </c>
      <c r="G76" s="419">
        <v>702788</v>
      </c>
      <c r="H76" s="419">
        <v>631</v>
      </c>
      <c r="I76" s="419">
        <v>220966</v>
      </c>
      <c r="J76" s="420">
        <v>324</v>
      </c>
      <c r="K76" s="434">
        <v>164549</v>
      </c>
      <c r="L76" s="419">
        <v>815</v>
      </c>
      <c r="M76" s="419">
        <v>323962</v>
      </c>
      <c r="N76" s="433">
        <v>822</v>
      </c>
      <c r="O76" s="433">
        <v>518255</v>
      </c>
      <c r="P76" s="419">
        <v>119</v>
      </c>
      <c r="Q76" s="419">
        <v>179634</v>
      </c>
      <c r="R76" s="419">
        <v>495</v>
      </c>
      <c r="S76" s="419">
        <v>221230</v>
      </c>
      <c r="T76" s="419">
        <v>2780</v>
      </c>
      <c r="U76" s="419">
        <v>855146</v>
      </c>
      <c r="V76" s="419">
        <f>_xlfn.IFNA(VLOOKUP(A76,[8]進出口值表查詢結果!$C$11:$F$68,4,0),-[4]整車!$B$22)</f>
        <v>1812</v>
      </c>
      <c r="W76" s="419">
        <f>_xlfn.IFNA(VLOOKUP(A76,[8]進出口值表查詢結果!$C$11:$F$68,3,0),-[4]整車!$B$22)</f>
        <v>779724</v>
      </c>
      <c r="X76" s="419">
        <f>_xlfn.IFNA(VLOOKUP(A76,[9]進出口值表查詢結果!$C$11:$F$68,4,0),-[4]整車!$B$22)</f>
        <v>2631</v>
      </c>
      <c r="Y76" s="419">
        <f>_xlfn.IFNA(VLOOKUP(A76,[9]進出口值表查詢結果!$C$11:$F$68,3,0),-[4]整車!$B$22)</f>
        <v>1193493</v>
      </c>
      <c r="Z76" s="413">
        <f t="shared" si="14"/>
        <v>14375</v>
      </c>
      <c r="AA76" s="413">
        <f t="shared" si="15"/>
        <v>6325194</v>
      </c>
    </row>
    <row r="77" spans="1:27">
      <c r="A77" s="456" t="s">
        <v>283</v>
      </c>
      <c r="B77" s="419">
        <v>0</v>
      </c>
      <c r="C77" s="419">
        <v>0</v>
      </c>
      <c r="D77" s="419"/>
      <c r="E77" s="419"/>
      <c r="F77" s="419">
        <v>0</v>
      </c>
      <c r="G77" s="419"/>
      <c r="H77" s="419">
        <v>0</v>
      </c>
      <c r="I77" s="419">
        <v>0</v>
      </c>
      <c r="J77" s="420" t="s">
        <v>59</v>
      </c>
      <c r="K77" s="423" t="s">
        <v>59</v>
      </c>
      <c r="L77" s="419">
        <v>0</v>
      </c>
      <c r="M77" s="419">
        <v>0</v>
      </c>
      <c r="N77" s="419">
        <v>0</v>
      </c>
      <c r="O77" s="419">
        <v>0</v>
      </c>
      <c r="P77" s="419">
        <v>0</v>
      </c>
      <c r="Q77" s="419">
        <v>0</v>
      </c>
      <c r="R77" s="419">
        <v>0</v>
      </c>
      <c r="S77" s="419">
        <v>0</v>
      </c>
      <c r="T77" s="419"/>
      <c r="U77" s="419"/>
      <c r="V77" s="419">
        <f>_xlfn.IFNA(VLOOKUP(A77,[8]進出口值表查詢結果!$C$11:$F$68,4,0),-[4]整車!$B$22)</f>
        <v>0</v>
      </c>
      <c r="W77" s="419">
        <f>_xlfn.IFNA(VLOOKUP(A77,[8]進出口值表查詢結果!$C$11:$F$68,3,0),-[4]整車!$B$22)</f>
        <v>0</v>
      </c>
      <c r="X77" s="419">
        <f>_xlfn.IFNA(VLOOKUP(A77,[9]進出口值表查詢結果!$C$11:$F$68,4,0),-[4]整車!$B$22)</f>
        <v>0</v>
      </c>
      <c r="Y77" s="419">
        <f>_xlfn.IFNA(VLOOKUP(A77,[9]進出口值表查詢結果!$C$11:$F$68,3,0),-[4]整車!$B$22)</f>
        <v>0</v>
      </c>
      <c r="Z77" s="413">
        <f t="shared" si="14"/>
        <v>0</v>
      </c>
      <c r="AA77" s="413">
        <f t="shared" si="15"/>
        <v>0</v>
      </c>
    </row>
    <row r="78" spans="1:27">
      <c r="A78" s="456" t="s">
        <v>284</v>
      </c>
      <c r="B78" s="419"/>
      <c r="C78" s="419"/>
      <c r="D78" s="419"/>
      <c r="E78" s="419"/>
      <c r="F78" s="419">
        <v>0</v>
      </c>
      <c r="G78" s="419"/>
      <c r="H78" s="419">
        <v>0</v>
      </c>
      <c r="I78" s="419">
        <v>0</v>
      </c>
      <c r="J78" s="420" t="s">
        <v>59</v>
      </c>
      <c r="K78" s="423" t="s">
        <v>59</v>
      </c>
      <c r="L78" s="419">
        <v>0</v>
      </c>
      <c r="M78" s="419">
        <v>0</v>
      </c>
      <c r="N78" s="419">
        <v>0</v>
      </c>
      <c r="O78" s="419">
        <v>0</v>
      </c>
      <c r="P78" s="419">
        <v>0</v>
      </c>
      <c r="Q78" s="419">
        <v>0</v>
      </c>
      <c r="R78" s="419">
        <v>0</v>
      </c>
      <c r="S78" s="419">
        <v>0</v>
      </c>
      <c r="T78" s="419"/>
      <c r="U78" s="419"/>
      <c r="V78" s="419">
        <f>_xlfn.IFNA(VLOOKUP(A78,[8]進出口值表查詢結果!$C$11:$F$68,4,0),-[4]整車!$B$22)</f>
        <v>0</v>
      </c>
      <c r="W78" s="419">
        <f>_xlfn.IFNA(VLOOKUP(A78,[8]進出口值表查詢結果!$C$11:$F$68,3,0),-[4]整車!$B$22)</f>
        <v>0</v>
      </c>
      <c r="X78" s="419">
        <f>_xlfn.IFNA(VLOOKUP(A78,[9]進出口值表查詢結果!$C$11:$F$68,4,0),-[4]整車!$B$22)</f>
        <v>0</v>
      </c>
      <c r="Y78" s="419">
        <f>_xlfn.IFNA(VLOOKUP(A78,[9]進出口值表查詢結果!$C$11:$F$68,3,0),-[4]整車!$B$22)</f>
        <v>0</v>
      </c>
      <c r="Z78" s="413">
        <f t="shared" si="14"/>
        <v>0</v>
      </c>
      <c r="AA78" s="413">
        <f t="shared" si="15"/>
        <v>0</v>
      </c>
    </row>
    <row r="79" spans="1:27">
      <c r="A79" s="456" t="s">
        <v>285</v>
      </c>
      <c r="B79" s="419"/>
      <c r="C79" s="419"/>
      <c r="D79" s="419"/>
      <c r="E79" s="419"/>
      <c r="F79" s="419">
        <v>0</v>
      </c>
      <c r="G79" s="419"/>
      <c r="H79" s="419">
        <v>0</v>
      </c>
      <c r="I79" s="419">
        <v>0</v>
      </c>
      <c r="J79" s="420" t="s">
        <v>59</v>
      </c>
      <c r="K79" s="423" t="s">
        <v>59</v>
      </c>
      <c r="L79" s="419">
        <v>0</v>
      </c>
      <c r="M79" s="419">
        <v>0</v>
      </c>
      <c r="N79" s="419">
        <v>0</v>
      </c>
      <c r="O79" s="419">
        <v>0</v>
      </c>
      <c r="P79" s="419">
        <v>0</v>
      </c>
      <c r="Q79" s="419">
        <v>0</v>
      </c>
      <c r="R79" s="419">
        <v>0</v>
      </c>
      <c r="S79" s="419">
        <v>0</v>
      </c>
      <c r="T79" s="419"/>
      <c r="U79" s="419"/>
      <c r="V79" s="419">
        <f>_xlfn.IFNA(VLOOKUP(A79,[8]進出口值表查詢結果!$C$11:$F$68,4,0),-[4]整車!$B$22)</f>
        <v>0</v>
      </c>
      <c r="W79" s="419">
        <f>_xlfn.IFNA(VLOOKUP(A79,[8]進出口值表查詢結果!$C$11:$F$68,3,0),-[4]整車!$B$22)</f>
        <v>0</v>
      </c>
      <c r="X79" s="419">
        <f>_xlfn.IFNA(VLOOKUP(A79,[9]進出口值表查詢結果!$C$11:$F$68,4,0),-[4]整車!$B$22)</f>
        <v>0</v>
      </c>
      <c r="Y79" s="419">
        <f>_xlfn.IFNA(VLOOKUP(A79,[9]進出口值表查詢結果!$C$11:$F$68,3,0),-[4]整車!$B$22)</f>
        <v>0</v>
      </c>
      <c r="Z79" s="413">
        <f t="shared" si="14"/>
        <v>0</v>
      </c>
      <c r="AA79" s="413">
        <f t="shared" si="15"/>
        <v>0</v>
      </c>
    </row>
    <row r="80" spans="1:27">
      <c r="A80" s="456" t="s">
        <v>287</v>
      </c>
      <c r="B80" s="419">
        <v>196</v>
      </c>
      <c r="C80" s="419">
        <v>121426</v>
      </c>
      <c r="D80" s="419">
        <v>465</v>
      </c>
      <c r="E80" s="419">
        <v>135577</v>
      </c>
      <c r="F80" s="419">
        <v>339</v>
      </c>
      <c r="G80" s="419">
        <v>203320</v>
      </c>
      <c r="H80" s="419">
        <v>0</v>
      </c>
      <c r="I80" s="419">
        <v>0</v>
      </c>
      <c r="J80" s="420">
        <v>150</v>
      </c>
      <c r="K80" s="434">
        <v>22219</v>
      </c>
      <c r="L80" s="419">
        <v>231</v>
      </c>
      <c r="M80" s="419">
        <v>33277</v>
      </c>
      <c r="N80" s="433">
        <v>537</v>
      </c>
      <c r="O80" s="433">
        <v>318626</v>
      </c>
      <c r="P80" s="419">
        <v>0</v>
      </c>
      <c r="Q80" s="419">
        <v>0</v>
      </c>
      <c r="R80" s="419">
        <v>290</v>
      </c>
      <c r="S80" s="419">
        <v>103057</v>
      </c>
      <c r="T80" s="419"/>
      <c r="U80" s="419"/>
      <c r="V80" s="419">
        <f>_xlfn.IFNA(VLOOKUP(A80,[8]進出口值表查詢結果!$C$11:$F$68,4,0),-[4]整車!$B$22)</f>
        <v>117</v>
      </c>
      <c r="W80" s="419">
        <f>_xlfn.IFNA(VLOOKUP(A80,[8]進出口值表查詢結果!$C$11:$F$68,3,0),-[4]整車!$B$22)</f>
        <v>105789</v>
      </c>
      <c r="X80" s="419">
        <f>_xlfn.IFNA(VLOOKUP(A80,[9]進出口值表查詢結果!$C$11:$F$68,4,0),-[4]整車!$B$22)</f>
        <v>461</v>
      </c>
      <c r="Y80" s="419">
        <f>_xlfn.IFNA(VLOOKUP(A80,[9]進出口值表查詢結果!$C$11:$F$68,3,0),-[4]整車!$B$22)</f>
        <v>211371</v>
      </c>
      <c r="Z80" s="413">
        <f t="shared" si="14"/>
        <v>2786</v>
      </c>
      <c r="AA80" s="413">
        <f t="shared" si="15"/>
        <v>1254662</v>
      </c>
    </row>
    <row r="81" spans="1:27">
      <c r="A81" s="456" t="s">
        <v>289</v>
      </c>
      <c r="B81" s="419"/>
      <c r="C81" s="419"/>
      <c r="D81" s="419"/>
      <c r="E81" s="419"/>
      <c r="F81" s="419">
        <v>55</v>
      </c>
      <c r="G81" s="419">
        <v>13342</v>
      </c>
      <c r="H81" s="419">
        <v>0</v>
      </c>
      <c r="I81" s="419">
        <v>0</v>
      </c>
      <c r="J81" s="420" t="s">
        <v>59</v>
      </c>
      <c r="K81" s="423" t="s">
        <v>59</v>
      </c>
      <c r="L81" s="419">
        <v>0</v>
      </c>
      <c r="M81" s="419">
        <v>0</v>
      </c>
      <c r="N81" s="419">
        <v>0</v>
      </c>
      <c r="O81" s="419">
        <v>0</v>
      </c>
      <c r="P81" s="419">
        <v>45</v>
      </c>
      <c r="Q81" s="419">
        <v>21552</v>
      </c>
      <c r="R81" s="419">
        <v>0</v>
      </c>
      <c r="S81" s="419">
        <v>0</v>
      </c>
      <c r="T81" s="419"/>
      <c r="U81" s="419"/>
      <c r="V81" s="419">
        <f>_xlfn.IFNA(VLOOKUP(A81,[8]進出口值表查詢結果!$C$11:$F$68,4,0),-[4]整車!$B$22)</f>
        <v>0</v>
      </c>
      <c r="W81" s="419">
        <f>_xlfn.IFNA(VLOOKUP(A81,[8]進出口值表查詢結果!$C$11:$F$68,3,0),-[4]整車!$B$22)</f>
        <v>0</v>
      </c>
      <c r="X81" s="419">
        <f>_xlfn.IFNA(VLOOKUP(A81,[9]進出口值表查詢結果!$C$11:$F$68,4,0),-[4]整車!$B$22)</f>
        <v>0</v>
      </c>
      <c r="Y81" s="419">
        <f>_xlfn.IFNA(VLOOKUP(A81,[9]進出口值表查詢結果!$C$11:$F$68,3,0),-[4]整車!$B$22)</f>
        <v>0</v>
      </c>
      <c r="Z81" s="413">
        <f t="shared" si="14"/>
        <v>100</v>
      </c>
      <c r="AA81" s="413">
        <f t="shared" si="15"/>
        <v>34894</v>
      </c>
    </row>
    <row r="82" spans="1:27">
      <c r="A82" s="424" t="s">
        <v>288</v>
      </c>
      <c r="B82" s="419"/>
      <c r="C82" s="419"/>
      <c r="D82" s="419"/>
      <c r="E82" s="419"/>
      <c r="F82" s="419">
        <v>0</v>
      </c>
      <c r="G82" s="419"/>
      <c r="H82" s="419">
        <v>0</v>
      </c>
      <c r="I82" s="419">
        <v>0</v>
      </c>
      <c r="J82" s="420" t="s">
        <v>59</v>
      </c>
      <c r="K82" s="423" t="s">
        <v>59</v>
      </c>
      <c r="L82" s="419">
        <v>0</v>
      </c>
      <c r="M82" s="419">
        <v>0</v>
      </c>
      <c r="N82" s="419">
        <v>0</v>
      </c>
      <c r="O82" s="419">
        <v>0</v>
      </c>
      <c r="P82" s="419">
        <v>0</v>
      </c>
      <c r="Q82" s="419">
        <v>0</v>
      </c>
      <c r="R82" s="419">
        <v>0</v>
      </c>
      <c r="S82" s="419">
        <v>0</v>
      </c>
      <c r="T82" s="419"/>
      <c r="U82" s="419"/>
      <c r="V82" s="419">
        <f>_xlfn.IFNA(VLOOKUP(A82,[8]進出口值表查詢結果!$C$11:$F$68,4,0),-[4]整車!$B$22)</f>
        <v>0</v>
      </c>
      <c r="W82" s="419">
        <f>_xlfn.IFNA(VLOOKUP(A82,[8]進出口值表查詢結果!$C$11:$F$68,3,0),-[4]整車!$B$22)</f>
        <v>0</v>
      </c>
      <c r="X82" s="419">
        <f>_xlfn.IFNA(VLOOKUP(A82,[9]進出口值表查詢結果!$C$11:$F$68,4,0),-[4]整車!$B$22)</f>
        <v>0</v>
      </c>
      <c r="Y82" s="419">
        <f>_xlfn.IFNA(VLOOKUP(A82,[9]進出口值表查詢結果!$C$11:$F$68,3,0),-[4]整車!$B$22)</f>
        <v>0</v>
      </c>
      <c r="Z82" s="413">
        <f t="shared" si="14"/>
        <v>0</v>
      </c>
      <c r="AA82" s="413">
        <f t="shared" si="15"/>
        <v>0</v>
      </c>
    </row>
    <row r="83" spans="1:27">
      <c r="A83" s="424" t="s">
        <v>290</v>
      </c>
      <c r="B83" s="419"/>
      <c r="C83" s="419"/>
      <c r="D83" s="419"/>
      <c r="E83" s="419"/>
      <c r="F83" s="419">
        <v>0</v>
      </c>
      <c r="G83" s="419"/>
      <c r="H83" s="419">
        <v>0</v>
      </c>
      <c r="I83" s="419">
        <v>0</v>
      </c>
      <c r="J83" s="420" t="s">
        <v>59</v>
      </c>
      <c r="K83" s="423">
        <v>0</v>
      </c>
      <c r="L83" s="419">
        <v>0</v>
      </c>
      <c r="M83" s="419">
        <v>0</v>
      </c>
      <c r="N83" s="419">
        <v>0</v>
      </c>
      <c r="O83" s="419">
        <v>0</v>
      </c>
      <c r="P83" s="419">
        <v>0</v>
      </c>
      <c r="Q83" s="419">
        <v>0</v>
      </c>
      <c r="R83" s="419">
        <v>0</v>
      </c>
      <c r="S83" s="419">
        <v>0</v>
      </c>
      <c r="T83" s="419">
        <v>0</v>
      </c>
      <c r="U83" s="419">
        <v>0</v>
      </c>
      <c r="V83" s="419">
        <f>_xlfn.IFNA(VLOOKUP(A83,[8]進出口值表查詢結果!$C$11:$F$68,4,0),-[4]整車!$B$22)</f>
        <v>0</v>
      </c>
      <c r="W83" s="419">
        <f>_xlfn.IFNA(VLOOKUP(A83,[8]進出口值表查詢結果!$C$11:$F$68,3,0),-[4]整車!$B$22)</f>
        <v>0</v>
      </c>
      <c r="X83" s="419">
        <f>_xlfn.IFNA(VLOOKUP(A83,[9]進出口值表查詢結果!$C$11:$F$68,4,0),-[4]整車!$B$22)</f>
        <v>0</v>
      </c>
      <c r="Y83" s="419">
        <f>_xlfn.IFNA(VLOOKUP(A83,[9]進出口值表查詢結果!$C$11:$F$68,3,0),-[4]整車!$B$22)</f>
        <v>0</v>
      </c>
      <c r="Z83" s="413">
        <f t="shared" si="14"/>
        <v>0</v>
      </c>
      <c r="AA83" s="413">
        <f t="shared" si="15"/>
        <v>0</v>
      </c>
    </row>
    <row r="84" spans="1:27">
      <c r="A84" s="422"/>
      <c r="B84" s="419"/>
      <c r="C84" s="419"/>
      <c r="D84" s="419"/>
      <c r="E84" s="419"/>
      <c r="F84" s="419"/>
      <c r="G84" s="419"/>
      <c r="H84" s="419"/>
      <c r="I84" s="419"/>
      <c r="J84" s="420"/>
      <c r="K84" s="421"/>
      <c r="L84" s="419"/>
      <c r="M84" s="419"/>
      <c r="N84" s="419"/>
      <c r="O84" s="419"/>
      <c r="P84" s="419"/>
      <c r="Q84" s="419"/>
      <c r="R84" s="419"/>
      <c r="S84" s="419"/>
      <c r="T84" s="419"/>
      <c r="U84" s="419"/>
      <c r="V84" s="419"/>
      <c r="W84" s="419"/>
      <c r="X84" s="419"/>
      <c r="Y84" s="419"/>
      <c r="Z84" s="413"/>
      <c r="AA84" s="413"/>
    </row>
    <row r="85" spans="1:27">
      <c r="A85" s="439" t="s">
        <v>47</v>
      </c>
      <c r="B85" s="440">
        <f t="shared" ref="B85:Y85" si="16">SUM(B86:B95)</f>
        <v>4580</v>
      </c>
      <c r="C85" s="440">
        <f t="shared" si="16"/>
        <v>4189345</v>
      </c>
      <c r="D85" s="440">
        <f t="shared" si="16"/>
        <v>4981</v>
      </c>
      <c r="E85" s="440">
        <f t="shared" si="16"/>
        <v>3563822</v>
      </c>
      <c r="F85" s="440">
        <f t="shared" si="16"/>
        <v>4938</v>
      </c>
      <c r="G85" s="440">
        <f t="shared" si="16"/>
        <v>4345204</v>
      </c>
      <c r="H85" s="440">
        <f t="shared" si="16"/>
        <v>4040</v>
      </c>
      <c r="I85" s="440">
        <f t="shared" si="16"/>
        <v>2474863</v>
      </c>
      <c r="J85" s="441">
        <f t="shared" si="16"/>
        <v>3564</v>
      </c>
      <c r="K85" s="442">
        <f>SUM(K86:K95)</f>
        <v>3664756</v>
      </c>
      <c r="L85" s="440">
        <f t="shared" si="16"/>
        <v>6992</v>
      </c>
      <c r="M85" s="440">
        <f t="shared" si="16"/>
        <v>7057607</v>
      </c>
      <c r="N85" s="440">
        <f t="shared" si="16"/>
        <v>9419</v>
      </c>
      <c r="O85" s="440">
        <f t="shared" si="16"/>
        <v>9080258</v>
      </c>
      <c r="P85" s="440">
        <f t="shared" si="16"/>
        <v>18596</v>
      </c>
      <c r="Q85" s="440">
        <f t="shared" si="16"/>
        <v>13272347</v>
      </c>
      <c r="R85" s="440">
        <f t="shared" si="16"/>
        <v>16559</v>
      </c>
      <c r="S85" s="440">
        <f t="shared" si="16"/>
        <v>10409447</v>
      </c>
      <c r="T85" s="440">
        <f t="shared" si="16"/>
        <v>9960</v>
      </c>
      <c r="U85" s="440">
        <f t="shared" si="16"/>
        <v>6716352</v>
      </c>
      <c r="V85" s="440">
        <f>SUM(V86:V95)</f>
        <v>10701</v>
      </c>
      <c r="W85" s="440">
        <f>SUM(W86:W95)</f>
        <v>9725369</v>
      </c>
      <c r="X85" s="440">
        <f t="shared" si="16"/>
        <v>14699</v>
      </c>
      <c r="Y85" s="440">
        <f t="shared" si="16"/>
        <v>10190062</v>
      </c>
      <c r="Z85" s="426">
        <f t="shared" ref="Z85:Z95" si="17">SUM(B85,D85,F85,H85,J85,L85,N85,P85,R85,T85,V85,X85)</f>
        <v>109029</v>
      </c>
      <c r="AA85" s="426">
        <f t="shared" ref="AA85:AA95" si="18">SUM(C85,E85,G85,I85,K85,M85,O85,Q85,S85,U85,W85,Y85)</f>
        <v>84689432</v>
      </c>
    </row>
    <row r="86" spans="1:27">
      <c r="A86" s="456" t="s">
        <v>176</v>
      </c>
      <c r="B86" s="419">
        <v>4150</v>
      </c>
      <c r="C86" s="419">
        <v>3694908</v>
      </c>
      <c r="D86" s="419">
        <v>4032</v>
      </c>
      <c r="E86" s="419">
        <v>2636975</v>
      </c>
      <c r="F86" s="419">
        <v>4087</v>
      </c>
      <c r="G86" s="419">
        <v>3599502</v>
      </c>
      <c r="H86" s="419">
        <v>3562</v>
      </c>
      <c r="I86" s="419">
        <v>1835676</v>
      </c>
      <c r="J86" s="420">
        <v>2839</v>
      </c>
      <c r="K86" s="421">
        <v>2636423</v>
      </c>
      <c r="L86" s="419">
        <v>5737</v>
      </c>
      <c r="M86" s="419">
        <v>5468499</v>
      </c>
      <c r="N86" s="433">
        <v>7440</v>
      </c>
      <c r="O86" s="433">
        <v>6804533</v>
      </c>
      <c r="P86" s="419">
        <v>15662</v>
      </c>
      <c r="Q86" s="419">
        <v>10198676</v>
      </c>
      <c r="R86" s="419">
        <v>14530</v>
      </c>
      <c r="S86" s="419">
        <v>8126261</v>
      </c>
      <c r="T86" s="419">
        <v>8369</v>
      </c>
      <c r="U86" s="419">
        <v>5188023</v>
      </c>
      <c r="V86" s="419">
        <f>_xlfn.IFNA(VLOOKUP(A86,[8]進出口值表查詢結果!$C$11:$F$68,4,0),-[4]整車!$B$22)</f>
        <v>8737</v>
      </c>
      <c r="W86" s="419">
        <f>_xlfn.IFNA(VLOOKUP(A86,[8]進出口值表查詢結果!$C$11:$F$68,3,0),-[4]整車!$B$22)</f>
        <v>7518300</v>
      </c>
      <c r="X86" s="419">
        <f>_xlfn.IFNA(VLOOKUP(A86,[9]進出口值表查詢結果!$C$11:$F$68,4,0),-[4]整車!$B$22)</f>
        <v>12512</v>
      </c>
      <c r="Y86" s="419">
        <f>_xlfn.IFNA(VLOOKUP(A86,[9]進出口值表查詢結果!$C$11:$F$68,3,0),-[4]整車!$B$22)</f>
        <v>8168473</v>
      </c>
      <c r="Z86" s="413">
        <f t="shared" si="17"/>
        <v>91657</v>
      </c>
      <c r="AA86" s="413">
        <f t="shared" si="18"/>
        <v>65876249</v>
      </c>
    </row>
    <row r="87" spans="1:27">
      <c r="A87" s="456" t="s">
        <v>291</v>
      </c>
      <c r="B87" s="419"/>
      <c r="C87" s="419"/>
      <c r="D87" s="419"/>
      <c r="E87" s="419"/>
      <c r="F87" s="419">
        <v>0</v>
      </c>
      <c r="G87" s="419"/>
      <c r="H87" s="419">
        <v>0</v>
      </c>
      <c r="I87" s="419">
        <v>0</v>
      </c>
      <c r="J87" s="420">
        <v>0</v>
      </c>
      <c r="K87" s="423">
        <v>0</v>
      </c>
      <c r="L87" s="419">
        <v>0</v>
      </c>
      <c r="M87" s="419">
        <v>0</v>
      </c>
      <c r="N87" s="419">
        <v>0</v>
      </c>
      <c r="O87" s="419">
        <v>0</v>
      </c>
      <c r="P87" s="419">
        <v>0</v>
      </c>
      <c r="Q87" s="419">
        <v>0</v>
      </c>
      <c r="R87" s="419">
        <v>0</v>
      </c>
      <c r="S87" s="419">
        <v>0</v>
      </c>
      <c r="T87" s="419"/>
      <c r="U87" s="419"/>
      <c r="V87" s="419">
        <f>_xlfn.IFNA(VLOOKUP(A87,[8]進出口值表查詢結果!$C$11:$F$68,4,0),-[4]整車!$B$22)</f>
        <v>0</v>
      </c>
      <c r="W87" s="419">
        <f>_xlfn.IFNA(VLOOKUP(A87,[8]進出口值表查詢結果!$C$11:$F$68,3,0),-[4]整車!$B$22)</f>
        <v>0</v>
      </c>
      <c r="X87" s="419">
        <f>_xlfn.IFNA(VLOOKUP(A87,[9]進出口值表查詢結果!$C$11:$F$68,4,0),-[4]整車!$B$22)</f>
        <v>0</v>
      </c>
      <c r="Y87" s="419">
        <f>_xlfn.IFNA(VLOOKUP(A87,[9]進出口值表查詢結果!$C$11:$F$68,3,0),-[4]整車!$B$22)</f>
        <v>0</v>
      </c>
      <c r="Z87" s="413">
        <f t="shared" si="17"/>
        <v>0</v>
      </c>
      <c r="AA87" s="413">
        <f t="shared" si="18"/>
        <v>0</v>
      </c>
    </row>
    <row r="88" spans="1:27">
      <c r="A88" s="456" t="s">
        <v>175</v>
      </c>
      <c r="B88" s="419">
        <v>399</v>
      </c>
      <c r="C88" s="419">
        <v>445420</v>
      </c>
      <c r="D88" s="419">
        <v>924</v>
      </c>
      <c r="E88" s="419">
        <v>877548</v>
      </c>
      <c r="F88" s="419">
        <v>851</v>
      </c>
      <c r="G88" s="419">
        <v>745702</v>
      </c>
      <c r="H88" s="419">
        <v>478</v>
      </c>
      <c r="I88" s="419">
        <v>639187</v>
      </c>
      <c r="J88" s="420">
        <v>694</v>
      </c>
      <c r="K88" s="421">
        <v>961243</v>
      </c>
      <c r="L88" s="419">
        <v>1089</v>
      </c>
      <c r="M88" s="419">
        <v>1332104</v>
      </c>
      <c r="N88" s="433">
        <v>1942</v>
      </c>
      <c r="O88" s="433">
        <v>2269776</v>
      </c>
      <c r="P88" s="419">
        <v>2862</v>
      </c>
      <c r="Q88" s="419">
        <v>2963505</v>
      </c>
      <c r="R88" s="419">
        <v>2009</v>
      </c>
      <c r="S88" s="419">
        <v>2248234</v>
      </c>
      <c r="T88" s="419">
        <v>1565</v>
      </c>
      <c r="U88" s="419">
        <v>1482993</v>
      </c>
      <c r="V88" s="419">
        <f>_xlfn.IFNA(VLOOKUP(A88,[8]進出口值表查詢結果!$C$11:$F$68,4,0),-[4]整車!$B$22)</f>
        <v>1783</v>
      </c>
      <c r="W88" s="419">
        <f>_xlfn.IFNA(VLOOKUP(A88,[8]進出口值表查詢結果!$C$11:$F$68,3,0),-[4]整車!$B$22)</f>
        <v>1858681</v>
      </c>
      <c r="X88" s="419">
        <f>_xlfn.IFNA(VLOOKUP(A88,[9]進出口值表查詢結果!$C$11:$F$68,4,0),-[4]整車!$B$22)</f>
        <v>2182</v>
      </c>
      <c r="Y88" s="419">
        <f>_xlfn.IFNA(VLOOKUP(A88,[9]進出口值表查詢結果!$C$11:$F$68,3,0),-[4]整車!$B$22)</f>
        <v>2014871</v>
      </c>
      <c r="Z88" s="413">
        <f t="shared" si="17"/>
        <v>16778</v>
      </c>
      <c r="AA88" s="413">
        <f t="shared" si="18"/>
        <v>17839264</v>
      </c>
    </row>
    <row r="89" spans="1:27">
      <c r="A89" s="456" t="s">
        <v>294</v>
      </c>
      <c r="B89" s="419"/>
      <c r="C89" s="419"/>
      <c r="D89" s="419"/>
      <c r="E89" s="419"/>
      <c r="F89" s="419">
        <v>0</v>
      </c>
      <c r="G89" s="419"/>
      <c r="H89" s="419">
        <v>0</v>
      </c>
      <c r="I89" s="419">
        <v>0</v>
      </c>
      <c r="J89" s="420" t="s">
        <v>59</v>
      </c>
      <c r="K89" s="423">
        <v>0</v>
      </c>
      <c r="L89" s="419">
        <v>0</v>
      </c>
      <c r="M89" s="419">
        <v>0</v>
      </c>
      <c r="N89" s="419">
        <v>0</v>
      </c>
      <c r="O89" s="419">
        <v>0</v>
      </c>
      <c r="P89" s="419">
        <v>0</v>
      </c>
      <c r="Q89" s="419">
        <v>0</v>
      </c>
      <c r="R89" s="419">
        <v>0</v>
      </c>
      <c r="S89" s="419">
        <v>0</v>
      </c>
      <c r="T89" s="419"/>
      <c r="U89" s="419"/>
      <c r="V89" s="419">
        <f>_xlfn.IFNA(VLOOKUP(A89,[8]進出口值表查詢結果!$C$11:$F$68,4,0),-[4]整車!$B$22)</f>
        <v>0</v>
      </c>
      <c r="W89" s="419">
        <f>_xlfn.IFNA(VLOOKUP(A89,[8]進出口值表查詢結果!$C$11:$F$68,3,0),-[4]整車!$B$22)</f>
        <v>0</v>
      </c>
      <c r="X89" s="419">
        <f>_xlfn.IFNA(VLOOKUP(A89,[9]進出口值表查詢結果!$C$11:$F$68,4,0),-[4]整車!$B$22)</f>
        <v>0</v>
      </c>
      <c r="Y89" s="419">
        <f>_xlfn.IFNA(VLOOKUP(A89,[9]進出口值表查詢結果!$C$11:$F$68,3,0),-[4]整車!$B$22)</f>
        <v>0</v>
      </c>
      <c r="Z89" s="413">
        <f t="shared" si="17"/>
        <v>0</v>
      </c>
      <c r="AA89" s="413">
        <f t="shared" si="18"/>
        <v>0</v>
      </c>
    </row>
    <row r="90" spans="1:27">
      <c r="A90" s="456" t="s">
        <v>293</v>
      </c>
      <c r="B90" s="419">
        <v>5</v>
      </c>
      <c r="C90" s="419">
        <v>13029</v>
      </c>
      <c r="D90" s="419">
        <v>25</v>
      </c>
      <c r="E90" s="419">
        <v>49299</v>
      </c>
      <c r="F90" s="419">
        <v>0</v>
      </c>
      <c r="G90" s="419"/>
      <c r="H90" s="419">
        <v>0</v>
      </c>
      <c r="I90" s="419">
        <v>0</v>
      </c>
      <c r="J90" s="420">
        <v>31</v>
      </c>
      <c r="K90" s="421">
        <v>67090</v>
      </c>
      <c r="L90" s="419">
        <v>166</v>
      </c>
      <c r="M90" s="419">
        <v>257004</v>
      </c>
      <c r="N90" s="433">
        <v>2</v>
      </c>
      <c r="O90" s="419">
        <v>2535</v>
      </c>
      <c r="P90" s="419">
        <v>72</v>
      </c>
      <c r="Q90" s="419">
        <v>110166</v>
      </c>
      <c r="R90" s="419">
        <v>20</v>
      </c>
      <c r="S90" s="419">
        <v>34952</v>
      </c>
      <c r="T90" s="419">
        <v>26</v>
      </c>
      <c r="U90" s="419">
        <v>45336</v>
      </c>
      <c r="V90" s="419">
        <f>_xlfn.IFNA(VLOOKUP(A90,[8]進出口值表查詢結果!$C$11:$F$68,4,0),-[4]整車!$B$22)</f>
        <v>156</v>
      </c>
      <c r="W90" s="419">
        <f>_xlfn.IFNA(VLOOKUP(A90,[8]進出口值表查詢結果!$C$11:$F$68,3,0),-[4]整車!$B$22)</f>
        <v>316499</v>
      </c>
      <c r="X90" s="419">
        <f>_xlfn.IFNA(VLOOKUP(A90,[9]進出口值表查詢結果!$C$11:$F$68,4,0),-[4]整車!$B$22)</f>
        <v>5</v>
      </c>
      <c r="Y90" s="419">
        <f>_xlfn.IFNA(VLOOKUP(A90,[9]進出口值表查詢結果!$C$11:$F$68,3,0),-[4]整車!$B$22)</f>
        <v>6718</v>
      </c>
      <c r="Z90" s="413">
        <f t="shared" si="17"/>
        <v>508</v>
      </c>
      <c r="AA90" s="413">
        <f t="shared" si="18"/>
        <v>902628</v>
      </c>
    </row>
    <row r="91" spans="1:27">
      <c r="A91" s="456" t="s">
        <v>295</v>
      </c>
      <c r="B91" s="419"/>
      <c r="C91" s="419"/>
      <c r="D91" s="419"/>
      <c r="E91" s="419"/>
      <c r="F91" s="419">
        <v>0</v>
      </c>
      <c r="G91" s="419"/>
      <c r="H91" s="419">
        <v>0</v>
      </c>
      <c r="I91" s="419">
        <v>0</v>
      </c>
      <c r="J91" s="420" t="s">
        <v>59</v>
      </c>
      <c r="K91" s="423">
        <v>0</v>
      </c>
      <c r="L91" s="419">
        <v>0</v>
      </c>
      <c r="M91" s="419">
        <v>0</v>
      </c>
      <c r="N91" s="419">
        <v>0</v>
      </c>
      <c r="O91" s="419">
        <v>0</v>
      </c>
      <c r="P91" s="419">
        <v>0</v>
      </c>
      <c r="Q91" s="419">
        <v>0</v>
      </c>
      <c r="R91" s="419">
        <v>0</v>
      </c>
      <c r="S91" s="419">
        <v>0</v>
      </c>
      <c r="T91" s="419"/>
      <c r="U91" s="419"/>
      <c r="V91" s="419">
        <f>_xlfn.IFNA(VLOOKUP(A91,[8]進出口值表查詢結果!$C$11:$F$68,4,0),-[4]整車!$B$22)</f>
        <v>0</v>
      </c>
      <c r="W91" s="419">
        <f>_xlfn.IFNA(VLOOKUP(A91,[8]進出口值表查詢結果!$C$11:$F$68,3,0),-[4]整車!$B$22)</f>
        <v>0</v>
      </c>
      <c r="X91" s="419">
        <f>_xlfn.IFNA(VLOOKUP(A91,[9]進出口值表查詢結果!$C$11:$F$68,4,0),-[4]整車!$B$22)</f>
        <v>0</v>
      </c>
      <c r="Y91" s="419">
        <f>_xlfn.IFNA(VLOOKUP(A91,[9]進出口值表查詢結果!$C$11:$F$68,3,0),-[4]整車!$B$22)</f>
        <v>0</v>
      </c>
      <c r="Z91" s="413">
        <f t="shared" si="17"/>
        <v>0</v>
      </c>
      <c r="AA91" s="413">
        <f t="shared" si="18"/>
        <v>0</v>
      </c>
    </row>
    <row r="92" spans="1:27">
      <c r="A92" s="456" t="s">
        <v>397</v>
      </c>
      <c r="B92" s="419">
        <v>26</v>
      </c>
      <c r="C92" s="419">
        <v>35988</v>
      </c>
      <c r="D92" s="419"/>
      <c r="E92" s="419"/>
      <c r="F92" s="419">
        <v>0</v>
      </c>
      <c r="G92" s="419"/>
      <c r="H92" s="419">
        <v>0</v>
      </c>
      <c r="I92" s="419">
        <v>0</v>
      </c>
      <c r="J92" s="420" t="s">
        <v>59</v>
      </c>
      <c r="K92" s="423">
        <v>0</v>
      </c>
      <c r="L92" s="419">
        <v>0</v>
      </c>
      <c r="M92" s="419">
        <v>0</v>
      </c>
      <c r="N92" s="419">
        <v>0</v>
      </c>
      <c r="O92" s="419">
        <v>0</v>
      </c>
      <c r="P92" s="419">
        <v>0</v>
      </c>
      <c r="Q92" s="419">
        <v>0</v>
      </c>
      <c r="R92" s="419">
        <v>0</v>
      </c>
      <c r="S92" s="419">
        <v>0</v>
      </c>
      <c r="T92" s="419"/>
      <c r="U92" s="419"/>
      <c r="V92" s="419">
        <f>_xlfn.IFNA(VLOOKUP(A92,[8]進出口值表查詢結果!$C$11:$F$68,4,0),-[4]整車!$B$22)</f>
        <v>25</v>
      </c>
      <c r="W92" s="419">
        <f>_xlfn.IFNA(VLOOKUP(A92,[8]進出口值表查詢結果!$C$11:$F$68,3,0),-[4]整車!$B$22)</f>
        <v>31889</v>
      </c>
      <c r="X92" s="419">
        <f>_xlfn.IFNA(VLOOKUP(A92,[9]進出口值表查詢結果!$C$11:$F$68,4,0),-[4]整車!$B$22)</f>
        <v>0</v>
      </c>
      <c r="Y92" s="419">
        <f>_xlfn.IFNA(VLOOKUP(A92,[9]進出口值表查詢結果!$C$11:$F$68,3,0),-[4]整車!$B$22)</f>
        <v>0</v>
      </c>
      <c r="Z92" s="413">
        <f t="shared" si="17"/>
        <v>51</v>
      </c>
      <c r="AA92" s="413">
        <f t="shared" si="18"/>
        <v>67877</v>
      </c>
    </row>
    <row r="93" spans="1:27">
      <c r="A93" s="456" t="s">
        <v>297</v>
      </c>
      <c r="B93" s="419"/>
      <c r="C93" s="419"/>
      <c r="D93" s="419"/>
      <c r="E93" s="419"/>
      <c r="F93" s="419">
        <v>0</v>
      </c>
      <c r="G93" s="419"/>
      <c r="H93" s="419">
        <v>0</v>
      </c>
      <c r="I93" s="419">
        <v>0</v>
      </c>
      <c r="J93" s="420" t="s">
        <v>59</v>
      </c>
      <c r="K93" s="423">
        <v>0</v>
      </c>
      <c r="L93" s="419">
        <v>0</v>
      </c>
      <c r="M93" s="419">
        <v>0</v>
      </c>
      <c r="N93" s="433">
        <v>35</v>
      </c>
      <c r="O93" s="433">
        <v>3414</v>
      </c>
      <c r="P93" s="419">
        <v>0</v>
      </c>
      <c r="Q93" s="419">
        <v>0</v>
      </c>
      <c r="R93" s="419">
        <v>0</v>
      </c>
      <c r="S93" s="419">
        <v>0</v>
      </c>
      <c r="T93" s="419"/>
      <c r="U93" s="419"/>
      <c r="V93" s="419">
        <f>_xlfn.IFNA(VLOOKUP(A93,[8]進出口值表查詢結果!$C$11:$F$68,4,0),-[4]整車!$B$22)</f>
        <v>0</v>
      </c>
      <c r="W93" s="419">
        <f>_xlfn.IFNA(VLOOKUP(A93,[8]進出口值表查詢結果!$C$11:$F$68,3,0),-[4]整車!$B$22)</f>
        <v>0</v>
      </c>
      <c r="X93" s="419">
        <f>_xlfn.IFNA(VLOOKUP(A93,[9]進出口值表查詢結果!$C$11:$F$68,4,0),-[4]整車!$B$22)</f>
        <v>0</v>
      </c>
      <c r="Y93" s="419">
        <f>_xlfn.IFNA(VLOOKUP(A93,[9]進出口值表查詢結果!$C$11:$F$68,3,0),-[4]整車!$B$22)</f>
        <v>0</v>
      </c>
      <c r="Z93" s="413">
        <f t="shared" si="17"/>
        <v>35</v>
      </c>
      <c r="AA93" s="413">
        <f t="shared" si="18"/>
        <v>3414</v>
      </c>
    </row>
    <row r="94" spans="1:27">
      <c r="A94" s="456" t="s">
        <v>296</v>
      </c>
      <c r="B94" s="419"/>
      <c r="C94" s="419"/>
      <c r="D94" s="419"/>
      <c r="E94" s="419"/>
      <c r="F94" s="419">
        <v>0</v>
      </c>
      <c r="G94" s="419"/>
      <c r="H94" s="419">
        <v>0</v>
      </c>
      <c r="I94" s="419">
        <v>0</v>
      </c>
      <c r="J94" s="420" t="s">
        <v>59</v>
      </c>
      <c r="K94" s="423">
        <v>0</v>
      </c>
      <c r="L94" s="419">
        <v>0</v>
      </c>
      <c r="M94" s="419">
        <v>0</v>
      </c>
      <c r="N94" s="419">
        <v>0</v>
      </c>
      <c r="O94" s="419">
        <v>0</v>
      </c>
      <c r="P94" s="419">
        <v>0</v>
      </c>
      <c r="Q94" s="419">
        <v>0</v>
      </c>
      <c r="R94" s="419">
        <v>0</v>
      </c>
      <c r="S94" s="419">
        <v>0</v>
      </c>
      <c r="T94" s="419"/>
      <c r="U94" s="419"/>
      <c r="V94" s="419">
        <f>_xlfn.IFNA(VLOOKUP(A94,[8]進出口值表查詢結果!$C$11:$F$68,4,0),-[4]整車!$B$22)</f>
        <v>0</v>
      </c>
      <c r="W94" s="419">
        <f>_xlfn.IFNA(VLOOKUP(A94,[8]進出口值表查詢結果!$C$11:$F$68,3,0),-[4]整車!$B$22)</f>
        <v>0</v>
      </c>
      <c r="X94" s="419">
        <f>_xlfn.IFNA(VLOOKUP(A94,[9]進出口值表查詢結果!$C$11:$F$68,4,0),-[4]整車!$B$22)</f>
        <v>0</v>
      </c>
      <c r="Y94" s="419">
        <f>_xlfn.IFNA(VLOOKUP(A94,[9]進出口值表查詢結果!$C$11:$F$68,3,0),-[4]整車!$B$22)</f>
        <v>0</v>
      </c>
      <c r="Z94" s="413">
        <f t="shared" si="17"/>
        <v>0</v>
      </c>
      <c r="AA94" s="413">
        <f t="shared" si="18"/>
        <v>0</v>
      </c>
    </row>
    <row r="95" spans="1:27">
      <c r="A95" s="458" t="s">
        <v>298</v>
      </c>
      <c r="B95" s="413"/>
      <c r="C95" s="413"/>
      <c r="D95" s="413"/>
      <c r="E95" s="419"/>
      <c r="F95" s="413">
        <v>0</v>
      </c>
      <c r="G95" s="413"/>
      <c r="H95" s="419">
        <v>0</v>
      </c>
      <c r="I95" s="419">
        <v>0</v>
      </c>
      <c r="J95" s="406" t="s">
        <v>59</v>
      </c>
      <c r="K95" s="423">
        <v>0</v>
      </c>
      <c r="L95" s="413">
        <v>0</v>
      </c>
      <c r="M95" s="413">
        <v>0</v>
      </c>
      <c r="N95" s="413">
        <v>0</v>
      </c>
      <c r="O95" s="413">
        <v>0</v>
      </c>
      <c r="P95" s="419">
        <v>0</v>
      </c>
      <c r="Q95" s="419">
        <v>0</v>
      </c>
      <c r="R95" s="419">
        <v>0</v>
      </c>
      <c r="S95" s="419">
        <v>0</v>
      </c>
      <c r="T95" s="413"/>
      <c r="U95" s="413"/>
      <c r="V95" s="419">
        <f>_xlfn.IFNA(VLOOKUP(A95,[8]進出口值表查詢結果!$C$11:$F$68,4,0),-[4]整車!$B$22)</f>
        <v>0</v>
      </c>
      <c r="W95" s="419">
        <f>_xlfn.IFNA(VLOOKUP(A95,[8]進出口值表查詢結果!$C$11:$F$68,3,0),-[4]整車!$B$22)</f>
        <v>0</v>
      </c>
      <c r="X95" s="419">
        <f>_xlfn.IFNA(VLOOKUP(A95,[9]進出口值表查詢結果!$C$11:$F$68,4,0),-[4]整車!$B$22)</f>
        <v>0</v>
      </c>
      <c r="Y95" s="419">
        <f>_xlfn.IFNA(VLOOKUP(A95,[9]進出口值表查詢結果!$C$11:$F$68,3,0),-[4]整車!$B$22)</f>
        <v>0</v>
      </c>
      <c r="Z95" s="413">
        <f t="shared" si="17"/>
        <v>0</v>
      </c>
      <c r="AA95" s="413">
        <f t="shared" si="18"/>
        <v>0</v>
      </c>
    </row>
    <row r="96" spans="1:27">
      <c r="A96" s="412"/>
      <c r="B96" s="413"/>
      <c r="C96" s="413"/>
      <c r="D96" s="413"/>
      <c r="E96" s="413"/>
      <c r="F96" s="413"/>
      <c r="G96" s="413"/>
      <c r="H96" s="413"/>
      <c r="I96" s="413"/>
      <c r="J96" s="406"/>
      <c r="K96" s="407"/>
      <c r="L96" s="413"/>
      <c r="M96" s="413"/>
      <c r="N96" s="413"/>
      <c r="O96" s="413"/>
      <c r="P96" s="413"/>
      <c r="Q96" s="413"/>
      <c r="R96" s="413"/>
      <c r="S96" s="413"/>
      <c r="T96" s="413"/>
      <c r="U96" s="413"/>
      <c r="V96" s="413"/>
      <c r="W96" s="413"/>
      <c r="X96" s="413"/>
      <c r="Y96" s="413"/>
      <c r="Z96" s="413"/>
      <c r="AA96" s="413"/>
    </row>
    <row r="97" spans="1:27">
      <c r="A97" s="439" t="s">
        <v>144</v>
      </c>
      <c r="B97" s="440">
        <f t="shared" ref="B97:Y97" si="19">SUM(B98:B100)</f>
        <v>52798</v>
      </c>
      <c r="C97" s="440">
        <f t="shared" si="19"/>
        <v>33121696</v>
      </c>
      <c r="D97" s="440">
        <f t="shared" si="19"/>
        <v>50400</v>
      </c>
      <c r="E97" s="440">
        <f t="shared" si="19"/>
        <v>31534279</v>
      </c>
      <c r="F97" s="440">
        <f t="shared" si="19"/>
        <v>40988</v>
      </c>
      <c r="G97" s="440">
        <f t="shared" si="19"/>
        <v>23973578</v>
      </c>
      <c r="H97" s="440">
        <f t="shared" si="19"/>
        <v>42311</v>
      </c>
      <c r="I97" s="440">
        <f t="shared" si="19"/>
        <v>22157100</v>
      </c>
      <c r="J97" s="441">
        <f t="shared" si="19"/>
        <v>68862</v>
      </c>
      <c r="K97" s="442">
        <f t="shared" si="19"/>
        <v>39539255</v>
      </c>
      <c r="L97" s="440">
        <f t="shared" si="19"/>
        <v>61547</v>
      </c>
      <c r="M97" s="440">
        <f t="shared" si="19"/>
        <v>41765283</v>
      </c>
      <c r="N97" s="440">
        <f t="shared" si="19"/>
        <v>57860</v>
      </c>
      <c r="O97" s="440">
        <f t="shared" si="19"/>
        <v>47576440</v>
      </c>
      <c r="P97" s="440">
        <f t="shared" si="19"/>
        <v>70020</v>
      </c>
      <c r="Q97" s="440">
        <f t="shared" si="19"/>
        <v>47975910</v>
      </c>
      <c r="R97" s="440">
        <f t="shared" si="19"/>
        <v>57029</v>
      </c>
      <c r="S97" s="440">
        <f t="shared" si="19"/>
        <v>32139611</v>
      </c>
      <c r="T97" s="440">
        <f t="shared" si="19"/>
        <v>68638</v>
      </c>
      <c r="U97" s="440">
        <f t="shared" si="19"/>
        <v>38723065</v>
      </c>
      <c r="V97" s="440">
        <f>SUM(V98:V100)</f>
        <v>76863</v>
      </c>
      <c r="W97" s="440">
        <f>SUM(W98:W100)</f>
        <v>36987555</v>
      </c>
      <c r="X97" s="440">
        <f t="shared" si="19"/>
        <v>64518</v>
      </c>
      <c r="Y97" s="440">
        <f t="shared" si="19"/>
        <v>35209517</v>
      </c>
      <c r="Z97" s="426">
        <f t="shared" ref="Z97:AA100" si="20">SUM(B97,D97,F97,H97,J97,L97,N97,P97,R97,T97,V97,X97)</f>
        <v>711834</v>
      </c>
      <c r="AA97" s="426">
        <f t="shared" si="20"/>
        <v>430703289</v>
      </c>
    </row>
    <row r="98" spans="1:27">
      <c r="A98" s="456" t="s">
        <v>164</v>
      </c>
      <c r="B98" s="419">
        <v>48120</v>
      </c>
      <c r="C98" s="419">
        <v>29498633</v>
      </c>
      <c r="D98" s="419">
        <v>44184</v>
      </c>
      <c r="E98" s="419">
        <v>25012824</v>
      </c>
      <c r="F98" s="419">
        <v>37364</v>
      </c>
      <c r="G98" s="419">
        <v>20911414</v>
      </c>
      <c r="H98" s="419">
        <v>40429</v>
      </c>
      <c r="I98" s="419">
        <v>20039545</v>
      </c>
      <c r="J98" s="420">
        <v>65721</v>
      </c>
      <c r="K98" s="421">
        <v>36235280</v>
      </c>
      <c r="L98" s="419">
        <v>57262</v>
      </c>
      <c r="M98" s="419">
        <v>37300973</v>
      </c>
      <c r="N98" s="419">
        <v>52826</v>
      </c>
      <c r="O98" s="419">
        <v>41788643</v>
      </c>
      <c r="P98" s="419">
        <v>65538</v>
      </c>
      <c r="Q98" s="419">
        <v>42663542</v>
      </c>
      <c r="R98" s="419">
        <v>54118</v>
      </c>
      <c r="S98" s="419">
        <v>29005811</v>
      </c>
      <c r="T98" s="419">
        <v>65331</v>
      </c>
      <c r="U98" s="419">
        <v>34634631</v>
      </c>
      <c r="V98" s="419">
        <f>_xlfn.IFNA(VLOOKUP(A98,[8]進出口值表查詢結果!$C$11:$F$68,4,0),-[4]整車!$B$22)</f>
        <v>73370</v>
      </c>
      <c r="W98" s="419">
        <f>_xlfn.IFNA(VLOOKUP(A98,[8]進出口值表查詢結果!$C$11:$F$68,3,0),-[4]整車!$B$22)</f>
        <v>33547174</v>
      </c>
      <c r="X98" s="419">
        <f>_xlfn.IFNA(VLOOKUP(A98,[9]進出口值表查詢結果!$C$11:$F$68,4,0),-[4]整車!$B$22)</f>
        <v>60970</v>
      </c>
      <c r="Y98" s="419">
        <f>_xlfn.IFNA(VLOOKUP(A98,[9]進出口值表查詢結果!$C$11:$F$68,3,0),-[4]整車!$B$22)</f>
        <v>32188211</v>
      </c>
      <c r="Z98" s="413">
        <f t="shared" si="20"/>
        <v>665233</v>
      </c>
      <c r="AA98" s="413">
        <f t="shared" si="20"/>
        <v>382826681</v>
      </c>
    </row>
    <row r="99" spans="1:27">
      <c r="A99" s="456" t="s">
        <v>174</v>
      </c>
      <c r="B99" s="419">
        <v>4285</v>
      </c>
      <c r="C99" s="419">
        <v>3224729</v>
      </c>
      <c r="D99" s="419">
        <v>5520</v>
      </c>
      <c r="E99" s="419">
        <v>5948302</v>
      </c>
      <c r="F99" s="419">
        <v>3453</v>
      </c>
      <c r="G99" s="419">
        <v>2889944</v>
      </c>
      <c r="H99" s="419">
        <v>1520</v>
      </c>
      <c r="I99" s="419">
        <v>1622558</v>
      </c>
      <c r="J99" s="420">
        <v>2611</v>
      </c>
      <c r="K99" s="421">
        <v>2499831</v>
      </c>
      <c r="L99" s="419">
        <v>3403</v>
      </c>
      <c r="M99" s="419">
        <v>3630698</v>
      </c>
      <c r="N99" s="419">
        <v>3856</v>
      </c>
      <c r="O99" s="419">
        <v>4296622</v>
      </c>
      <c r="P99" s="419">
        <v>3208</v>
      </c>
      <c r="Q99" s="419">
        <v>3679701</v>
      </c>
      <c r="R99" s="419">
        <v>2427</v>
      </c>
      <c r="S99" s="419">
        <v>2612605</v>
      </c>
      <c r="T99" s="419">
        <v>2276</v>
      </c>
      <c r="U99" s="419">
        <v>3152428</v>
      </c>
      <c r="V99" s="419">
        <f>_xlfn.IFNA(VLOOKUP(A99,[8]進出口值表查詢結果!$C$11:$F$68,4,0),-[4]整車!$B$22)</f>
        <v>2267</v>
      </c>
      <c r="W99" s="419">
        <f>_xlfn.IFNA(VLOOKUP(A99,[8]進出口值表查詢結果!$C$11:$F$68,3,0),-[4]整車!$B$22)</f>
        <v>2558579</v>
      </c>
      <c r="X99" s="419">
        <f>_xlfn.IFNA(VLOOKUP(A99,[9]進出口值表查詢結果!$C$11:$F$68,4,0),-[4]整車!$B$22)</f>
        <v>3014</v>
      </c>
      <c r="Y99" s="419">
        <f>_xlfn.IFNA(VLOOKUP(A99,[9]進出口值表查詢結果!$C$11:$F$68,3,0),-[4]整車!$B$22)</f>
        <v>2345835</v>
      </c>
      <c r="Z99" s="413">
        <f t="shared" si="20"/>
        <v>37840</v>
      </c>
      <c r="AA99" s="413">
        <f t="shared" si="20"/>
        <v>38461832</v>
      </c>
    </row>
    <row r="100" spans="1:27">
      <c r="A100" s="456" t="s">
        <v>197</v>
      </c>
      <c r="B100" s="419">
        <v>393</v>
      </c>
      <c r="C100" s="419">
        <v>398334</v>
      </c>
      <c r="D100" s="419">
        <v>696</v>
      </c>
      <c r="E100" s="419">
        <v>573153</v>
      </c>
      <c r="F100" s="419">
        <v>171</v>
      </c>
      <c r="G100" s="419">
        <v>172220</v>
      </c>
      <c r="H100" s="419">
        <v>362</v>
      </c>
      <c r="I100" s="419">
        <v>494997</v>
      </c>
      <c r="J100" s="420">
        <v>530</v>
      </c>
      <c r="K100" s="423">
        <v>804144</v>
      </c>
      <c r="L100" s="419">
        <v>882</v>
      </c>
      <c r="M100" s="419">
        <v>833612</v>
      </c>
      <c r="N100" s="419">
        <v>1178</v>
      </c>
      <c r="O100" s="419">
        <v>1491175</v>
      </c>
      <c r="P100" s="419">
        <v>1274</v>
      </c>
      <c r="Q100" s="419">
        <v>1632667</v>
      </c>
      <c r="R100" s="419">
        <v>484</v>
      </c>
      <c r="S100" s="419">
        <v>521195</v>
      </c>
      <c r="T100" s="419">
        <v>1031</v>
      </c>
      <c r="U100" s="419">
        <v>936006</v>
      </c>
      <c r="V100" s="419">
        <f>_xlfn.IFNA(VLOOKUP(A100,[8]進出口值表查詢結果!$C$11:$F$68,4,0),-[4]整車!$B$22)</f>
        <v>1226</v>
      </c>
      <c r="W100" s="419">
        <f>_xlfn.IFNA(VLOOKUP(A100,[8]進出口值表查詢結果!$C$11:$F$68,3,0),-[4]整車!$B$22)</f>
        <v>881802</v>
      </c>
      <c r="X100" s="419">
        <f>_xlfn.IFNA(VLOOKUP(A100,[9]進出口值表查詢結果!$C$11:$F$68,4,0),-[4]整車!$B$22)</f>
        <v>534</v>
      </c>
      <c r="Y100" s="419">
        <f>_xlfn.IFNA(VLOOKUP(A100,[9]進出口值表查詢結果!$C$11:$F$68,3,0),-[4]整車!$B$22)</f>
        <v>675471</v>
      </c>
      <c r="Z100" s="413">
        <f t="shared" si="20"/>
        <v>8761</v>
      </c>
      <c r="AA100" s="413">
        <f t="shared" si="20"/>
        <v>9414776</v>
      </c>
    </row>
    <row r="101" spans="1:27">
      <c r="A101" s="422"/>
      <c r="B101" s="419"/>
      <c r="C101" s="419"/>
      <c r="D101" s="419"/>
      <c r="E101" s="419"/>
      <c r="F101" s="419"/>
      <c r="G101" s="419"/>
      <c r="H101" s="419"/>
      <c r="I101" s="419"/>
      <c r="J101" s="420"/>
      <c r="K101" s="421"/>
      <c r="L101" s="419"/>
      <c r="M101" s="419"/>
      <c r="N101" s="419"/>
      <c r="O101" s="419"/>
      <c r="P101" s="419"/>
      <c r="Q101" s="419"/>
      <c r="R101" s="419"/>
      <c r="S101" s="419"/>
      <c r="T101" s="419"/>
      <c r="U101" s="419"/>
      <c r="V101" s="419"/>
      <c r="W101" s="419"/>
      <c r="X101" s="419"/>
      <c r="Y101" s="419"/>
      <c r="Z101" s="413"/>
      <c r="AA101" s="413"/>
    </row>
    <row r="102" spans="1:27">
      <c r="A102" s="439" t="s">
        <v>45</v>
      </c>
      <c r="B102" s="440">
        <f t="shared" ref="B102:Y102" si="21">SUM(B103:B134)</f>
        <v>1934</v>
      </c>
      <c r="C102" s="440">
        <f t="shared" si="21"/>
        <v>1731089</v>
      </c>
      <c r="D102" s="440">
        <f t="shared" si="21"/>
        <v>1633</v>
      </c>
      <c r="E102" s="440">
        <f t="shared" si="21"/>
        <v>1772448</v>
      </c>
      <c r="F102" s="440">
        <f t="shared" si="21"/>
        <v>1822</v>
      </c>
      <c r="G102" s="440">
        <f t="shared" si="21"/>
        <v>2077067</v>
      </c>
      <c r="H102" s="440">
        <f t="shared" si="21"/>
        <v>906</v>
      </c>
      <c r="I102" s="440">
        <f t="shared" si="21"/>
        <v>1075357</v>
      </c>
      <c r="J102" s="441">
        <f t="shared" si="21"/>
        <v>1957</v>
      </c>
      <c r="K102" s="442">
        <f t="shared" si="21"/>
        <v>3078550</v>
      </c>
      <c r="L102" s="440">
        <f t="shared" si="21"/>
        <v>3212</v>
      </c>
      <c r="M102" s="440">
        <f t="shared" si="21"/>
        <v>4353020</v>
      </c>
      <c r="N102" s="440">
        <f t="shared" si="21"/>
        <v>3748</v>
      </c>
      <c r="O102" s="440">
        <f t="shared" si="21"/>
        <v>4915548</v>
      </c>
      <c r="P102" s="440">
        <f t="shared" si="21"/>
        <v>2931</v>
      </c>
      <c r="Q102" s="440">
        <f t="shared" si="21"/>
        <v>4038698</v>
      </c>
      <c r="R102" s="440">
        <f t="shared" si="21"/>
        <v>2759</v>
      </c>
      <c r="S102" s="440">
        <f t="shared" si="21"/>
        <v>3387332</v>
      </c>
      <c r="T102" s="440">
        <f t="shared" si="21"/>
        <v>2949</v>
      </c>
      <c r="U102" s="440">
        <f t="shared" si="21"/>
        <v>3052841</v>
      </c>
      <c r="V102" s="440">
        <f>SUM(V103:V134)</f>
        <v>1812</v>
      </c>
      <c r="W102" s="440">
        <f>SUM(W103:W134)</f>
        <v>2019548</v>
      </c>
      <c r="X102" s="440">
        <f t="shared" si="21"/>
        <v>2688</v>
      </c>
      <c r="Y102" s="440">
        <f t="shared" si="21"/>
        <v>2319383</v>
      </c>
      <c r="Z102" s="426">
        <f t="shared" ref="Z102:Z134" si="22">SUM(B102,D102,F102,H102,J102,L102,N102,P102,R102,T102,V102,X102)</f>
        <v>28351</v>
      </c>
      <c r="AA102" s="426">
        <f t="shared" ref="AA102:AA134" si="23">SUM(C102,E102,G102,I102,K102,M102,O102,Q102,S102,U102,W102,Y102)</f>
        <v>33820881</v>
      </c>
    </row>
    <row r="103" spans="1:27">
      <c r="A103" s="456" t="s">
        <v>299</v>
      </c>
      <c r="B103" s="419"/>
      <c r="C103" s="419"/>
      <c r="D103" s="419"/>
      <c r="E103" s="419"/>
      <c r="F103" s="419">
        <v>0</v>
      </c>
      <c r="G103" s="419"/>
      <c r="H103" s="419">
        <v>0</v>
      </c>
      <c r="I103" s="419">
        <v>0</v>
      </c>
      <c r="J103" s="420" t="s">
        <v>59</v>
      </c>
      <c r="K103" s="423" t="s">
        <v>59</v>
      </c>
      <c r="L103" s="419"/>
      <c r="M103" s="419"/>
      <c r="N103" s="419"/>
      <c r="O103" s="419"/>
      <c r="P103" s="419">
        <v>0</v>
      </c>
      <c r="Q103" s="419">
        <v>0</v>
      </c>
      <c r="R103" s="419">
        <v>0</v>
      </c>
      <c r="S103" s="419">
        <v>0</v>
      </c>
      <c r="T103" s="419"/>
      <c r="U103" s="419"/>
      <c r="V103" s="419">
        <f>_xlfn.IFNA(VLOOKUP(A103,[8]進出口值表查詢結果!$C$11:$F$68,4,0),-[4]整車!$B$22)</f>
        <v>0</v>
      </c>
      <c r="W103" s="419">
        <f>_xlfn.IFNA(VLOOKUP(A103,[8]進出口值表查詢結果!$C$11:$F$68,3,0),-[4]整車!$B$22)</f>
        <v>0</v>
      </c>
      <c r="X103" s="419">
        <f>_xlfn.IFNA(VLOOKUP(A103,[9]進出口值表查詢結果!$C$11:$F$68,4,0),-[4]整車!$B$22)</f>
        <v>0</v>
      </c>
      <c r="Y103" s="419">
        <f>_xlfn.IFNA(VLOOKUP(A103,[9]進出口值表查詢結果!$C$11:$F$68,3,0),-[4]整車!$B$22)</f>
        <v>0</v>
      </c>
      <c r="Z103" s="413">
        <f t="shared" si="22"/>
        <v>0</v>
      </c>
      <c r="AA103" s="413">
        <f t="shared" si="23"/>
        <v>0</v>
      </c>
    </row>
    <row r="104" spans="1:27">
      <c r="A104" s="456" t="s">
        <v>300</v>
      </c>
      <c r="B104" s="419"/>
      <c r="C104" s="419"/>
      <c r="D104" s="419"/>
      <c r="E104" s="419"/>
      <c r="F104" s="419">
        <v>0</v>
      </c>
      <c r="G104" s="419"/>
      <c r="H104" s="419">
        <v>0</v>
      </c>
      <c r="I104" s="419">
        <v>0</v>
      </c>
      <c r="J104" s="420" t="s">
        <v>59</v>
      </c>
      <c r="K104" s="423" t="s">
        <v>59</v>
      </c>
      <c r="L104" s="419"/>
      <c r="M104" s="419"/>
      <c r="N104" s="419"/>
      <c r="O104" s="419"/>
      <c r="P104" s="419">
        <v>0</v>
      </c>
      <c r="Q104" s="419">
        <v>0</v>
      </c>
      <c r="R104" s="419">
        <v>0</v>
      </c>
      <c r="S104" s="419">
        <v>0</v>
      </c>
      <c r="T104" s="419"/>
      <c r="U104" s="419"/>
      <c r="V104" s="419">
        <f>_xlfn.IFNA(VLOOKUP(A104,[8]進出口值表查詢結果!$C$11:$F$68,4,0),-[4]整車!$B$22)</f>
        <v>0</v>
      </c>
      <c r="W104" s="419">
        <f>_xlfn.IFNA(VLOOKUP(A104,[8]進出口值表查詢結果!$C$11:$F$68,3,0),-[4]整車!$B$22)</f>
        <v>0</v>
      </c>
      <c r="X104" s="419">
        <f>_xlfn.IFNA(VLOOKUP(A104,[9]進出口值表查詢結果!$C$11:$F$68,4,0),-[4]整車!$B$22)</f>
        <v>0</v>
      </c>
      <c r="Y104" s="419">
        <f>_xlfn.IFNA(VLOOKUP(A104,[9]進出口值表查詢結果!$C$11:$F$68,3,0),-[4]整車!$B$22)</f>
        <v>0</v>
      </c>
      <c r="Z104" s="413">
        <f t="shared" si="22"/>
        <v>0</v>
      </c>
      <c r="AA104" s="413">
        <f t="shared" si="23"/>
        <v>0</v>
      </c>
    </row>
    <row r="105" spans="1:27">
      <c r="A105" s="456" t="s">
        <v>190</v>
      </c>
      <c r="B105" s="419">
        <v>382</v>
      </c>
      <c r="C105" s="419">
        <v>382841</v>
      </c>
      <c r="D105" s="419">
        <v>506</v>
      </c>
      <c r="E105" s="419">
        <v>765722</v>
      </c>
      <c r="F105" s="419">
        <v>527</v>
      </c>
      <c r="G105" s="419">
        <v>600067</v>
      </c>
      <c r="H105" s="419">
        <v>281</v>
      </c>
      <c r="I105" s="419">
        <v>404903</v>
      </c>
      <c r="J105" s="420">
        <v>848</v>
      </c>
      <c r="K105" s="421">
        <v>1410992</v>
      </c>
      <c r="L105" s="419">
        <v>1653</v>
      </c>
      <c r="M105" s="419">
        <v>2346012</v>
      </c>
      <c r="N105" s="433">
        <v>944</v>
      </c>
      <c r="O105" s="433">
        <v>1389114</v>
      </c>
      <c r="P105" s="419">
        <v>509</v>
      </c>
      <c r="Q105" s="419">
        <v>808506</v>
      </c>
      <c r="R105" s="419">
        <v>533</v>
      </c>
      <c r="S105" s="419">
        <v>864334</v>
      </c>
      <c r="T105" s="419">
        <v>159</v>
      </c>
      <c r="U105" s="419">
        <v>215147</v>
      </c>
      <c r="V105" s="419">
        <f>_xlfn.IFNA(VLOOKUP(A105,[8]進出口值表查詢結果!$C$11:$F$68,4,0),-[4]整車!$B$22)</f>
        <v>323</v>
      </c>
      <c r="W105" s="419">
        <f>_xlfn.IFNA(VLOOKUP(A105,[8]進出口值表查詢結果!$C$11:$F$68,3,0),-[4]整車!$B$22)</f>
        <v>284126</v>
      </c>
      <c r="X105" s="419">
        <f>_xlfn.IFNA(VLOOKUP(A105,[9]進出口值表查詢結果!$C$11:$F$68,4,0),-[4]整車!$B$22)</f>
        <v>146</v>
      </c>
      <c r="Y105" s="419">
        <f>_xlfn.IFNA(VLOOKUP(A105,[9]進出口值表查詢結果!$C$11:$F$68,3,0),-[4]整車!$B$22)</f>
        <v>145591</v>
      </c>
      <c r="Z105" s="413">
        <f t="shared" si="22"/>
        <v>6811</v>
      </c>
      <c r="AA105" s="413">
        <f t="shared" si="23"/>
        <v>9617355</v>
      </c>
    </row>
    <row r="106" spans="1:27">
      <c r="A106" s="456" t="s">
        <v>302</v>
      </c>
      <c r="B106" s="419">
        <v>192</v>
      </c>
      <c r="C106" s="419">
        <v>147251</v>
      </c>
      <c r="D106" s="419">
        <v>186</v>
      </c>
      <c r="E106" s="419">
        <v>185042</v>
      </c>
      <c r="F106" s="419">
        <v>10</v>
      </c>
      <c r="G106" s="419">
        <v>16229</v>
      </c>
      <c r="H106" s="419">
        <v>0</v>
      </c>
      <c r="I106" s="419">
        <v>0</v>
      </c>
      <c r="J106" s="420" t="s">
        <v>59</v>
      </c>
      <c r="K106" s="423" t="s">
        <v>59</v>
      </c>
      <c r="L106" s="419">
        <v>204</v>
      </c>
      <c r="M106" s="419">
        <v>355563</v>
      </c>
      <c r="N106" s="433">
        <v>92</v>
      </c>
      <c r="O106" s="433">
        <v>125017</v>
      </c>
      <c r="P106" s="419">
        <v>232</v>
      </c>
      <c r="Q106" s="419">
        <v>213453</v>
      </c>
      <c r="R106" s="419">
        <v>211</v>
      </c>
      <c r="S106" s="419">
        <v>248506</v>
      </c>
      <c r="T106" s="419">
        <v>234</v>
      </c>
      <c r="U106" s="419">
        <v>172701</v>
      </c>
      <c r="V106" s="419">
        <f>_xlfn.IFNA(VLOOKUP(A106,[8]進出口值表查詢結果!$C$11:$F$68,4,0),-[4]整車!$B$22)</f>
        <v>169</v>
      </c>
      <c r="W106" s="419">
        <f>_xlfn.IFNA(VLOOKUP(A106,[8]進出口值表查詢結果!$C$11:$F$68,3,0),-[4]整車!$B$22)</f>
        <v>193761</v>
      </c>
      <c r="X106" s="419">
        <f>_xlfn.IFNA(VLOOKUP(A106,[9]進出口值表查詢結果!$C$11:$F$68,4,0),-[4]整車!$B$22)</f>
        <v>364</v>
      </c>
      <c r="Y106" s="419">
        <f>_xlfn.IFNA(VLOOKUP(A106,[9]進出口值表查詢結果!$C$11:$F$68,3,0),-[4]整車!$B$22)</f>
        <v>300945</v>
      </c>
      <c r="Z106" s="413">
        <f t="shared" si="22"/>
        <v>1894</v>
      </c>
      <c r="AA106" s="413">
        <f t="shared" si="23"/>
        <v>1958468</v>
      </c>
    </row>
    <row r="107" spans="1:27">
      <c r="A107" s="456" t="s">
        <v>303</v>
      </c>
      <c r="B107" s="419">
        <v>781</v>
      </c>
      <c r="C107" s="419">
        <v>548150</v>
      </c>
      <c r="D107" s="419">
        <v>111</v>
      </c>
      <c r="E107" s="419">
        <v>89240</v>
      </c>
      <c r="F107" s="419">
        <v>351</v>
      </c>
      <c r="G107" s="419">
        <v>470294</v>
      </c>
      <c r="H107" s="419">
        <v>198</v>
      </c>
      <c r="I107" s="419">
        <v>307652</v>
      </c>
      <c r="J107" s="420">
        <v>229</v>
      </c>
      <c r="K107" s="421">
        <v>430170</v>
      </c>
      <c r="L107" s="419">
        <v>510</v>
      </c>
      <c r="M107" s="419">
        <v>633446</v>
      </c>
      <c r="N107" s="433">
        <v>1151</v>
      </c>
      <c r="O107" s="433">
        <v>1551960</v>
      </c>
      <c r="P107" s="419">
        <v>889</v>
      </c>
      <c r="Q107" s="419">
        <v>1212809</v>
      </c>
      <c r="R107" s="419">
        <v>540</v>
      </c>
      <c r="S107" s="419">
        <v>582846</v>
      </c>
      <c r="T107" s="419">
        <v>602</v>
      </c>
      <c r="U107" s="419">
        <v>676489</v>
      </c>
      <c r="V107" s="419">
        <f>_xlfn.IFNA(VLOOKUP(A107,[8]進出口值表查詢結果!$C$11:$F$68,4,0),-[4]整車!$B$22)</f>
        <v>546</v>
      </c>
      <c r="W107" s="419">
        <f>_xlfn.IFNA(VLOOKUP(A107,[8]進出口值表查詢結果!$C$11:$F$68,3,0),-[4]整車!$B$22)</f>
        <v>727903</v>
      </c>
      <c r="X107" s="419">
        <f>_xlfn.IFNA(VLOOKUP(A107,[9]進出口值表查詢結果!$C$11:$F$68,4,0),-[4]整車!$B$22)</f>
        <v>233</v>
      </c>
      <c r="Y107" s="419">
        <f>_xlfn.IFNA(VLOOKUP(A107,[9]進出口值表查詢結果!$C$11:$F$68,3,0),-[4]整車!$B$22)</f>
        <v>261722</v>
      </c>
      <c r="Z107" s="413">
        <f t="shared" si="22"/>
        <v>6141</v>
      </c>
      <c r="AA107" s="413">
        <f t="shared" si="23"/>
        <v>7492681</v>
      </c>
    </row>
    <row r="108" spans="1:27">
      <c r="A108" s="456" t="s">
        <v>304</v>
      </c>
      <c r="B108" s="419">
        <v>17</v>
      </c>
      <c r="C108" s="419">
        <v>25258</v>
      </c>
      <c r="D108" s="419"/>
      <c r="E108" s="419"/>
      <c r="F108" s="419">
        <v>35</v>
      </c>
      <c r="G108" s="419">
        <v>25788</v>
      </c>
      <c r="H108" s="419">
        <v>12</v>
      </c>
      <c r="I108" s="419">
        <v>16694</v>
      </c>
      <c r="J108" s="420">
        <v>206</v>
      </c>
      <c r="K108" s="423">
        <v>450652</v>
      </c>
      <c r="L108" s="419">
        <v>105</v>
      </c>
      <c r="M108" s="419">
        <v>123626</v>
      </c>
      <c r="N108" s="419">
        <v>201</v>
      </c>
      <c r="O108" s="433">
        <v>350913</v>
      </c>
      <c r="P108" s="419">
        <v>238</v>
      </c>
      <c r="Q108" s="419">
        <v>267808</v>
      </c>
      <c r="R108" s="419">
        <v>35</v>
      </c>
      <c r="S108" s="419">
        <v>51563</v>
      </c>
      <c r="T108" s="419">
        <v>445</v>
      </c>
      <c r="U108" s="419">
        <v>486920</v>
      </c>
      <c r="V108" s="419">
        <f>_xlfn.IFNA(VLOOKUP(A108,[8]進出口值表查詢結果!$C$11:$F$68,4,0),-[4]整車!$B$22)</f>
        <v>432</v>
      </c>
      <c r="W108" s="419">
        <f>_xlfn.IFNA(VLOOKUP(A108,[8]進出口值表查詢結果!$C$11:$F$68,3,0),-[4]整車!$B$22)</f>
        <v>333448</v>
      </c>
      <c r="X108" s="419">
        <f>_xlfn.IFNA(VLOOKUP(A108,[9]進出口值表查詢結果!$C$11:$F$68,4,0),-[4]整車!$B$22)</f>
        <v>408</v>
      </c>
      <c r="Y108" s="419">
        <f>_xlfn.IFNA(VLOOKUP(A108,[9]進出口值表查詢結果!$C$11:$F$68,3,0),-[4]整車!$B$22)</f>
        <v>492827</v>
      </c>
      <c r="Z108" s="413">
        <f t="shared" si="22"/>
        <v>2134</v>
      </c>
      <c r="AA108" s="413">
        <f t="shared" si="23"/>
        <v>2625497</v>
      </c>
    </row>
    <row r="109" spans="1:27">
      <c r="A109" s="456" t="s">
        <v>398</v>
      </c>
      <c r="B109" s="419">
        <v>21</v>
      </c>
      <c r="C109" s="419">
        <v>26824</v>
      </c>
      <c r="D109" s="419"/>
      <c r="E109" s="419"/>
      <c r="F109" s="419">
        <v>99</v>
      </c>
      <c r="G109" s="419">
        <v>93761</v>
      </c>
      <c r="H109" s="419">
        <v>0</v>
      </c>
      <c r="I109" s="419">
        <v>0</v>
      </c>
      <c r="J109" s="420">
        <v>106</v>
      </c>
      <c r="K109" s="421">
        <v>83461</v>
      </c>
      <c r="L109" s="419">
        <v>38</v>
      </c>
      <c r="M109" s="419">
        <v>42862</v>
      </c>
      <c r="N109" s="433">
        <v>99</v>
      </c>
      <c r="O109" s="433">
        <v>102704</v>
      </c>
      <c r="P109" s="419">
        <v>90</v>
      </c>
      <c r="Q109" s="419">
        <v>90308</v>
      </c>
      <c r="R109" s="419">
        <v>58</v>
      </c>
      <c r="S109" s="419">
        <v>70380</v>
      </c>
      <c r="T109" s="419">
        <v>106</v>
      </c>
      <c r="U109" s="419">
        <v>106953</v>
      </c>
      <c r="V109" s="419">
        <f>_xlfn.IFNA(VLOOKUP(A109,[8]進出口值表查詢結果!$C$11:$F$68,4,0),-[4]整車!$B$22)</f>
        <v>50</v>
      </c>
      <c r="W109" s="419">
        <f>_xlfn.IFNA(VLOOKUP(A109,[8]進出口值表查詢結果!$C$11:$F$68,3,0),-[4]整車!$B$22)</f>
        <v>61248</v>
      </c>
      <c r="X109" s="419">
        <f>_xlfn.IFNA(VLOOKUP(A109,[9]進出口值表查詢結果!$C$11:$F$68,4,0),-[4]整車!$B$22)</f>
        <v>24</v>
      </c>
      <c r="Y109" s="419">
        <f>_xlfn.IFNA(VLOOKUP(A109,[9]進出口值表查詢結果!$C$11:$F$68,3,0),-[4]整車!$B$22)</f>
        <v>4829</v>
      </c>
      <c r="Z109" s="413">
        <f t="shared" si="22"/>
        <v>691</v>
      </c>
      <c r="AA109" s="413">
        <f t="shared" si="23"/>
        <v>683330</v>
      </c>
    </row>
    <row r="110" spans="1:27">
      <c r="A110" s="456" t="s">
        <v>305</v>
      </c>
      <c r="B110" s="419"/>
      <c r="C110" s="419"/>
      <c r="D110" s="419">
        <v>26</v>
      </c>
      <c r="E110" s="419">
        <v>36509</v>
      </c>
      <c r="F110" s="419">
        <v>69</v>
      </c>
      <c r="G110" s="419">
        <v>58115</v>
      </c>
      <c r="H110" s="419">
        <v>0</v>
      </c>
      <c r="I110" s="419">
        <v>0</v>
      </c>
      <c r="J110" s="420" t="s">
        <v>59</v>
      </c>
      <c r="K110" s="423" t="s">
        <v>59</v>
      </c>
      <c r="L110" s="419"/>
      <c r="M110" s="419"/>
      <c r="N110" s="419"/>
      <c r="O110" s="419"/>
      <c r="P110" s="419">
        <v>0</v>
      </c>
      <c r="Q110" s="419">
        <v>0</v>
      </c>
      <c r="R110" s="419">
        <v>0</v>
      </c>
      <c r="S110" s="419">
        <v>0</v>
      </c>
      <c r="T110" s="419"/>
      <c r="U110" s="419"/>
      <c r="V110" s="419">
        <f>_xlfn.IFNA(VLOOKUP(A110,[8]進出口值表查詢結果!$C$11:$F$68,4,0),-[4]整車!$B$22)</f>
        <v>0</v>
      </c>
      <c r="W110" s="419">
        <f>_xlfn.IFNA(VLOOKUP(A110,[8]進出口值表查詢結果!$C$11:$F$68,3,0),-[4]整車!$B$22)</f>
        <v>0</v>
      </c>
      <c r="X110" s="419">
        <f>_xlfn.IFNA(VLOOKUP(A110,[9]進出口值表查詢結果!$C$11:$F$68,4,0),-[4]整車!$B$22)</f>
        <v>0</v>
      </c>
      <c r="Y110" s="419">
        <f>_xlfn.IFNA(VLOOKUP(A110,[9]進出口值表查詢結果!$C$11:$F$68,3,0),-[4]整車!$B$22)</f>
        <v>0</v>
      </c>
      <c r="Z110" s="413">
        <f t="shared" si="22"/>
        <v>95</v>
      </c>
      <c r="AA110" s="413">
        <f t="shared" si="23"/>
        <v>94624</v>
      </c>
    </row>
    <row r="111" spans="1:27">
      <c r="A111" s="456" t="s">
        <v>306</v>
      </c>
      <c r="B111" s="419">
        <v>38</v>
      </c>
      <c r="C111" s="419">
        <v>57613</v>
      </c>
      <c r="D111" s="419">
        <v>239</v>
      </c>
      <c r="E111" s="419">
        <v>192071</v>
      </c>
      <c r="F111" s="419">
        <v>218</v>
      </c>
      <c r="G111" s="419">
        <v>140890</v>
      </c>
      <c r="H111" s="419">
        <v>5</v>
      </c>
      <c r="I111" s="419">
        <v>10500</v>
      </c>
      <c r="J111" s="420">
        <v>175</v>
      </c>
      <c r="K111" s="423">
        <v>220849</v>
      </c>
      <c r="L111" s="419">
        <v>319</v>
      </c>
      <c r="M111" s="419">
        <v>305430</v>
      </c>
      <c r="N111" s="433">
        <v>392</v>
      </c>
      <c r="O111" s="433">
        <v>586309</v>
      </c>
      <c r="P111" s="419">
        <v>106</v>
      </c>
      <c r="Q111" s="419">
        <v>196069</v>
      </c>
      <c r="R111" s="419">
        <v>435</v>
      </c>
      <c r="S111" s="419">
        <v>558493</v>
      </c>
      <c r="T111" s="419">
        <v>345</v>
      </c>
      <c r="U111" s="419">
        <v>422823</v>
      </c>
      <c r="V111" s="419">
        <f>_xlfn.IFNA(VLOOKUP(A111,[8]進出口值表查詢結果!$C$11:$F$68,4,0),-[4]整車!$B$22)</f>
        <v>81</v>
      </c>
      <c r="W111" s="419">
        <f>_xlfn.IFNA(VLOOKUP(A111,[8]進出口值表查詢結果!$C$11:$F$68,3,0),-[4]整車!$B$22)</f>
        <v>132131</v>
      </c>
      <c r="X111" s="419">
        <f>_xlfn.IFNA(VLOOKUP(A111,[9]進出口值表查詢結果!$C$11:$F$68,4,0),-[4]整車!$B$22)</f>
        <v>22</v>
      </c>
      <c r="Y111" s="419">
        <f>_xlfn.IFNA(VLOOKUP(A111,[9]進出口值表查詢結果!$C$11:$F$68,3,0),-[4]整車!$B$22)</f>
        <v>32015</v>
      </c>
      <c r="Z111" s="413">
        <f t="shared" si="22"/>
        <v>2375</v>
      </c>
      <c r="AA111" s="413">
        <f t="shared" si="23"/>
        <v>2855193</v>
      </c>
    </row>
    <row r="112" spans="1:27">
      <c r="A112" s="456" t="s">
        <v>308</v>
      </c>
      <c r="B112" s="419">
        <v>271</v>
      </c>
      <c r="C112" s="419">
        <v>335554</v>
      </c>
      <c r="D112" s="419">
        <v>333</v>
      </c>
      <c r="E112" s="419">
        <v>314324</v>
      </c>
      <c r="F112" s="419">
        <v>378</v>
      </c>
      <c r="G112" s="419">
        <v>429439</v>
      </c>
      <c r="H112" s="419">
        <v>379</v>
      </c>
      <c r="I112" s="419">
        <v>273535</v>
      </c>
      <c r="J112" s="420">
        <v>257</v>
      </c>
      <c r="K112" s="421">
        <v>307852</v>
      </c>
      <c r="L112" s="419">
        <v>224</v>
      </c>
      <c r="M112" s="419">
        <v>305162</v>
      </c>
      <c r="N112" s="433">
        <v>431</v>
      </c>
      <c r="O112" s="433">
        <v>330830</v>
      </c>
      <c r="P112" s="419">
        <v>626</v>
      </c>
      <c r="Q112" s="419">
        <v>920976</v>
      </c>
      <c r="R112" s="419">
        <v>781</v>
      </c>
      <c r="S112" s="419">
        <v>864845</v>
      </c>
      <c r="T112" s="419">
        <v>613</v>
      </c>
      <c r="U112" s="419">
        <v>641240</v>
      </c>
      <c r="V112" s="419">
        <f>_xlfn.IFNA(VLOOKUP(A112,[8]進出口值表查詢結果!$C$11:$F$68,4,0),-[4]整車!$B$22)</f>
        <v>188</v>
      </c>
      <c r="W112" s="419">
        <f>_xlfn.IFNA(VLOOKUP(A112,[8]進出口值表查詢結果!$C$11:$F$68,3,0),-[4]整車!$B$22)</f>
        <v>254834</v>
      </c>
      <c r="X112" s="419">
        <f>_xlfn.IFNA(VLOOKUP(A112,[9]進出口值表查詢結果!$C$11:$F$68,4,0),-[4]整車!$B$22)</f>
        <v>933</v>
      </c>
      <c r="Y112" s="419">
        <f>_xlfn.IFNA(VLOOKUP(A112,[9]進出口值表查詢結果!$C$11:$F$68,3,0),-[4]整車!$B$22)</f>
        <v>495836</v>
      </c>
      <c r="Z112" s="413">
        <f t="shared" si="22"/>
        <v>5414</v>
      </c>
      <c r="AA112" s="413">
        <f t="shared" si="23"/>
        <v>5474427</v>
      </c>
    </row>
    <row r="113" spans="1:27">
      <c r="A113" s="456" t="s">
        <v>309</v>
      </c>
      <c r="B113" s="419"/>
      <c r="C113" s="419"/>
      <c r="D113" s="419">
        <v>64</v>
      </c>
      <c r="E113" s="419">
        <v>60093</v>
      </c>
      <c r="F113" s="419">
        <v>13</v>
      </c>
      <c r="G113" s="419">
        <v>12413</v>
      </c>
      <c r="H113" s="419">
        <v>0</v>
      </c>
      <c r="I113" s="419">
        <v>0</v>
      </c>
      <c r="J113" s="420">
        <v>52</v>
      </c>
      <c r="K113" s="423">
        <v>77514</v>
      </c>
      <c r="L113" s="419">
        <v>0</v>
      </c>
      <c r="M113" s="419">
        <v>0</v>
      </c>
      <c r="N113" s="433">
        <v>105</v>
      </c>
      <c r="O113" s="433">
        <v>127620</v>
      </c>
      <c r="P113" s="419">
        <v>125</v>
      </c>
      <c r="Q113" s="419">
        <v>149169</v>
      </c>
      <c r="R113" s="419">
        <v>27</v>
      </c>
      <c r="S113" s="419">
        <v>36039</v>
      </c>
      <c r="T113" s="419">
        <v>211</v>
      </c>
      <c r="U113" s="419">
        <v>20138</v>
      </c>
      <c r="V113" s="419">
        <f>_xlfn.IFNA(VLOOKUP(A113,[8]進出口值表查詢結果!$C$11:$F$68,4,0),-[4]整車!$B$22)</f>
        <v>0</v>
      </c>
      <c r="W113" s="419">
        <f>_xlfn.IFNA(VLOOKUP(A113,[8]進出口值表查詢結果!$C$11:$F$68,3,0),-[4]整車!$B$22)</f>
        <v>0</v>
      </c>
      <c r="X113" s="419">
        <f>_xlfn.IFNA(VLOOKUP(A113,[9]進出口值表查詢結果!$C$11:$F$68,4,0),-[4]整車!$B$22)</f>
        <v>38</v>
      </c>
      <c r="Y113" s="419">
        <f>_xlfn.IFNA(VLOOKUP(A113,[9]進出口值表查詢結果!$C$11:$F$68,3,0),-[4]整車!$B$22)</f>
        <v>41358</v>
      </c>
      <c r="Z113" s="413">
        <f t="shared" si="22"/>
        <v>635</v>
      </c>
      <c r="AA113" s="413">
        <f t="shared" si="23"/>
        <v>524344</v>
      </c>
    </row>
    <row r="114" spans="1:27">
      <c r="A114" s="456" t="s">
        <v>310</v>
      </c>
      <c r="B114" s="419"/>
      <c r="C114" s="419"/>
      <c r="D114" s="419"/>
      <c r="E114" s="419"/>
      <c r="F114" s="419">
        <v>0</v>
      </c>
      <c r="G114" s="419"/>
      <c r="H114" s="419">
        <v>0</v>
      </c>
      <c r="I114" s="419">
        <v>0</v>
      </c>
      <c r="J114" s="420" t="s">
        <v>59</v>
      </c>
      <c r="K114" s="423" t="s">
        <v>59</v>
      </c>
      <c r="L114" s="419">
        <v>0</v>
      </c>
      <c r="M114" s="419">
        <v>0</v>
      </c>
      <c r="N114" s="419">
        <v>0</v>
      </c>
      <c r="O114" s="419">
        <v>0</v>
      </c>
      <c r="P114" s="419">
        <v>0</v>
      </c>
      <c r="Q114" s="419">
        <v>0</v>
      </c>
      <c r="R114" s="419">
        <v>65</v>
      </c>
      <c r="S114" s="419">
        <v>16882</v>
      </c>
      <c r="T114" s="419"/>
      <c r="U114" s="419"/>
      <c r="V114" s="419">
        <f>_xlfn.IFNA(VLOOKUP(A114,[8]進出口值表查詢結果!$C$11:$F$68,4,0),-[4]整車!$B$22)</f>
        <v>0</v>
      </c>
      <c r="W114" s="419">
        <f>_xlfn.IFNA(VLOOKUP(A114,[8]進出口值表查詢結果!$C$11:$F$68,3,0),-[4]整車!$B$22)</f>
        <v>0</v>
      </c>
      <c r="X114" s="419">
        <f>_xlfn.IFNA(VLOOKUP(A114,[9]進出口值表查詢結果!$C$11:$F$68,4,0),-[4]整車!$B$22)</f>
        <v>0</v>
      </c>
      <c r="Y114" s="419">
        <f>_xlfn.IFNA(VLOOKUP(A114,[9]進出口值表查詢結果!$C$11:$F$68,3,0),-[4]整車!$B$22)</f>
        <v>0</v>
      </c>
      <c r="Z114" s="413">
        <f t="shared" si="22"/>
        <v>65</v>
      </c>
      <c r="AA114" s="413">
        <f t="shared" si="23"/>
        <v>16882</v>
      </c>
    </row>
    <row r="115" spans="1:27">
      <c r="A115" s="456" t="s">
        <v>188</v>
      </c>
      <c r="B115" s="419"/>
      <c r="C115" s="419"/>
      <c r="D115" s="419"/>
      <c r="E115" s="419"/>
      <c r="F115" s="419">
        <v>0</v>
      </c>
      <c r="G115" s="419"/>
      <c r="H115" s="419">
        <v>0</v>
      </c>
      <c r="I115" s="419">
        <v>0</v>
      </c>
      <c r="J115" s="420" t="s">
        <v>59</v>
      </c>
      <c r="K115" s="423" t="s">
        <v>59</v>
      </c>
      <c r="L115" s="419">
        <v>0</v>
      </c>
      <c r="M115" s="419">
        <v>0</v>
      </c>
      <c r="N115" s="433">
        <v>36</v>
      </c>
      <c r="O115" s="433">
        <v>54902</v>
      </c>
      <c r="P115" s="419">
        <v>0</v>
      </c>
      <c r="Q115" s="419">
        <v>0</v>
      </c>
      <c r="R115" s="419">
        <v>59</v>
      </c>
      <c r="S115" s="419">
        <v>60292</v>
      </c>
      <c r="T115" s="419">
        <v>13</v>
      </c>
      <c r="U115" s="419">
        <v>24991</v>
      </c>
      <c r="V115" s="419">
        <f>_xlfn.IFNA(VLOOKUP(A115,[8]進出口值表查詢結果!$C$11:$F$68,4,0),-[4]整車!$B$22)</f>
        <v>0</v>
      </c>
      <c r="W115" s="419">
        <f>_xlfn.IFNA(VLOOKUP(A115,[8]進出口值表查詢結果!$C$11:$F$68,3,0),-[4]整車!$B$22)</f>
        <v>0</v>
      </c>
      <c r="X115" s="419">
        <f>_xlfn.IFNA(VLOOKUP(A115,[9]進出口值表查詢結果!$C$11:$F$68,4,0),-[4]整車!$B$22)</f>
        <v>90</v>
      </c>
      <c r="Y115" s="419">
        <f>_xlfn.IFNA(VLOOKUP(A115,[9]進出口值表查詢結果!$C$11:$F$68,3,0),-[4]整車!$B$22)</f>
        <v>155913</v>
      </c>
      <c r="Z115" s="413">
        <f t="shared" si="22"/>
        <v>198</v>
      </c>
      <c r="AA115" s="413">
        <f t="shared" si="23"/>
        <v>296098</v>
      </c>
    </row>
    <row r="116" spans="1:27">
      <c r="A116" s="456" t="s">
        <v>311</v>
      </c>
      <c r="B116" s="419"/>
      <c r="C116" s="419"/>
      <c r="D116" s="419">
        <v>58</v>
      </c>
      <c r="E116" s="419">
        <v>17155</v>
      </c>
      <c r="F116" s="419">
        <v>0</v>
      </c>
      <c r="G116" s="419"/>
      <c r="H116" s="419">
        <v>0</v>
      </c>
      <c r="I116" s="419">
        <v>0</v>
      </c>
      <c r="J116" s="420" t="s">
        <v>59</v>
      </c>
      <c r="K116" s="423" t="s">
        <v>59</v>
      </c>
      <c r="L116" s="419">
        <v>66</v>
      </c>
      <c r="M116" s="419">
        <v>91388</v>
      </c>
      <c r="N116" s="433">
        <v>93</v>
      </c>
      <c r="O116" s="433">
        <v>28161</v>
      </c>
      <c r="P116" s="419">
        <v>1</v>
      </c>
      <c r="Q116" s="419">
        <v>1898</v>
      </c>
      <c r="R116" s="419">
        <v>0</v>
      </c>
      <c r="S116" s="419">
        <v>0</v>
      </c>
      <c r="T116" s="419">
        <v>70</v>
      </c>
      <c r="U116" s="419">
        <v>76661</v>
      </c>
      <c r="V116" s="419">
        <f>_xlfn.IFNA(VLOOKUP(A116,[8]進出口值表查詢結果!$C$11:$F$68,4,0),-[4]整車!$B$22)</f>
        <v>0</v>
      </c>
      <c r="W116" s="419">
        <f>_xlfn.IFNA(VLOOKUP(A116,[8]進出口值表查詢結果!$C$11:$F$68,3,0),-[4]整車!$B$22)</f>
        <v>0</v>
      </c>
      <c r="X116" s="419">
        <f>_xlfn.IFNA(VLOOKUP(A116,[9]進出口值表查詢結果!$C$11:$F$68,4,0),-[4]整車!$B$22)</f>
        <v>0</v>
      </c>
      <c r="Y116" s="419">
        <f>_xlfn.IFNA(VLOOKUP(A116,[9]進出口值表查詢結果!$C$11:$F$68,3,0),-[4]整車!$B$22)</f>
        <v>0</v>
      </c>
      <c r="Z116" s="413">
        <f t="shared" si="22"/>
        <v>288</v>
      </c>
      <c r="AA116" s="413">
        <f t="shared" si="23"/>
        <v>215263</v>
      </c>
    </row>
    <row r="117" spans="1:27">
      <c r="A117" s="456" t="s">
        <v>312</v>
      </c>
      <c r="B117" s="419">
        <v>91</v>
      </c>
      <c r="C117" s="419">
        <v>105365</v>
      </c>
      <c r="D117" s="419"/>
      <c r="E117" s="419"/>
      <c r="F117" s="419">
        <v>0</v>
      </c>
      <c r="G117" s="419"/>
      <c r="H117" s="419">
        <v>0</v>
      </c>
      <c r="I117" s="419">
        <v>0</v>
      </c>
      <c r="J117" s="420" t="s">
        <v>59</v>
      </c>
      <c r="K117" s="423" t="s">
        <v>59</v>
      </c>
      <c r="L117" s="419">
        <v>0</v>
      </c>
      <c r="M117" s="419">
        <v>0</v>
      </c>
      <c r="N117" s="433">
        <v>92</v>
      </c>
      <c r="O117" s="433">
        <v>98850</v>
      </c>
      <c r="P117" s="419">
        <v>0</v>
      </c>
      <c r="Q117" s="419">
        <v>0</v>
      </c>
      <c r="R117" s="419">
        <v>0</v>
      </c>
      <c r="S117" s="419">
        <v>0</v>
      </c>
      <c r="T117" s="419"/>
      <c r="U117" s="419"/>
      <c r="V117" s="419">
        <f>_xlfn.IFNA(VLOOKUP(A117,[8]進出口值表查詢結果!$C$11:$F$68,4,0),-[4]整車!$B$22)</f>
        <v>22</v>
      </c>
      <c r="W117" s="419">
        <f>_xlfn.IFNA(VLOOKUP(A117,[8]進出口值表查詢結果!$C$11:$F$68,3,0),-[4]整車!$B$22)</f>
        <v>28492</v>
      </c>
      <c r="X117" s="419">
        <f>_xlfn.IFNA(VLOOKUP(A117,[9]進出口值表查詢結果!$C$11:$F$68,4,0),-[4]整車!$B$22)</f>
        <v>0</v>
      </c>
      <c r="Y117" s="419">
        <f>_xlfn.IFNA(VLOOKUP(A117,[9]進出口值表查詢結果!$C$11:$F$68,3,0),-[4]整車!$B$22)</f>
        <v>0</v>
      </c>
      <c r="Z117" s="413">
        <f t="shared" si="22"/>
        <v>205</v>
      </c>
      <c r="AA117" s="413">
        <f t="shared" si="23"/>
        <v>232707</v>
      </c>
    </row>
    <row r="118" spans="1:27">
      <c r="A118" s="456" t="s">
        <v>313</v>
      </c>
      <c r="B118" s="419"/>
      <c r="C118" s="419"/>
      <c r="D118" s="419"/>
      <c r="E118" s="419"/>
      <c r="F118" s="419">
        <v>0</v>
      </c>
      <c r="G118" s="419"/>
      <c r="H118" s="419">
        <v>0</v>
      </c>
      <c r="I118" s="419">
        <v>0</v>
      </c>
      <c r="J118" s="420" t="s">
        <v>59</v>
      </c>
      <c r="K118" s="423" t="s">
        <v>59</v>
      </c>
      <c r="L118" s="419">
        <v>0</v>
      </c>
      <c r="M118" s="419">
        <v>0</v>
      </c>
      <c r="N118" s="419">
        <v>0</v>
      </c>
      <c r="O118" s="419">
        <v>0</v>
      </c>
      <c r="P118" s="419">
        <v>0</v>
      </c>
      <c r="Q118" s="419">
        <v>0</v>
      </c>
      <c r="R118" s="419">
        <v>4</v>
      </c>
      <c r="S118" s="419">
        <v>4008</v>
      </c>
      <c r="T118" s="419"/>
      <c r="U118" s="419"/>
      <c r="V118" s="419">
        <f>_xlfn.IFNA(VLOOKUP(A118,[8]進出口值表查詢結果!$C$11:$F$68,4,0),-[4]整車!$B$22)</f>
        <v>0</v>
      </c>
      <c r="W118" s="419">
        <f>_xlfn.IFNA(VLOOKUP(A118,[8]進出口值表查詢結果!$C$11:$F$68,3,0),-[4]整車!$B$22)</f>
        <v>0</v>
      </c>
      <c r="X118" s="419">
        <f>_xlfn.IFNA(VLOOKUP(A118,[9]進出口值表查詢結果!$C$11:$F$68,4,0),-[4]整車!$B$22)</f>
        <v>0</v>
      </c>
      <c r="Y118" s="419">
        <f>_xlfn.IFNA(VLOOKUP(A118,[9]進出口值表查詢結果!$C$11:$F$68,3,0),-[4]整車!$B$22)</f>
        <v>0</v>
      </c>
      <c r="Z118" s="413">
        <f t="shared" si="22"/>
        <v>4</v>
      </c>
      <c r="AA118" s="413">
        <f t="shared" si="23"/>
        <v>4008</v>
      </c>
    </row>
    <row r="119" spans="1:27">
      <c r="A119" s="456" t="s">
        <v>314</v>
      </c>
      <c r="B119" s="419"/>
      <c r="C119" s="419"/>
      <c r="D119" s="419"/>
      <c r="E119" s="419"/>
      <c r="F119" s="419">
        <v>0</v>
      </c>
      <c r="G119" s="419"/>
      <c r="H119" s="419">
        <v>0</v>
      </c>
      <c r="I119" s="419">
        <v>0</v>
      </c>
      <c r="J119" s="420" t="s">
        <v>59</v>
      </c>
      <c r="K119" s="423" t="s">
        <v>59</v>
      </c>
      <c r="L119" s="419">
        <v>0</v>
      </c>
      <c r="M119" s="419">
        <v>0</v>
      </c>
      <c r="N119" s="419">
        <v>0</v>
      </c>
      <c r="O119" s="419">
        <v>0</v>
      </c>
      <c r="P119" s="419">
        <v>0</v>
      </c>
      <c r="Q119" s="419">
        <v>0</v>
      </c>
      <c r="R119" s="419">
        <v>0</v>
      </c>
      <c r="S119" s="419">
        <v>0</v>
      </c>
      <c r="T119" s="419"/>
      <c r="U119" s="419"/>
      <c r="V119" s="419">
        <f>_xlfn.IFNA(VLOOKUP(A119,[8]進出口值表查詢結果!$C$11:$F$68,4,0),-[4]整車!$B$22)</f>
        <v>0</v>
      </c>
      <c r="W119" s="419">
        <f>_xlfn.IFNA(VLOOKUP(A119,[8]進出口值表查詢結果!$C$11:$F$68,3,0),-[4]整車!$B$22)</f>
        <v>0</v>
      </c>
      <c r="X119" s="419">
        <f>_xlfn.IFNA(VLOOKUP(A119,[9]進出口值表查詢結果!$C$11:$F$68,4,0),-[4]整車!$B$22)</f>
        <v>0</v>
      </c>
      <c r="Y119" s="419">
        <f>_xlfn.IFNA(VLOOKUP(A119,[9]進出口值表查詢結果!$C$11:$F$68,3,0),-[4]整車!$B$22)</f>
        <v>0</v>
      </c>
      <c r="Z119" s="413">
        <f t="shared" si="22"/>
        <v>0</v>
      </c>
      <c r="AA119" s="413">
        <f t="shared" si="23"/>
        <v>0</v>
      </c>
    </row>
    <row r="120" spans="1:27">
      <c r="A120" s="456" t="s">
        <v>399</v>
      </c>
      <c r="B120" s="419">
        <v>30</v>
      </c>
      <c r="C120" s="419">
        <v>47684</v>
      </c>
      <c r="D120" s="419">
        <v>18</v>
      </c>
      <c r="E120" s="419">
        <v>21652</v>
      </c>
      <c r="F120" s="419">
        <v>40</v>
      </c>
      <c r="G120" s="419">
        <v>80054</v>
      </c>
      <c r="H120" s="419">
        <v>31</v>
      </c>
      <c r="I120" s="419">
        <v>62073</v>
      </c>
      <c r="J120" s="420" t="s">
        <v>59</v>
      </c>
      <c r="K120" s="423" t="s">
        <v>59</v>
      </c>
      <c r="L120" s="419">
        <v>93</v>
      </c>
      <c r="M120" s="419">
        <v>149531</v>
      </c>
      <c r="N120" s="433">
        <v>44</v>
      </c>
      <c r="O120" s="433">
        <v>69675</v>
      </c>
      <c r="P120" s="419">
        <v>115</v>
      </c>
      <c r="Q120" s="419">
        <v>177702</v>
      </c>
      <c r="R120" s="419">
        <v>11</v>
      </c>
      <c r="S120" s="419">
        <v>29144</v>
      </c>
      <c r="T120" s="419">
        <v>86</v>
      </c>
      <c r="U120" s="419">
        <v>116179</v>
      </c>
      <c r="V120" s="419">
        <f>_xlfn.IFNA(VLOOKUP(A120,[8]進出口值表查詢結果!$C$11:$F$68,4,0),-[4]整車!$B$22)</f>
        <v>1</v>
      </c>
      <c r="W120" s="419">
        <f>_xlfn.IFNA(VLOOKUP(A120,[8]進出口值表查詢結果!$C$11:$F$68,3,0),-[4]整車!$B$22)</f>
        <v>3605</v>
      </c>
      <c r="X120" s="419">
        <f>_xlfn.IFNA(VLOOKUP(A120,[9]進出口值表查詢結果!$C$11:$F$68,4,0),-[4]整車!$B$22)</f>
        <v>246</v>
      </c>
      <c r="Y120" s="419">
        <f>_xlfn.IFNA(VLOOKUP(A120,[9]進出口值表查詢結果!$C$11:$F$68,3,0),-[4]整車!$B$22)</f>
        <v>224562</v>
      </c>
      <c r="Z120" s="413">
        <f t="shared" si="22"/>
        <v>715</v>
      </c>
      <c r="AA120" s="413">
        <f t="shared" si="23"/>
        <v>981861</v>
      </c>
    </row>
    <row r="121" spans="1:27">
      <c r="A121" s="456" t="s">
        <v>315</v>
      </c>
      <c r="B121" s="419"/>
      <c r="C121" s="419"/>
      <c r="D121" s="419"/>
      <c r="E121" s="419"/>
      <c r="F121" s="419">
        <v>0</v>
      </c>
      <c r="G121" s="419"/>
      <c r="H121" s="419">
        <v>0</v>
      </c>
      <c r="I121" s="419">
        <v>0</v>
      </c>
      <c r="J121" s="420" t="s">
        <v>59</v>
      </c>
      <c r="K121" s="423" t="s">
        <v>59</v>
      </c>
      <c r="L121" s="419">
        <v>0</v>
      </c>
      <c r="M121" s="419">
        <v>0</v>
      </c>
      <c r="N121" s="419">
        <v>0</v>
      </c>
      <c r="O121" s="419">
        <v>0</v>
      </c>
      <c r="P121" s="419">
        <v>0</v>
      </c>
      <c r="Q121" s="419">
        <v>0</v>
      </c>
      <c r="R121" s="419">
        <v>0</v>
      </c>
      <c r="S121" s="419">
        <v>0</v>
      </c>
      <c r="T121" s="419"/>
      <c r="U121" s="419"/>
      <c r="V121" s="419">
        <f>_xlfn.IFNA(VLOOKUP(A121,[8]進出口值表查詢結果!$C$11:$F$68,4,0),-[4]整車!$B$22)</f>
        <v>0</v>
      </c>
      <c r="W121" s="419">
        <f>_xlfn.IFNA(VLOOKUP(A121,[8]進出口值表查詢結果!$C$11:$F$68,3,0),-[4]整車!$B$22)</f>
        <v>0</v>
      </c>
      <c r="X121" s="419">
        <f>_xlfn.IFNA(VLOOKUP(A121,[9]進出口值表查詢結果!$C$11:$F$68,4,0),-[4]整車!$B$22)</f>
        <v>0</v>
      </c>
      <c r="Y121" s="419">
        <f>_xlfn.IFNA(VLOOKUP(A121,[9]進出口值表查詢結果!$C$11:$F$68,3,0),-[4]整車!$B$22)</f>
        <v>0</v>
      </c>
      <c r="Z121" s="413">
        <f t="shared" si="22"/>
        <v>0</v>
      </c>
      <c r="AA121" s="413">
        <f t="shared" si="23"/>
        <v>0</v>
      </c>
    </row>
    <row r="122" spans="1:27">
      <c r="A122" s="456" t="s">
        <v>316</v>
      </c>
      <c r="B122" s="419"/>
      <c r="C122" s="419"/>
      <c r="D122" s="419"/>
      <c r="E122" s="419"/>
      <c r="F122" s="419">
        <v>0</v>
      </c>
      <c r="G122" s="419"/>
      <c r="H122" s="419">
        <v>0</v>
      </c>
      <c r="I122" s="419">
        <v>0</v>
      </c>
      <c r="J122" s="420" t="s">
        <v>59</v>
      </c>
      <c r="K122" s="423" t="s">
        <v>59</v>
      </c>
      <c r="L122" s="419">
        <v>0</v>
      </c>
      <c r="M122" s="419">
        <v>0</v>
      </c>
      <c r="N122" s="419">
        <v>0</v>
      </c>
      <c r="O122" s="419">
        <v>0</v>
      </c>
      <c r="P122" s="419">
        <v>0</v>
      </c>
      <c r="Q122" s="419">
        <v>0</v>
      </c>
      <c r="R122" s="419">
        <v>0</v>
      </c>
      <c r="S122" s="419">
        <v>0</v>
      </c>
      <c r="T122" s="419"/>
      <c r="U122" s="419"/>
      <c r="V122" s="419">
        <f>_xlfn.IFNA(VLOOKUP(A122,[8]進出口值表查詢結果!$C$11:$F$68,4,0),-[4]整車!$B$22)</f>
        <v>0</v>
      </c>
      <c r="W122" s="419">
        <f>_xlfn.IFNA(VLOOKUP(A122,[8]進出口值表查詢結果!$C$11:$F$68,3,0),-[4]整車!$B$22)</f>
        <v>0</v>
      </c>
      <c r="X122" s="419">
        <f>_xlfn.IFNA(VLOOKUP(A122,[9]進出口值表查詢結果!$C$11:$F$68,4,0),-[4]整車!$B$22)</f>
        <v>0</v>
      </c>
      <c r="Y122" s="419">
        <f>_xlfn.IFNA(VLOOKUP(A122,[9]進出口值表查詢結果!$C$11:$F$68,3,0),-[4]整車!$B$22)</f>
        <v>0</v>
      </c>
      <c r="Z122" s="413">
        <f t="shared" si="22"/>
        <v>0</v>
      </c>
      <c r="AA122" s="413">
        <f t="shared" si="23"/>
        <v>0</v>
      </c>
    </row>
    <row r="123" spans="1:27">
      <c r="A123" s="456" t="s">
        <v>317</v>
      </c>
      <c r="B123" s="419"/>
      <c r="C123" s="419"/>
      <c r="D123" s="419"/>
      <c r="E123" s="419"/>
      <c r="F123" s="419">
        <v>0</v>
      </c>
      <c r="G123" s="419"/>
      <c r="H123" s="419">
        <v>0</v>
      </c>
      <c r="I123" s="419">
        <v>0</v>
      </c>
      <c r="J123" s="420" t="s">
        <v>59</v>
      </c>
      <c r="K123" s="423" t="s">
        <v>59</v>
      </c>
      <c r="L123" s="419">
        <v>0</v>
      </c>
      <c r="M123" s="419">
        <v>0</v>
      </c>
      <c r="N123" s="419">
        <v>0</v>
      </c>
      <c r="O123" s="419">
        <v>0</v>
      </c>
      <c r="P123" s="419">
        <v>0</v>
      </c>
      <c r="Q123" s="419">
        <v>0</v>
      </c>
      <c r="R123" s="419">
        <v>0</v>
      </c>
      <c r="S123" s="419">
        <v>0</v>
      </c>
      <c r="T123" s="419"/>
      <c r="U123" s="419"/>
      <c r="V123" s="419">
        <f>_xlfn.IFNA(VLOOKUP(A123,[8]進出口值表查詢結果!$C$11:$F$68,4,0),-[4]整車!$B$22)</f>
        <v>0</v>
      </c>
      <c r="W123" s="419">
        <f>_xlfn.IFNA(VLOOKUP(A123,[8]進出口值表查詢結果!$C$11:$F$68,3,0),-[4]整車!$B$22)</f>
        <v>0</v>
      </c>
      <c r="X123" s="419">
        <f>_xlfn.IFNA(VLOOKUP(A123,[9]進出口值表查詢結果!$C$11:$F$68,4,0),-[4]整車!$B$22)</f>
        <v>0</v>
      </c>
      <c r="Y123" s="419">
        <f>_xlfn.IFNA(VLOOKUP(A123,[9]進出口值表查詢結果!$C$11:$F$68,3,0),-[4]整車!$B$22)</f>
        <v>0</v>
      </c>
      <c r="Z123" s="413">
        <f t="shared" si="22"/>
        <v>0</v>
      </c>
      <c r="AA123" s="413">
        <f t="shared" si="23"/>
        <v>0</v>
      </c>
    </row>
    <row r="124" spans="1:27">
      <c r="A124" s="456" t="s">
        <v>318</v>
      </c>
      <c r="B124" s="419"/>
      <c r="C124" s="419"/>
      <c r="D124" s="419"/>
      <c r="E124" s="419"/>
      <c r="F124" s="419">
        <v>0</v>
      </c>
      <c r="G124" s="419"/>
      <c r="H124" s="419">
        <v>0</v>
      </c>
      <c r="I124" s="419">
        <v>0</v>
      </c>
      <c r="J124" s="420" t="s">
        <v>59</v>
      </c>
      <c r="K124" s="423" t="s">
        <v>59</v>
      </c>
      <c r="L124" s="419">
        <v>0</v>
      </c>
      <c r="M124" s="419">
        <v>0</v>
      </c>
      <c r="N124" s="419">
        <v>0</v>
      </c>
      <c r="O124" s="419">
        <v>0</v>
      </c>
      <c r="P124" s="419">
        <v>0</v>
      </c>
      <c r="Q124" s="419">
        <v>0</v>
      </c>
      <c r="R124" s="419">
        <v>0</v>
      </c>
      <c r="S124" s="419">
        <v>0</v>
      </c>
      <c r="T124" s="419"/>
      <c r="U124" s="419"/>
      <c r="V124" s="419">
        <f>_xlfn.IFNA(VLOOKUP(A124,[8]進出口值表查詢結果!$C$11:$F$68,4,0),-[4]整車!$B$22)</f>
        <v>0</v>
      </c>
      <c r="W124" s="419">
        <f>_xlfn.IFNA(VLOOKUP(A124,[8]進出口值表查詢結果!$C$11:$F$68,3,0),-[4]整車!$B$22)</f>
        <v>0</v>
      </c>
      <c r="X124" s="419">
        <f>_xlfn.IFNA(VLOOKUP(A124,[9]進出口值表查詢結果!$C$11:$F$68,4,0),-[4]整車!$B$22)</f>
        <v>0</v>
      </c>
      <c r="Y124" s="419">
        <f>_xlfn.IFNA(VLOOKUP(A124,[9]進出口值表查詢結果!$C$11:$F$68,3,0),-[4]整車!$B$22)</f>
        <v>0</v>
      </c>
      <c r="Z124" s="413">
        <f t="shared" si="22"/>
        <v>0</v>
      </c>
      <c r="AA124" s="413">
        <f t="shared" si="23"/>
        <v>0</v>
      </c>
    </row>
    <row r="125" spans="1:27">
      <c r="A125" s="456" t="s">
        <v>319</v>
      </c>
      <c r="B125" s="419"/>
      <c r="C125" s="419"/>
      <c r="D125" s="419"/>
      <c r="E125" s="419"/>
      <c r="F125" s="419">
        <v>0</v>
      </c>
      <c r="G125" s="419"/>
      <c r="H125" s="419">
        <v>0</v>
      </c>
      <c r="I125" s="419">
        <v>0</v>
      </c>
      <c r="J125" s="420" t="s">
        <v>59</v>
      </c>
      <c r="K125" s="423" t="s">
        <v>59</v>
      </c>
      <c r="L125" s="419">
        <v>0</v>
      </c>
      <c r="M125" s="419">
        <v>0</v>
      </c>
      <c r="N125" s="419">
        <v>0</v>
      </c>
      <c r="O125" s="419">
        <v>0</v>
      </c>
      <c r="P125" s="419">
        <v>0</v>
      </c>
      <c r="Q125" s="419">
        <v>0</v>
      </c>
      <c r="R125" s="419">
        <v>0</v>
      </c>
      <c r="S125" s="419">
        <v>0</v>
      </c>
      <c r="T125" s="419"/>
      <c r="U125" s="419"/>
      <c r="V125" s="419">
        <f>_xlfn.IFNA(VLOOKUP(A125,[8]進出口值表查詢結果!$C$11:$F$68,4,0),-[4]整車!$B$22)</f>
        <v>0</v>
      </c>
      <c r="W125" s="419">
        <f>_xlfn.IFNA(VLOOKUP(A125,[8]進出口值表查詢結果!$C$11:$F$68,3,0),-[4]整車!$B$22)</f>
        <v>0</v>
      </c>
      <c r="X125" s="419">
        <f>_xlfn.IFNA(VLOOKUP(A125,[9]進出口值表查詢結果!$C$11:$F$68,4,0),-[4]整車!$B$22)</f>
        <v>0</v>
      </c>
      <c r="Y125" s="419">
        <f>_xlfn.IFNA(VLOOKUP(A125,[9]進出口值表查詢結果!$C$11:$F$68,3,0),-[4]整車!$B$22)</f>
        <v>0</v>
      </c>
      <c r="Z125" s="413">
        <f t="shared" si="22"/>
        <v>0</v>
      </c>
      <c r="AA125" s="413">
        <f t="shared" si="23"/>
        <v>0</v>
      </c>
    </row>
    <row r="126" spans="1:27">
      <c r="A126" s="456" t="s">
        <v>194</v>
      </c>
      <c r="B126" s="419"/>
      <c r="C126" s="419"/>
      <c r="D126" s="419"/>
      <c r="E126" s="419"/>
      <c r="F126" s="419">
        <v>0</v>
      </c>
      <c r="G126" s="419"/>
      <c r="H126" s="419">
        <v>0</v>
      </c>
      <c r="I126" s="419">
        <v>0</v>
      </c>
      <c r="J126" s="420" t="s">
        <v>59</v>
      </c>
      <c r="K126" s="423" t="s">
        <v>59</v>
      </c>
      <c r="L126" s="419">
        <v>0</v>
      </c>
      <c r="M126" s="419">
        <v>0</v>
      </c>
      <c r="N126" s="419">
        <v>0</v>
      </c>
      <c r="O126" s="419">
        <v>0</v>
      </c>
      <c r="P126" s="419">
        <v>0</v>
      </c>
      <c r="Q126" s="419">
        <v>0</v>
      </c>
      <c r="R126" s="419">
        <v>0</v>
      </c>
      <c r="S126" s="419">
        <v>0</v>
      </c>
      <c r="T126" s="419"/>
      <c r="U126" s="419"/>
      <c r="V126" s="419">
        <f>_xlfn.IFNA(VLOOKUP(A126,[8]進出口值表查詢結果!$C$11:$F$68,4,0),-[4]整車!$B$22)</f>
        <v>0</v>
      </c>
      <c r="W126" s="419">
        <f>_xlfn.IFNA(VLOOKUP(A126,[8]進出口值表查詢結果!$C$11:$F$68,3,0),-[4]整車!$B$22)</f>
        <v>0</v>
      </c>
      <c r="X126" s="419">
        <f>_xlfn.IFNA(VLOOKUP(A126,[9]進出口值表查詢結果!$C$11:$F$68,4,0),-[4]整車!$B$22)</f>
        <v>0</v>
      </c>
      <c r="Y126" s="419">
        <f>_xlfn.IFNA(VLOOKUP(A126,[9]進出口值表查詢結果!$C$11:$F$68,3,0),-[4]整車!$B$22)</f>
        <v>0</v>
      </c>
      <c r="Z126" s="413">
        <f t="shared" si="22"/>
        <v>0</v>
      </c>
      <c r="AA126" s="413">
        <f t="shared" si="23"/>
        <v>0</v>
      </c>
    </row>
    <row r="127" spans="1:27">
      <c r="A127" s="456" t="s">
        <v>320</v>
      </c>
      <c r="B127" s="419">
        <v>111</v>
      </c>
      <c r="C127" s="419">
        <v>54549</v>
      </c>
      <c r="D127" s="419">
        <v>92</v>
      </c>
      <c r="E127" s="419">
        <v>90640</v>
      </c>
      <c r="F127" s="419">
        <v>82</v>
      </c>
      <c r="G127" s="419">
        <v>150017</v>
      </c>
      <c r="H127" s="419">
        <v>0</v>
      </c>
      <c r="I127" s="419">
        <v>0</v>
      </c>
      <c r="J127" s="420">
        <v>84</v>
      </c>
      <c r="K127" s="421">
        <v>97060</v>
      </c>
      <c r="L127" s="419">
        <v>0</v>
      </c>
      <c r="M127" s="419">
        <v>0</v>
      </c>
      <c r="N127" s="433">
        <v>68</v>
      </c>
      <c r="O127" s="433">
        <v>99493</v>
      </c>
      <c r="P127" s="419">
        <v>0</v>
      </c>
      <c r="Q127" s="419">
        <v>0</v>
      </c>
      <c r="R127" s="419">
        <v>0</v>
      </c>
      <c r="S127" s="419">
        <v>0</v>
      </c>
      <c r="T127" s="419">
        <v>65</v>
      </c>
      <c r="U127" s="419">
        <v>92599</v>
      </c>
      <c r="V127" s="419">
        <f>_xlfn.IFNA(VLOOKUP(A127,[8]進出口值表查詢結果!$C$11:$F$68,4,0),-[4]整車!$B$22)</f>
        <v>0</v>
      </c>
      <c r="W127" s="419">
        <f>_xlfn.IFNA(VLOOKUP(A127,[8]進出口值表查詢結果!$C$11:$F$68,3,0),-[4]整車!$B$22)</f>
        <v>0</v>
      </c>
      <c r="X127" s="419">
        <f>_xlfn.IFNA(VLOOKUP(A127,[9]進出口值表查詢結果!$C$11:$F$68,4,0),-[4]整車!$B$22)</f>
        <v>184</v>
      </c>
      <c r="Y127" s="419">
        <f>_xlfn.IFNA(VLOOKUP(A127,[9]進出口值表查詢結果!$C$11:$F$68,3,0),-[4]整車!$B$22)</f>
        <v>163785</v>
      </c>
      <c r="Z127" s="413">
        <f t="shared" si="22"/>
        <v>686</v>
      </c>
      <c r="AA127" s="413">
        <f t="shared" si="23"/>
        <v>748143</v>
      </c>
    </row>
    <row r="128" spans="1:27">
      <c r="A128" s="456" t="s">
        <v>321</v>
      </c>
      <c r="B128" s="419"/>
      <c r="C128" s="419"/>
      <c r="D128" s="419"/>
      <c r="E128" s="419"/>
      <c r="F128" s="419">
        <v>0</v>
      </c>
      <c r="G128" s="419"/>
      <c r="H128" s="419">
        <v>0</v>
      </c>
      <c r="I128" s="419">
        <v>0</v>
      </c>
      <c r="J128" s="420" t="s">
        <v>59</v>
      </c>
      <c r="K128" s="423" t="s">
        <v>59</v>
      </c>
      <c r="L128" s="419">
        <v>0</v>
      </c>
      <c r="M128" s="419">
        <v>0</v>
      </c>
      <c r="N128" s="419">
        <v>0</v>
      </c>
      <c r="O128" s="419">
        <v>0</v>
      </c>
      <c r="P128" s="419">
        <v>0</v>
      </c>
      <c r="Q128" s="419">
        <v>0</v>
      </c>
      <c r="R128" s="419">
        <v>0</v>
      </c>
      <c r="S128" s="419">
        <v>0</v>
      </c>
      <c r="T128" s="419"/>
      <c r="U128" s="419"/>
      <c r="V128" s="419">
        <f>_xlfn.IFNA(VLOOKUP(A128,[8]進出口值表查詢結果!$C$11:$F$68,4,0),-[4]整車!$B$22)</f>
        <v>0</v>
      </c>
      <c r="W128" s="419">
        <f>_xlfn.IFNA(VLOOKUP(A128,[8]進出口值表查詢結果!$C$11:$F$68,3,0),-[4]整車!$B$22)</f>
        <v>0</v>
      </c>
      <c r="X128" s="419">
        <f>_xlfn.IFNA(VLOOKUP(A128,[9]進出口值表查詢結果!$C$11:$F$68,4,0),-[4]整車!$B$22)</f>
        <v>0</v>
      </c>
      <c r="Y128" s="419">
        <f>_xlfn.IFNA(VLOOKUP(A128,[9]進出口值表查詢結果!$C$11:$F$68,3,0),-[4]整車!$B$22)</f>
        <v>0</v>
      </c>
      <c r="Z128" s="413">
        <f t="shared" si="22"/>
        <v>0</v>
      </c>
      <c r="AA128" s="413">
        <f t="shared" si="23"/>
        <v>0</v>
      </c>
    </row>
    <row r="129" spans="1:27">
      <c r="A129" s="456" t="s">
        <v>322</v>
      </c>
      <c r="B129" s="419"/>
      <c r="C129" s="419"/>
      <c r="D129" s="419"/>
      <c r="E129" s="419"/>
      <c r="F129" s="419">
        <v>0</v>
      </c>
      <c r="G129" s="419"/>
      <c r="H129" s="419">
        <v>0</v>
      </c>
      <c r="I129" s="419">
        <v>0</v>
      </c>
      <c r="J129" s="420" t="s">
        <v>59</v>
      </c>
      <c r="K129" s="423" t="s">
        <v>59</v>
      </c>
      <c r="L129" s="419">
        <v>0</v>
      </c>
      <c r="M129" s="419">
        <v>0</v>
      </c>
      <c r="N129" s="419">
        <v>0</v>
      </c>
      <c r="O129" s="419">
        <v>0</v>
      </c>
      <c r="P129" s="419">
        <v>0</v>
      </c>
      <c r="Q129" s="419">
        <v>0</v>
      </c>
      <c r="R129" s="419">
        <v>0</v>
      </c>
      <c r="S129" s="419">
        <v>0</v>
      </c>
      <c r="T129" s="419"/>
      <c r="U129" s="419"/>
      <c r="V129" s="419">
        <f>_xlfn.IFNA(VLOOKUP(A129,[8]進出口值表查詢結果!$C$11:$F$68,4,0),-[4]整車!$B$22)</f>
        <v>0</v>
      </c>
      <c r="W129" s="419">
        <f>_xlfn.IFNA(VLOOKUP(A129,[8]進出口值表查詢結果!$C$11:$F$68,3,0),-[4]整車!$B$22)</f>
        <v>0</v>
      </c>
      <c r="X129" s="419">
        <f>_xlfn.IFNA(VLOOKUP(A129,[9]進出口值表查詢結果!$C$11:$F$68,4,0),-[4]整車!$B$22)</f>
        <v>0</v>
      </c>
      <c r="Y129" s="419">
        <f>_xlfn.IFNA(VLOOKUP(A129,[9]進出口值表查詢結果!$C$11:$F$68,3,0),-[4]整車!$B$22)</f>
        <v>0</v>
      </c>
      <c r="Z129" s="413">
        <f t="shared" si="22"/>
        <v>0</v>
      </c>
      <c r="AA129" s="413">
        <f t="shared" si="23"/>
        <v>0</v>
      </c>
    </row>
    <row r="130" spans="1:27">
      <c r="A130" s="418" t="s">
        <v>323</v>
      </c>
      <c r="B130" s="419"/>
      <c r="C130" s="419"/>
      <c r="D130" s="419"/>
      <c r="E130" s="419"/>
      <c r="F130" s="419">
        <v>0</v>
      </c>
      <c r="G130" s="419"/>
      <c r="H130" s="419">
        <v>0</v>
      </c>
      <c r="I130" s="419">
        <v>0</v>
      </c>
      <c r="J130" s="420" t="s">
        <v>59</v>
      </c>
      <c r="K130" s="423" t="s">
        <v>59</v>
      </c>
      <c r="L130" s="419">
        <v>0</v>
      </c>
      <c r="M130" s="419">
        <v>0</v>
      </c>
      <c r="N130" s="419">
        <v>0</v>
      </c>
      <c r="O130" s="419">
        <v>0</v>
      </c>
      <c r="P130" s="419">
        <v>0</v>
      </c>
      <c r="Q130" s="419">
        <v>0</v>
      </c>
      <c r="R130" s="419">
        <v>0</v>
      </c>
      <c r="S130" s="419">
        <v>0</v>
      </c>
      <c r="T130" s="419"/>
      <c r="U130" s="419"/>
      <c r="V130" s="419">
        <f>_xlfn.IFNA(VLOOKUP(A130,[8]進出口值表查詢結果!$C$11:$F$68,4,0),-[4]整車!$B$22)</f>
        <v>0</v>
      </c>
      <c r="W130" s="419">
        <f>_xlfn.IFNA(VLOOKUP(A130,[8]進出口值表查詢結果!$C$11:$F$68,3,0),-[4]整車!$B$22)</f>
        <v>0</v>
      </c>
      <c r="X130" s="419">
        <f>_xlfn.IFNA(VLOOKUP(A130,[9]進出口值表查詢結果!$C$11:$F$68,4,0),-[4]整車!$B$22)</f>
        <v>0</v>
      </c>
      <c r="Y130" s="419">
        <f>_xlfn.IFNA(VLOOKUP(A130,[9]進出口值表查詢結果!$C$11:$F$68,3,0),-[4]整車!$B$22)</f>
        <v>0</v>
      </c>
      <c r="Z130" s="413">
        <f t="shared" si="22"/>
        <v>0</v>
      </c>
      <c r="AA130" s="413">
        <f t="shared" si="23"/>
        <v>0</v>
      </c>
    </row>
    <row r="131" spans="1:27">
      <c r="A131" s="456" t="s">
        <v>324</v>
      </c>
      <c r="B131" s="419"/>
      <c r="C131" s="419"/>
      <c r="D131" s="419"/>
      <c r="E131" s="419"/>
      <c r="F131" s="419">
        <v>0</v>
      </c>
      <c r="G131" s="419"/>
      <c r="H131" s="419">
        <v>0</v>
      </c>
      <c r="I131" s="419">
        <v>0</v>
      </c>
      <c r="J131" s="420" t="s">
        <v>59</v>
      </c>
      <c r="K131" s="423" t="s">
        <v>59</v>
      </c>
      <c r="L131" s="419">
        <v>0</v>
      </c>
      <c r="M131" s="419">
        <v>0</v>
      </c>
      <c r="N131" s="419">
        <v>0</v>
      </c>
      <c r="O131" s="419">
        <v>0</v>
      </c>
      <c r="P131" s="419">
        <v>0</v>
      </c>
      <c r="Q131" s="419">
        <v>0</v>
      </c>
      <c r="R131" s="419">
        <v>0</v>
      </c>
      <c r="S131" s="419">
        <v>0</v>
      </c>
      <c r="T131" s="419"/>
      <c r="U131" s="419"/>
      <c r="V131" s="419">
        <f>_xlfn.IFNA(VLOOKUP(A131,[8]進出口值表查詢結果!$C$11:$F$68,4,0),-[4]整車!$B$22)</f>
        <v>0</v>
      </c>
      <c r="W131" s="419">
        <f>_xlfn.IFNA(VLOOKUP(A131,[8]進出口值表查詢結果!$C$11:$F$68,3,0),-[4]整車!$B$22)</f>
        <v>0</v>
      </c>
      <c r="X131" s="419">
        <f>_xlfn.IFNA(VLOOKUP(A131,[9]進出口值表查詢結果!$C$11:$F$68,4,0),-[4]整車!$B$22)</f>
        <v>0</v>
      </c>
      <c r="Y131" s="419">
        <f>_xlfn.IFNA(VLOOKUP(A131,[9]進出口值表查詢結果!$C$11:$F$68,3,0),-[4]整車!$B$22)</f>
        <v>0</v>
      </c>
      <c r="Z131" s="413">
        <f t="shared" si="22"/>
        <v>0</v>
      </c>
      <c r="AA131" s="413">
        <f t="shared" si="23"/>
        <v>0</v>
      </c>
    </row>
    <row r="132" spans="1:27">
      <c r="A132" s="456" t="s">
        <v>325</v>
      </c>
      <c r="B132" s="419"/>
      <c r="C132" s="419"/>
      <c r="D132" s="419"/>
      <c r="E132" s="419"/>
      <c r="F132" s="419">
        <v>0</v>
      </c>
      <c r="G132" s="419"/>
      <c r="H132" s="419">
        <v>0</v>
      </c>
      <c r="I132" s="419">
        <v>0</v>
      </c>
      <c r="J132" s="420" t="s">
        <v>59</v>
      </c>
      <c r="K132" s="423" t="s">
        <v>59</v>
      </c>
      <c r="L132" s="419">
        <v>0</v>
      </c>
      <c r="M132" s="419">
        <v>0</v>
      </c>
      <c r="N132" s="419">
        <v>0</v>
      </c>
      <c r="O132" s="419">
        <v>0</v>
      </c>
      <c r="P132" s="419">
        <v>0</v>
      </c>
      <c r="Q132" s="419">
        <v>0</v>
      </c>
      <c r="R132" s="419">
        <v>0</v>
      </c>
      <c r="S132" s="419">
        <v>0</v>
      </c>
      <c r="T132" s="419"/>
      <c r="U132" s="419"/>
      <c r="V132" s="419">
        <f>_xlfn.IFNA(VLOOKUP(A132,[8]進出口值表查詢結果!$C$11:$F$68,4,0),-[4]整車!$B$22)</f>
        <v>0</v>
      </c>
      <c r="W132" s="419">
        <f>_xlfn.IFNA(VLOOKUP(A132,[8]進出口值表查詢結果!$C$11:$F$68,3,0),-[4]整車!$B$22)</f>
        <v>0</v>
      </c>
      <c r="X132" s="419">
        <f>_xlfn.IFNA(VLOOKUP(A132,[9]進出口值表查詢結果!$C$11:$F$68,4,0),-[4]整車!$B$22)</f>
        <v>0</v>
      </c>
      <c r="Y132" s="419">
        <f>_xlfn.IFNA(VLOOKUP(A132,[9]進出口值表查詢結果!$C$11:$F$68,3,0),-[4]整車!$B$22)</f>
        <v>0</v>
      </c>
      <c r="Z132" s="413">
        <f t="shared" si="22"/>
        <v>0</v>
      </c>
      <c r="AA132" s="413">
        <f t="shared" si="23"/>
        <v>0</v>
      </c>
    </row>
    <row r="133" spans="1:27">
      <c r="A133" s="456" t="s">
        <v>326</v>
      </c>
      <c r="B133" s="419"/>
      <c r="C133" s="419"/>
      <c r="D133" s="419"/>
      <c r="E133" s="419"/>
      <c r="F133" s="419">
        <v>0</v>
      </c>
      <c r="G133" s="419"/>
      <c r="H133" s="419">
        <v>0</v>
      </c>
      <c r="I133" s="419">
        <v>0</v>
      </c>
      <c r="J133" s="420" t="s">
        <v>59</v>
      </c>
      <c r="K133" s="423" t="s">
        <v>59</v>
      </c>
      <c r="L133" s="419">
        <v>0</v>
      </c>
      <c r="M133" s="419">
        <v>0</v>
      </c>
      <c r="N133" s="419">
        <v>0</v>
      </c>
      <c r="O133" s="419">
        <v>0</v>
      </c>
      <c r="P133" s="419">
        <v>0</v>
      </c>
      <c r="Q133" s="419">
        <v>0</v>
      </c>
      <c r="R133" s="419">
        <v>0</v>
      </c>
      <c r="S133" s="419">
        <v>0</v>
      </c>
      <c r="T133" s="419"/>
      <c r="U133" s="419"/>
      <c r="V133" s="419">
        <f>_xlfn.IFNA(VLOOKUP(A133,[8]進出口值表查詢結果!$C$11:$F$68,4,0),-[4]整車!$B$22)</f>
        <v>0</v>
      </c>
      <c r="W133" s="419">
        <f>_xlfn.IFNA(VLOOKUP(A133,[8]進出口值表查詢結果!$C$11:$F$68,3,0),-[4]整車!$B$22)</f>
        <v>0</v>
      </c>
      <c r="X133" s="419">
        <f>_xlfn.IFNA(VLOOKUP(A133,[9]進出口值表查詢結果!$C$11:$F$68,4,0),-[4]整車!$B$22)</f>
        <v>0</v>
      </c>
      <c r="Y133" s="419">
        <f>_xlfn.IFNA(VLOOKUP(A133,[9]進出口值表查詢結果!$C$11:$F$68,3,0),-[4]整車!$B$22)</f>
        <v>0</v>
      </c>
      <c r="Z133" s="413">
        <f t="shared" si="22"/>
        <v>0</v>
      </c>
      <c r="AA133" s="413">
        <f t="shared" si="23"/>
        <v>0</v>
      </c>
    </row>
    <row r="134" spans="1:27">
      <c r="A134" s="456" t="s">
        <v>327</v>
      </c>
      <c r="B134" s="419"/>
      <c r="C134" s="419"/>
      <c r="D134" s="419"/>
      <c r="E134" s="419"/>
      <c r="F134" s="419">
        <v>0</v>
      </c>
      <c r="G134" s="419"/>
      <c r="H134" s="419">
        <v>0</v>
      </c>
      <c r="I134" s="419">
        <v>0</v>
      </c>
      <c r="J134" s="420" t="s">
        <v>59</v>
      </c>
      <c r="K134" s="443" t="s">
        <v>59</v>
      </c>
      <c r="L134" s="419">
        <v>0</v>
      </c>
      <c r="M134" s="419">
        <v>0</v>
      </c>
      <c r="N134" s="419">
        <v>0</v>
      </c>
      <c r="O134" s="419">
        <v>0</v>
      </c>
      <c r="P134" s="419">
        <v>0</v>
      </c>
      <c r="Q134" s="419">
        <v>0</v>
      </c>
      <c r="R134" s="419">
        <v>0</v>
      </c>
      <c r="S134" s="419">
        <v>0</v>
      </c>
      <c r="T134" s="419"/>
      <c r="U134" s="419"/>
      <c r="V134" s="419">
        <f>_xlfn.IFNA(VLOOKUP(A134,[8]進出口值表查詢結果!$C$11:$F$68,4,0),-[4]整車!$B$22)</f>
        <v>0</v>
      </c>
      <c r="W134" s="419">
        <f>_xlfn.IFNA(VLOOKUP(A134,[8]進出口值表查詢結果!$C$11:$F$68,3,0),-[4]整車!$B$22)</f>
        <v>0</v>
      </c>
      <c r="X134" s="419">
        <f>_xlfn.IFNA(VLOOKUP(A134,[9]進出口值表查詢結果!$C$11:$F$68,4,0),-[4]整車!$B$22)</f>
        <v>0</v>
      </c>
      <c r="Y134" s="419">
        <f>_xlfn.IFNA(VLOOKUP(A134,[9]進出口值表查詢結果!$C$11:$F$68,3,0),-[4]整車!$B$22)</f>
        <v>0</v>
      </c>
      <c r="Z134" s="413">
        <f t="shared" si="22"/>
        <v>0</v>
      </c>
      <c r="AA134" s="413">
        <f t="shared" si="23"/>
        <v>0</v>
      </c>
    </row>
    <row r="135" spans="1:27">
      <c r="A135" s="422"/>
      <c r="B135" s="419"/>
      <c r="C135" s="419"/>
      <c r="D135" s="419"/>
      <c r="E135" s="419"/>
      <c r="F135" s="419"/>
      <c r="G135" s="419"/>
      <c r="H135" s="419"/>
      <c r="I135" s="419"/>
      <c r="J135" s="420"/>
      <c r="K135" s="421"/>
      <c r="L135" s="419"/>
      <c r="M135" s="419"/>
      <c r="N135" s="419"/>
      <c r="O135" s="419"/>
      <c r="P135" s="419"/>
      <c r="Q135" s="419"/>
      <c r="R135" s="419"/>
      <c r="S135" s="419"/>
      <c r="T135" s="419"/>
      <c r="U135" s="419"/>
      <c r="V135" s="419"/>
      <c r="W135" s="419"/>
      <c r="X135" s="419"/>
      <c r="Y135" s="419"/>
      <c r="Z135" s="413"/>
      <c r="AA135" s="413"/>
    </row>
    <row r="136" spans="1:27">
      <c r="A136" s="439" t="s">
        <v>145</v>
      </c>
      <c r="B136" s="440">
        <f t="shared" ref="B136:M136" si="24">SUM(B137:B150)</f>
        <v>391</v>
      </c>
      <c r="C136" s="440">
        <f t="shared" si="24"/>
        <v>601333</v>
      </c>
      <c r="D136" s="440">
        <f t="shared" si="24"/>
        <v>195</v>
      </c>
      <c r="E136" s="440">
        <f t="shared" si="24"/>
        <v>250399</v>
      </c>
      <c r="F136" s="440">
        <f t="shared" si="24"/>
        <v>714</v>
      </c>
      <c r="G136" s="440">
        <f t="shared" si="24"/>
        <v>599636</v>
      </c>
      <c r="H136" s="440">
        <f t="shared" si="24"/>
        <v>1024</v>
      </c>
      <c r="I136" s="440">
        <f t="shared" si="24"/>
        <v>190726</v>
      </c>
      <c r="J136" s="441">
        <f t="shared" si="24"/>
        <v>1213</v>
      </c>
      <c r="K136" s="442">
        <f t="shared" si="24"/>
        <v>446610</v>
      </c>
      <c r="L136" s="440">
        <f t="shared" si="24"/>
        <v>517</v>
      </c>
      <c r="M136" s="440">
        <f t="shared" si="24"/>
        <v>504422</v>
      </c>
      <c r="N136" s="440">
        <f>SUM(N137:N150)</f>
        <v>1680</v>
      </c>
      <c r="O136" s="440">
        <f>SUM(O137:O150)</f>
        <v>1034923</v>
      </c>
      <c r="P136" s="440">
        <f>SUM(P137:P149)</f>
        <v>1055</v>
      </c>
      <c r="Q136" s="440">
        <f>SUM(Q137:Q149)</f>
        <v>1060011</v>
      </c>
      <c r="R136" s="440">
        <f t="shared" ref="R136:Y136" si="25">SUM(R137:R150)</f>
        <v>1394</v>
      </c>
      <c r="S136" s="440">
        <f t="shared" si="25"/>
        <v>1001461</v>
      </c>
      <c r="T136" s="440">
        <f t="shared" si="25"/>
        <v>2073</v>
      </c>
      <c r="U136" s="440">
        <f t="shared" si="25"/>
        <v>1401961</v>
      </c>
      <c r="V136" s="440">
        <f>SUM(V137:V150)</f>
        <v>747</v>
      </c>
      <c r="W136" s="440">
        <f>SUM(W137:W150)</f>
        <v>547003</v>
      </c>
      <c r="X136" s="440">
        <f t="shared" si="25"/>
        <v>325</v>
      </c>
      <c r="Y136" s="440">
        <f t="shared" si="25"/>
        <v>457417</v>
      </c>
      <c r="Z136" s="426">
        <f t="shared" ref="Z136:Z167" si="26">SUM(B136,D136,F136,H136,J136,L136,N136,P136,R136,T136,V136,X136)</f>
        <v>11328</v>
      </c>
      <c r="AA136" s="426">
        <f t="shared" ref="AA136:AA167" si="27">SUM(C136,E136,G136,I136,K136,M136,O136,Q136,S136,U136,W136,Y136)</f>
        <v>8095902</v>
      </c>
    </row>
    <row r="137" spans="1:27">
      <c r="A137" s="461" t="s">
        <v>224</v>
      </c>
      <c r="B137" s="419">
        <v>7</v>
      </c>
      <c r="C137" s="419">
        <v>13229</v>
      </c>
      <c r="D137" s="419">
        <v>3</v>
      </c>
      <c r="E137" s="419">
        <v>2398</v>
      </c>
      <c r="F137" s="419">
        <v>74</v>
      </c>
      <c r="G137" s="419">
        <v>133887</v>
      </c>
      <c r="H137" s="419">
        <v>96</v>
      </c>
      <c r="I137" s="419">
        <v>168964</v>
      </c>
      <c r="J137" s="420"/>
      <c r="K137" s="421"/>
      <c r="L137" s="419">
        <v>198</v>
      </c>
      <c r="M137" s="419">
        <v>94268</v>
      </c>
      <c r="N137" s="419">
        <v>356</v>
      </c>
      <c r="O137" s="419">
        <v>453280</v>
      </c>
      <c r="P137" s="419">
        <v>591</v>
      </c>
      <c r="Q137" s="419">
        <v>597186</v>
      </c>
      <c r="R137" s="419">
        <v>397</v>
      </c>
      <c r="S137" s="419">
        <v>182473</v>
      </c>
      <c r="T137" s="419">
        <v>225</v>
      </c>
      <c r="U137" s="419">
        <v>224164</v>
      </c>
      <c r="V137" s="419">
        <f>_xlfn.IFNA(VLOOKUP(A137,[8]進出口值表查詢結果!$C$11:$F$68,4,0),-[4]整車!$B$22)</f>
        <v>121</v>
      </c>
      <c r="W137" s="419">
        <f>_xlfn.IFNA(VLOOKUP(A137,[8]進出口值表查詢結果!$C$11:$F$68,3,0),-[4]整車!$B$22)</f>
        <v>63501</v>
      </c>
      <c r="X137" s="419">
        <f>_xlfn.IFNA(VLOOKUP(A137,[9]進出口值表查詢結果!$C$11:$F$68,4,0),-[4]整車!$B$22)</f>
        <v>123</v>
      </c>
      <c r="Y137" s="419">
        <f>_xlfn.IFNA(VLOOKUP(A137,[9]進出口值表查詢結果!$C$11:$F$68,3,0),-[4]整車!$B$22)</f>
        <v>156263</v>
      </c>
      <c r="Z137" s="413">
        <f t="shared" si="26"/>
        <v>2191</v>
      </c>
      <c r="AA137" s="413">
        <f t="shared" si="27"/>
        <v>2089613</v>
      </c>
    </row>
    <row r="138" spans="1:27">
      <c r="A138" s="456" t="s">
        <v>168</v>
      </c>
      <c r="B138" s="419"/>
      <c r="C138" s="419"/>
      <c r="D138" s="419"/>
      <c r="E138" s="419"/>
      <c r="F138" s="419">
        <v>0</v>
      </c>
      <c r="G138" s="419"/>
      <c r="H138" s="419">
        <v>0</v>
      </c>
      <c r="I138" s="419">
        <v>0</v>
      </c>
      <c r="J138" s="420"/>
      <c r="K138" s="421"/>
      <c r="L138" s="419">
        <v>0</v>
      </c>
      <c r="M138" s="419">
        <v>0</v>
      </c>
      <c r="N138" s="419">
        <v>123</v>
      </c>
      <c r="O138" s="419">
        <v>61292</v>
      </c>
      <c r="P138" s="419">
        <v>0</v>
      </c>
      <c r="Q138" s="419">
        <v>0</v>
      </c>
      <c r="R138" s="419">
        <v>0</v>
      </c>
      <c r="S138" s="419">
        <v>0</v>
      </c>
      <c r="T138" s="419">
        <v>84</v>
      </c>
      <c r="U138" s="419">
        <v>105611</v>
      </c>
      <c r="V138" s="419">
        <f>_xlfn.IFNA(VLOOKUP(A138,[8]進出口值表查詢結果!$C$11:$F$68,4,0),-[4]整車!$B$22)</f>
        <v>68</v>
      </c>
      <c r="W138" s="419">
        <f>_xlfn.IFNA(VLOOKUP(A138,[8]進出口值表查詢結果!$C$11:$F$68,3,0),-[4]整車!$B$22)</f>
        <v>64056</v>
      </c>
      <c r="X138" s="419">
        <f>_xlfn.IFNA(VLOOKUP(A138,[9]進出口值表查詢結果!$C$11:$F$68,4,0),-[4]整車!$B$22)</f>
        <v>0</v>
      </c>
      <c r="Y138" s="419">
        <f>_xlfn.IFNA(VLOOKUP(A138,[9]進出口值表查詢結果!$C$11:$F$68,3,0),-[4]整車!$B$22)</f>
        <v>0</v>
      </c>
      <c r="Z138" s="413">
        <f t="shared" si="26"/>
        <v>275</v>
      </c>
      <c r="AA138" s="413">
        <f t="shared" si="27"/>
        <v>230959</v>
      </c>
    </row>
    <row r="139" spans="1:27">
      <c r="A139" s="456" t="s">
        <v>196</v>
      </c>
      <c r="B139" s="419">
        <v>280</v>
      </c>
      <c r="C139" s="419">
        <v>479573</v>
      </c>
      <c r="D139" s="419">
        <v>172</v>
      </c>
      <c r="E139" s="419">
        <v>228214</v>
      </c>
      <c r="F139" s="419">
        <v>600</v>
      </c>
      <c r="G139" s="419">
        <v>459244</v>
      </c>
      <c r="H139" s="419">
        <v>0</v>
      </c>
      <c r="I139" s="419">
        <v>0</v>
      </c>
      <c r="J139" s="420">
        <v>1213</v>
      </c>
      <c r="K139" s="421">
        <v>446610</v>
      </c>
      <c r="L139" s="419">
        <v>165</v>
      </c>
      <c r="M139" s="419">
        <v>220979</v>
      </c>
      <c r="N139" s="419">
        <v>339</v>
      </c>
      <c r="O139" s="419">
        <v>507640</v>
      </c>
      <c r="P139" s="419">
        <v>425</v>
      </c>
      <c r="Q139" s="419">
        <v>413046</v>
      </c>
      <c r="R139" s="419">
        <v>740</v>
      </c>
      <c r="S139" s="419">
        <v>667120</v>
      </c>
      <c r="T139" s="419">
        <v>1704</v>
      </c>
      <c r="U139" s="419">
        <v>1071291</v>
      </c>
      <c r="V139" s="419">
        <f>_xlfn.IFNA(VLOOKUP(A139,[8]進出口值表查詢結果!$C$11:$F$68,4,0),-[4]整車!$B$22)</f>
        <v>552</v>
      </c>
      <c r="W139" s="419">
        <f>_xlfn.IFNA(VLOOKUP(A139,[8]進出口值表查詢結果!$C$11:$F$68,3,0),-[4]整車!$B$22)</f>
        <v>411890</v>
      </c>
      <c r="X139" s="419">
        <f>_xlfn.IFNA(VLOOKUP(A139,[9]進出口值表查詢結果!$C$11:$F$68,4,0),-[4]整車!$B$22)</f>
        <v>108</v>
      </c>
      <c r="Y139" s="419">
        <f>_xlfn.IFNA(VLOOKUP(A139,[9]進出口值表查詢結果!$C$11:$F$68,3,0),-[4]整車!$B$22)</f>
        <v>192722</v>
      </c>
      <c r="Z139" s="413">
        <f t="shared" si="26"/>
        <v>6298</v>
      </c>
      <c r="AA139" s="413">
        <f t="shared" si="27"/>
        <v>5098329</v>
      </c>
    </row>
    <row r="140" spans="1:27">
      <c r="A140" s="456" t="s">
        <v>328</v>
      </c>
      <c r="B140" s="419"/>
      <c r="C140" s="419"/>
      <c r="D140" s="419"/>
      <c r="E140" s="419"/>
      <c r="F140" s="419">
        <v>0</v>
      </c>
      <c r="G140" s="419"/>
      <c r="H140" s="419">
        <v>0</v>
      </c>
      <c r="I140" s="419">
        <v>0</v>
      </c>
      <c r="J140" s="420"/>
      <c r="K140" s="421"/>
      <c r="L140" s="419">
        <v>0</v>
      </c>
      <c r="M140" s="419">
        <v>0</v>
      </c>
      <c r="N140" s="419">
        <v>0</v>
      </c>
      <c r="O140" s="419">
        <v>0</v>
      </c>
      <c r="P140" s="419">
        <v>0</v>
      </c>
      <c r="Q140" s="419">
        <v>0</v>
      </c>
      <c r="R140" s="419">
        <v>0</v>
      </c>
      <c r="S140" s="419">
        <v>0</v>
      </c>
      <c r="T140" s="419"/>
      <c r="U140" s="419"/>
      <c r="V140" s="419">
        <f>_xlfn.IFNA(VLOOKUP(A140,[8]進出口值表查詢結果!$C$11:$F$68,4,0),-[4]整車!$B$22)</f>
        <v>0</v>
      </c>
      <c r="W140" s="419">
        <f>_xlfn.IFNA(VLOOKUP(A140,[8]進出口值表查詢結果!$C$11:$F$68,3,0),-[4]整車!$B$22)</f>
        <v>0</v>
      </c>
      <c r="X140" s="419">
        <f>_xlfn.IFNA(VLOOKUP(A140,[9]進出口值表查詢結果!$C$11:$F$68,4,0),-[4]整車!$B$22)</f>
        <v>0</v>
      </c>
      <c r="Y140" s="419">
        <f>_xlfn.IFNA(VLOOKUP(A140,[9]進出口值表查詢結果!$C$11:$F$68,3,0),-[4]整車!$B$22)</f>
        <v>0</v>
      </c>
      <c r="Z140" s="413">
        <f t="shared" si="26"/>
        <v>0</v>
      </c>
      <c r="AA140" s="413">
        <f t="shared" si="27"/>
        <v>0</v>
      </c>
    </row>
    <row r="141" spans="1:27">
      <c r="A141" s="456" t="s">
        <v>329</v>
      </c>
      <c r="B141" s="419"/>
      <c r="C141" s="419"/>
      <c r="D141" s="419"/>
      <c r="E141" s="419"/>
      <c r="F141" s="419">
        <v>0</v>
      </c>
      <c r="G141" s="419"/>
      <c r="H141" s="419">
        <v>0</v>
      </c>
      <c r="I141" s="419">
        <v>0</v>
      </c>
      <c r="J141" s="420"/>
      <c r="K141" s="421"/>
      <c r="L141" s="419">
        <v>0</v>
      </c>
      <c r="M141" s="419">
        <v>0</v>
      </c>
      <c r="N141" s="419">
        <v>0</v>
      </c>
      <c r="O141" s="419">
        <v>0</v>
      </c>
      <c r="P141" s="419">
        <v>0</v>
      </c>
      <c r="Q141" s="419">
        <v>0</v>
      </c>
      <c r="R141" s="419">
        <v>0</v>
      </c>
      <c r="S141" s="419">
        <v>0</v>
      </c>
      <c r="T141" s="419"/>
      <c r="U141" s="419"/>
      <c r="V141" s="419">
        <f>_xlfn.IFNA(VLOOKUP(A141,[8]進出口值表查詢結果!$C$11:$F$68,4,0),-[4]整車!$B$22)</f>
        <v>0</v>
      </c>
      <c r="W141" s="419">
        <f>_xlfn.IFNA(VLOOKUP(A141,[8]進出口值表查詢結果!$C$11:$F$68,3,0),-[4]整車!$B$22)</f>
        <v>0</v>
      </c>
      <c r="X141" s="419">
        <f>_xlfn.IFNA(VLOOKUP(A141,[9]進出口值表查詢結果!$C$11:$F$68,4,0),-[4]整車!$B$22)</f>
        <v>0</v>
      </c>
      <c r="Y141" s="419">
        <f>_xlfn.IFNA(VLOOKUP(A141,[9]進出口值表查詢結果!$C$11:$F$68,3,0),-[4]整車!$B$22)</f>
        <v>0</v>
      </c>
      <c r="Z141" s="413">
        <f t="shared" si="26"/>
        <v>0</v>
      </c>
      <c r="AA141" s="413">
        <f t="shared" si="27"/>
        <v>0</v>
      </c>
    </row>
    <row r="142" spans="1:27">
      <c r="A142" s="456" t="s">
        <v>330</v>
      </c>
      <c r="B142" s="419">
        <v>77</v>
      </c>
      <c r="C142" s="419">
        <v>80740</v>
      </c>
      <c r="D142" s="419"/>
      <c r="E142" s="419"/>
      <c r="F142" s="419">
        <v>40</v>
      </c>
      <c r="G142" s="419">
        <v>6505</v>
      </c>
      <c r="H142" s="419">
        <v>0</v>
      </c>
      <c r="I142" s="419">
        <v>0</v>
      </c>
      <c r="J142" s="420"/>
      <c r="K142" s="421"/>
      <c r="L142" s="419">
        <v>101</v>
      </c>
      <c r="M142" s="419">
        <v>139946</v>
      </c>
      <c r="N142" s="419">
        <v>0</v>
      </c>
      <c r="O142" s="419">
        <v>0</v>
      </c>
      <c r="P142" s="419">
        <v>0</v>
      </c>
      <c r="Q142" s="419">
        <v>0</v>
      </c>
      <c r="R142" s="419">
        <v>0</v>
      </c>
      <c r="S142" s="419">
        <v>0</v>
      </c>
      <c r="T142" s="419"/>
      <c r="U142" s="419"/>
      <c r="V142" s="419">
        <f>_xlfn.IFNA(VLOOKUP(A142,[8]進出口值表查詢結果!$C$11:$F$68,4,0),-[4]整車!$B$22)</f>
        <v>0</v>
      </c>
      <c r="W142" s="419">
        <f>_xlfn.IFNA(VLOOKUP(A142,[8]進出口值表查詢結果!$C$11:$F$68,3,0),-[4]整車!$B$22)</f>
        <v>0</v>
      </c>
      <c r="X142" s="419">
        <f>_xlfn.IFNA(VLOOKUP(A142,[9]進出口值表查詢結果!$C$11:$F$68,4,0),-[4]整車!$B$22)</f>
        <v>94</v>
      </c>
      <c r="Y142" s="419">
        <f>_xlfn.IFNA(VLOOKUP(A142,[9]進出口值表查詢結果!$C$11:$F$68,3,0),-[4]整車!$B$22)</f>
        <v>108432</v>
      </c>
      <c r="Z142" s="413">
        <f t="shared" si="26"/>
        <v>312</v>
      </c>
      <c r="AA142" s="413">
        <f t="shared" si="27"/>
        <v>335623</v>
      </c>
    </row>
    <row r="143" spans="1:27">
      <c r="A143" s="456" t="s">
        <v>331</v>
      </c>
      <c r="B143" s="419"/>
      <c r="C143" s="419"/>
      <c r="D143" s="419"/>
      <c r="E143" s="419"/>
      <c r="F143" s="419">
        <v>0</v>
      </c>
      <c r="G143" s="419"/>
      <c r="H143" s="419">
        <v>0</v>
      </c>
      <c r="I143" s="419">
        <v>0</v>
      </c>
      <c r="J143" s="420"/>
      <c r="K143" s="421"/>
      <c r="L143" s="419">
        <v>25</v>
      </c>
      <c r="M143" s="419">
        <v>25972</v>
      </c>
      <c r="N143" s="419">
        <v>2</v>
      </c>
      <c r="O143" s="419">
        <v>3989</v>
      </c>
      <c r="P143" s="419">
        <v>6</v>
      </c>
      <c r="Q143" s="419">
        <v>5727</v>
      </c>
      <c r="R143" s="419">
        <v>5</v>
      </c>
      <c r="S143" s="419">
        <v>5843</v>
      </c>
      <c r="T143" s="419"/>
      <c r="U143" s="419"/>
      <c r="V143" s="419">
        <f>_xlfn.IFNA(VLOOKUP(A143,[8]進出口值表查詢結果!$C$11:$F$68,4,0),-[4]整車!$B$22)</f>
        <v>6</v>
      </c>
      <c r="W143" s="419">
        <f>_xlfn.IFNA(VLOOKUP(A143,[8]進出口值表查詢結果!$C$11:$F$68,3,0),-[4]整車!$B$22)</f>
        <v>7556</v>
      </c>
      <c r="X143" s="419">
        <f>_xlfn.IFNA(VLOOKUP(A143,[9]進出口值表查詢結果!$C$11:$F$68,4,0),-[4]整車!$B$22)</f>
        <v>0</v>
      </c>
      <c r="Y143" s="419">
        <f>_xlfn.IFNA(VLOOKUP(A143,[9]進出口值表查詢結果!$C$11:$F$68,3,0),-[4]整車!$B$22)</f>
        <v>0</v>
      </c>
      <c r="Z143" s="413">
        <f t="shared" si="26"/>
        <v>44</v>
      </c>
      <c r="AA143" s="413">
        <f t="shared" si="27"/>
        <v>49087</v>
      </c>
    </row>
    <row r="144" spans="1:27">
      <c r="A144" s="456" t="s">
        <v>332</v>
      </c>
      <c r="B144" s="419"/>
      <c r="C144" s="419"/>
      <c r="D144" s="419"/>
      <c r="E144" s="419"/>
      <c r="F144" s="419">
        <v>0</v>
      </c>
      <c r="G144" s="419"/>
      <c r="H144" s="419">
        <v>0</v>
      </c>
      <c r="I144" s="419">
        <v>0</v>
      </c>
      <c r="J144" s="420"/>
      <c r="K144" s="421"/>
      <c r="L144" s="419">
        <v>0</v>
      </c>
      <c r="M144" s="419">
        <v>0</v>
      </c>
      <c r="N144" s="419">
        <v>0</v>
      </c>
      <c r="O144" s="419">
        <v>0</v>
      </c>
      <c r="P144" s="419">
        <v>0</v>
      </c>
      <c r="Q144" s="419">
        <v>0</v>
      </c>
      <c r="R144" s="419">
        <v>0</v>
      </c>
      <c r="S144" s="419">
        <v>0</v>
      </c>
      <c r="T144" s="419"/>
      <c r="U144" s="419"/>
      <c r="V144" s="419">
        <f>_xlfn.IFNA(VLOOKUP(A144,[8]進出口值表查詢結果!$C$11:$F$68,4,0),-[4]整車!$B$22)</f>
        <v>0</v>
      </c>
      <c r="W144" s="419">
        <f>_xlfn.IFNA(VLOOKUP(A144,[8]進出口值表查詢結果!$C$11:$F$68,3,0),-[4]整車!$B$22)</f>
        <v>0</v>
      </c>
      <c r="X144" s="419">
        <f>_xlfn.IFNA(VLOOKUP(A144,[9]進出口值表查詢結果!$C$11:$F$68,4,0),-[4]整車!$B$22)</f>
        <v>0</v>
      </c>
      <c r="Y144" s="419">
        <f>_xlfn.IFNA(VLOOKUP(A144,[9]進出口值表查詢結果!$C$11:$F$68,3,0),-[4]整車!$B$22)</f>
        <v>0</v>
      </c>
      <c r="Z144" s="413">
        <f t="shared" si="26"/>
        <v>0</v>
      </c>
      <c r="AA144" s="413">
        <f t="shared" si="27"/>
        <v>0</v>
      </c>
    </row>
    <row r="145" spans="1:27">
      <c r="A145" s="456" t="s">
        <v>333</v>
      </c>
      <c r="B145" s="419"/>
      <c r="C145" s="419"/>
      <c r="D145" s="419">
        <v>20</v>
      </c>
      <c r="E145" s="419">
        <v>19787</v>
      </c>
      <c r="F145" s="419">
        <v>0</v>
      </c>
      <c r="G145" s="419"/>
      <c r="H145" s="419">
        <v>0</v>
      </c>
      <c r="I145" s="419">
        <v>0</v>
      </c>
      <c r="J145" s="420"/>
      <c r="K145" s="421"/>
      <c r="L145" s="419">
        <v>0</v>
      </c>
      <c r="M145" s="419">
        <v>0</v>
      </c>
      <c r="N145" s="419">
        <v>0</v>
      </c>
      <c r="O145" s="419">
        <v>0</v>
      </c>
      <c r="P145" s="419">
        <v>0</v>
      </c>
      <c r="Q145" s="419">
        <v>0</v>
      </c>
      <c r="R145" s="419">
        <v>0</v>
      </c>
      <c r="S145" s="419">
        <v>0</v>
      </c>
      <c r="T145" s="419"/>
      <c r="U145" s="419"/>
      <c r="V145" s="419">
        <f>_xlfn.IFNA(VLOOKUP(A145,[8]進出口值表查詢結果!$C$11:$F$68,4,0),-[4]整車!$B$22)</f>
        <v>0</v>
      </c>
      <c r="W145" s="419">
        <f>_xlfn.IFNA(VLOOKUP(A145,[8]進出口值表查詢結果!$C$11:$F$68,3,0),-[4]整車!$B$22)</f>
        <v>0</v>
      </c>
      <c r="X145" s="419">
        <f>_xlfn.IFNA(VLOOKUP(A145,[9]進出口值表查詢結果!$C$11:$F$68,4,0),-[4]整車!$B$22)</f>
        <v>0</v>
      </c>
      <c r="Y145" s="419">
        <f>_xlfn.IFNA(VLOOKUP(A145,[9]進出口值表查詢結果!$C$11:$F$68,3,0),-[4]整車!$B$22)</f>
        <v>0</v>
      </c>
      <c r="Z145" s="413">
        <f t="shared" si="26"/>
        <v>20</v>
      </c>
      <c r="AA145" s="413">
        <f t="shared" si="27"/>
        <v>19787</v>
      </c>
    </row>
    <row r="146" spans="1:27">
      <c r="A146" s="456" t="s">
        <v>334</v>
      </c>
      <c r="B146" s="419"/>
      <c r="C146" s="419"/>
      <c r="D146" s="419"/>
      <c r="E146" s="419"/>
      <c r="F146" s="419">
        <v>0</v>
      </c>
      <c r="G146" s="419"/>
      <c r="H146" s="419">
        <v>0</v>
      </c>
      <c r="I146" s="419">
        <v>0</v>
      </c>
      <c r="J146" s="420"/>
      <c r="K146" s="421"/>
      <c r="L146" s="419">
        <v>0</v>
      </c>
      <c r="M146" s="419">
        <v>0</v>
      </c>
      <c r="N146" s="419">
        <v>0</v>
      </c>
      <c r="O146" s="419">
        <v>0</v>
      </c>
      <c r="P146" s="419">
        <v>0</v>
      </c>
      <c r="Q146" s="419">
        <v>0</v>
      </c>
      <c r="R146" s="419">
        <v>0</v>
      </c>
      <c r="S146" s="419">
        <v>0</v>
      </c>
      <c r="T146" s="419"/>
      <c r="U146" s="419"/>
      <c r="V146" s="419">
        <f>_xlfn.IFNA(VLOOKUP(A146,[8]進出口值表查詢結果!$C$11:$F$68,4,0),-[4]整車!$B$22)</f>
        <v>0</v>
      </c>
      <c r="W146" s="419">
        <f>_xlfn.IFNA(VLOOKUP(A146,[8]進出口值表查詢結果!$C$11:$F$68,3,0),-[4]整車!$B$22)</f>
        <v>0</v>
      </c>
      <c r="X146" s="419">
        <f>_xlfn.IFNA(VLOOKUP(A146,[9]進出口值表查詢結果!$C$11:$F$68,4,0),-[4]整車!$B$22)</f>
        <v>0</v>
      </c>
      <c r="Y146" s="419">
        <f>_xlfn.IFNA(VLOOKUP(A146,[9]進出口值表查詢結果!$C$11:$F$68,3,0),-[4]整車!$B$22)</f>
        <v>0</v>
      </c>
      <c r="Z146" s="413">
        <f t="shared" si="26"/>
        <v>0</v>
      </c>
      <c r="AA146" s="413">
        <f t="shared" si="27"/>
        <v>0</v>
      </c>
    </row>
    <row r="147" spans="1:27">
      <c r="A147" s="456" t="s">
        <v>335</v>
      </c>
      <c r="B147" s="419">
        <v>27</v>
      </c>
      <c r="C147" s="419">
        <v>27791</v>
      </c>
      <c r="D147" s="419"/>
      <c r="E147" s="419"/>
      <c r="F147" s="419">
        <v>0</v>
      </c>
      <c r="G147" s="419"/>
      <c r="H147" s="419">
        <v>16</v>
      </c>
      <c r="I147" s="419">
        <v>12686</v>
      </c>
      <c r="J147" s="420"/>
      <c r="K147" s="421"/>
      <c r="L147" s="419">
        <v>28</v>
      </c>
      <c r="M147" s="419">
        <v>23257</v>
      </c>
      <c r="N147" s="419">
        <v>0</v>
      </c>
      <c r="O147" s="419">
        <v>0</v>
      </c>
      <c r="P147" s="419">
        <v>33</v>
      </c>
      <c r="Q147" s="419">
        <v>44052</v>
      </c>
      <c r="R147" s="419">
        <v>252</v>
      </c>
      <c r="S147" s="419">
        <v>146025</v>
      </c>
      <c r="T147" s="419"/>
      <c r="U147" s="419"/>
      <c r="V147" s="419">
        <f>_xlfn.IFNA(VLOOKUP(A147,[8]進出口值表查詢結果!$C$11:$F$68,4,0),-[4]整車!$B$22)</f>
        <v>0</v>
      </c>
      <c r="W147" s="419">
        <f>_xlfn.IFNA(VLOOKUP(A147,[8]進出口值表查詢結果!$C$11:$F$68,3,0),-[4]整車!$B$22)</f>
        <v>0</v>
      </c>
      <c r="X147" s="419">
        <f>_xlfn.IFNA(VLOOKUP(A147,[9]進出口值表查詢結果!$C$11:$F$68,4,0),-[4]整車!$B$22)</f>
        <v>0</v>
      </c>
      <c r="Y147" s="419">
        <f>_xlfn.IFNA(VLOOKUP(A147,[9]進出口值表查詢結果!$C$11:$F$68,3,0),-[4]整車!$B$22)</f>
        <v>0</v>
      </c>
      <c r="Z147" s="413">
        <f t="shared" si="26"/>
        <v>356</v>
      </c>
      <c r="AA147" s="413">
        <f t="shared" si="27"/>
        <v>253811</v>
      </c>
    </row>
    <row r="148" spans="1:27">
      <c r="A148" s="456" t="s">
        <v>336</v>
      </c>
      <c r="B148" s="419"/>
      <c r="C148" s="419"/>
      <c r="D148" s="419"/>
      <c r="E148" s="419"/>
      <c r="F148" s="419">
        <v>0</v>
      </c>
      <c r="G148" s="419"/>
      <c r="H148" s="419">
        <v>0</v>
      </c>
      <c r="I148" s="419">
        <v>0</v>
      </c>
      <c r="J148" s="420"/>
      <c r="K148" s="421"/>
      <c r="L148" s="419">
        <v>0</v>
      </c>
      <c r="M148" s="419">
        <v>0</v>
      </c>
      <c r="N148" s="419">
        <v>0</v>
      </c>
      <c r="O148" s="419">
        <v>0</v>
      </c>
      <c r="P148" s="419">
        <v>0</v>
      </c>
      <c r="Q148" s="419">
        <v>0</v>
      </c>
      <c r="R148" s="419">
        <v>0</v>
      </c>
      <c r="S148" s="419">
        <v>0</v>
      </c>
      <c r="T148" s="419"/>
      <c r="U148" s="419"/>
      <c r="V148" s="419">
        <f>_xlfn.IFNA(VLOOKUP(A148,[8]進出口值表查詢結果!$C$11:$F$68,4,0),-[4]整車!$B$22)</f>
        <v>0</v>
      </c>
      <c r="W148" s="419">
        <f>_xlfn.IFNA(VLOOKUP(A148,[8]進出口值表查詢結果!$C$11:$F$68,3,0),-[4]整車!$B$22)</f>
        <v>0</v>
      </c>
      <c r="X148" s="419">
        <f>_xlfn.IFNA(VLOOKUP(A148,[9]進出口值表查詢結果!$C$11:$F$68,4,0),-[4]整車!$B$22)</f>
        <v>0</v>
      </c>
      <c r="Y148" s="419">
        <f>_xlfn.IFNA(VLOOKUP(A148,[9]進出口值表查詢結果!$C$11:$F$68,3,0),-[4]整車!$B$22)</f>
        <v>0</v>
      </c>
      <c r="Z148" s="413">
        <f t="shared" si="26"/>
        <v>0</v>
      </c>
      <c r="AA148" s="413">
        <f t="shared" si="27"/>
        <v>0</v>
      </c>
    </row>
    <row r="149" spans="1:27">
      <c r="A149" s="456" t="s">
        <v>337</v>
      </c>
      <c r="B149" s="419"/>
      <c r="C149" s="419"/>
      <c r="D149" s="419"/>
      <c r="E149" s="419"/>
      <c r="F149" s="419">
        <v>0</v>
      </c>
      <c r="G149" s="419"/>
      <c r="H149" s="419">
        <v>0</v>
      </c>
      <c r="I149" s="419">
        <v>0</v>
      </c>
      <c r="J149" s="420"/>
      <c r="K149" s="421"/>
      <c r="L149" s="419">
        <v>0</v>
      </c>
      <c r="M149" s="419">
        <v>0</v>
      </c>
      <c r="N149" s="419">
        <v>0</v>
      </c>
      <c r="O149" s="419">
        <v>0</v>
      </c>
      <c r="P149" s="419">
        <v>0</v>
      </c>
      <c r="Q149" s="419">
        <v>0</v>
      </c>
      <c r="R149" s="419">
        <v>0</v>
      </c>
      <c r="S149" s="419">
        <v>0</v>
      </c>
      <c r="T149" s="419"/>
      <c r="U149" s="419"/>
      <c r="V149" s="419">
        <f>_xlfn.IFNA(VLOOKUP(A149,[8]進出口值表查詢結果!$C$11:$F$68,4,0),-[4]整車!$B$22)</f>
        <v>0</v>
      </c>
      <c r="W149" s="419">
        <f>_xlfn.IFNA(VLOOKUP(A149,[8]進出口值表查詢結果!$C$11:$F$68,3,0),-[4]整車!$B$22)</f>
        <v>0</v>
      </c>
      <c r="X149" s="419">
        <f>_xlfn.IFNA(VLOOKUP(A149,[9]進出口值表查詢結果!$C$11:$F$68,4,0),-[4]整車!$B$22)</f>
        <v>0</v>
      </c>
      <c r="Y149" s="419">
        <f>_xlfn.IFNA(VLOOKUP(A149,[9]進出口值表查詢結果!$C$11:$F$68,3,0),-[4]整車!$B$22)</f>
        <v>0</v>
      </c>
      <c r="Z149" s="413">
        <f t="shared" si="26"/>
        <v>0</v>
      </c>
      <c r="AA149" s="413">
        <f t="shared" si="27"/>
        <v>0</v>
      </c>
    </row>
    <row r="150" spans="1:27">
      <c r="A150" s="456" t="s">
        <v>338</v>
      </c>
      <c r="B150" s="419"/>
      <c r="C150" s="419"/>
      <c r="D150" s="419"/>
      <c r="E150" s="419"/>
      <c r="F150" s="419">
        <v>0</v>
      </c>
      <c r="G150" s="419"/>
      <c r="H150" s="419">
        <v>912</v>
      </c>
      <c r="I150" s="419">
        <v>9076</v>
      </c>
      <c r="J150" s="420"/>
      <c r="K150" s="421"/>
      <c r="L150" s="419">
        <v>0</v>
      </c>
      <c r="M150" s="419">
        <v>0</v>
      </c>
      <c r="N150" s="419">
        <v>860</v>
      </c>
      <c r="O150" s="419">
        <v>8722</v>
      </c>
      <c r="P150" s="419">
        <v>0</v>
      </c>
      <c r="Q150" s="419">
        <v>0</v>
      </c>
      <c r="R150" s="419">
        <v>0</v>
      </c>
      <c r="S150" s="419">
        <v>0</v>
      </c>
      <c r="T150" s="419">
        <v>60</v>
      </c>
      <c r="U150" s="419">
        <v>895</v>
      </c>
      <c r="V150" s="419">
        <f>_xlfn.IFNA(VLOOKUP(A150,[8]進出口值表查詢結果!$C$11:$F$68,4,0),-[4]整車!$B$22)</f>
        <v>0</v>
      </c>
      <c r="W150" s="419">
        <f>_xlfn.IFNA(VLOOKUP(A150,[8]進出口值表查詢結果!$C$11:$F$68,3,0),-[4]整車!$B$22)</f>
        <v>0</v>
      </c>
      <c r="X150" s="419">
        <f>_xlfn.IFNA(VLOOKUP(A150,[9]進出口值表查詢結果!$C$11:$F$68,4,0),-[4]整車!$B$22)</f>
        <v>0</v>
      </c>
      <c r="Y150" s="419">
        <f>_xlfn.IFNA(VLOOKUP(A150,[9]進出口值表查詢結果!$C$11:$F$68,3,0),-[4]整車!$B$22)</f>
        <v>0</v>
      </c>
      <c r="Z150" s="413">
        <f t="shared" si="26"/>
        <v>1832</v>
      </c>
      <c r="AA150" s="413">
        <f t="shared" si="27"/>
        <v>18693</v>
      </c>
    </row>
    <row r="151" spans="1:27">
      <c r="A151" s="462" t="s">
        <v>339</v>
      </c>
      <c r="B151" s="440">
        <f t="shared" ref="B151:Y151" si="28">SUM(B152:B188)</f>
        <v>438</v>
      </c>
      <c r="C151" s="440">
        <f t="shared" si="28"/>
        <v>697135</v>
      </c>
      <c r="D151" s="440">
        <f t="shared" si="28"/>
        <v>255</v>
      </c>
      <c r="E151" s="440">
        <f t="shared" si="28"/>
        <v>237208</v>
      </c>
      <c r="F151" s="440">
        <f t="shared" si="28"/>
        <v>115</v>
      </c>
      <c r="G151" s="440">
        <f t="shared" si="28"/>
        <v>139562</v>
      </c>
      <c r="H151" s="440">
        <f t="shared" si="28"/>
        <v>86</v>
      </c>
      <c r="I151" s="440">
        <f t="shared" si="28"/>
        <v>117092</v>
      </c>
      <c r="J151" s="441">
        <f t="shared" si="28"/>
        <v>613</v>
      </c>
      <c r="K151" s="442">
        <f>SUM(K152:K188)</f>
        <v>1036854</v>
      </c>
      <c r="L151" s="440">
        <f t="shared" si="28"/>
        <v>427</v>
      </c>
      <c r="M151" s="440">
        <f t="shared" si="28"/>
        <v>494605</v>
      </c>
      <c r="N151" s="440">
        <f t="shared" si="28"/>
        <v>849</v>
      </c>
      <c r="O151" s="440">
        <f t="shared" si="28"/>
        <v>1256457</v>
      </c>
      <c r="P151" s="440">
        <f t="shared" si="28"/>
        <v>1223</v>
      </c>
      <c r="Q151" s="440">
        <f t="shared" si="28"/>
        <v>669332</v>
      </c>
      <c r="R151" s="440">
        <f t="shared" si="28"/>
        <v>709</v>
      </c>
      <c r="S151" s="440">
        <f t="shared" si="28"/>
        <v>987195</v>
      </c>
      <c r="T151" s="440">
        <f t="shared" si="28"/>
        <v>318</v>
      </c>
      <c r="U151" s="440">
        <f t="shared" si="28"/>
        <v>309983</v>
      </c>
      <c r="V151" s="440">
        <f>SUM(V152:V188)</f>
        <v>638</v>
      </c>
      <c r="W151" s="440">
        <f>SUM(W152:W188)</f>
        <v>766517</v>
      </c>
      <c r="X151" s="440">
        <f t="shared" si="28"/>
        <v>526</v>
      </c>
      <c r="Y151" s="440">
        <f t="shared" si="28"/>
        <v>550560</v>
      </c>
      <c r="Z151" s="426">
        <f t="shared" si="26"/>
        <v>6197</v>
      </c>
      <c r="AA151" s="426">
        <f t="shared" si="27"/>
        <v>7262500</v>
      </c>
    </row>
    <row r="152" spans="1:27">
      <c r="A152" s="456" t="s">
        <v>185</v>
      </c>
      <c r="B152" s="419">
        <v>384</v>
      </c>
      <c r="C152" s="419">
        <v>666044</v>
      </c>
      <c r="D152" s="419">
        <v>225</v>
      </c>
      <c r="E152" s="419">
        <v>237041</v>
      </c>
      <c r="F152" s="419">
        <v>111</v>
      </c>
      <c r="G152" s="419">
        <v>136011</v>
      </c>
      <c r="H152" s="419">
        <v>36</v>
      </c>
      <c r="I152" s="419">
        <v>67009</v>
      </c>
      <c r="J152" s="420">
        <v>449</v>
      </c>
      <c r="K152" s="421">
        <v>996359</v>
      </c>
      <c r="L152" s="419">
        <v>306</v>
      </c>
      <c r="M152" s="419">
        <v>433512</v>
      </c>
      <c r="N152" s="419">
        <v>849</v>
      </c>
      <c r="O152" s="419">
        <v>1256457</v>
      </c>
      <c r="P152" s="419">
        <v>395</v>
      </c>
      <c r="Q152" s="419">
        <v>604709</v>
      </c>
      <c r="R152" s="419">
        <v>684</v>
      </c>
      <c r="S152" s="419">
        <v>986787</v>
      </c>
      <c r="T152" s="419">
        <v>211</v>
      </c>
      <c r="U152" s="419">
        <v>279759</v>
      </c>
      <c r="V152" s="419">
        <f>_xlfn.IFNA(VLOOKUP(A152,[8]進出口值表查詢結果!$C$11:$F$68,4,0),-[4]整車!$B$22)</f>
        <v>506</v>
      </c>
      <c r="W152" s="419">
        <f>_xlfn.IFNA(VLOOKUP(A152,[8]進出口值表查詢結果!$C$11:$F$68,3,0),-[4]整車!$B$22)</f>
        <v>630607</v>
      </c>
      <c r="X152" s="419">
        <f>_xlfn.IFNA(VLOOKUP(A152,[9]進出口值表查詢結果!$C$11:$F$68,4,0),-[4]整車!$B$22)</f>
        <v>360</v>
      </c>
      <c r="Y152" s="419">
        <f>_xlfn.IFNA(VLOOKUP(A152,[9]進出口值表查詢結果!$C$11:$F$68,3,0),-[4]整車!$B$22)</f>
        <v>482820</v>
      </c>
      <c r="Z152" s="413">
        <f t="shared" si="26"/>
        <v>4516</v>
      </c>
      <c r="AA152" s="413">
        <f t="shared" si="27"/>
        <v>6777115</v>
      </c>
    </row>
    <row r="153" spans="1:27">
      <c r="A153" s="456" t="s">
        <v>341</v>
      </c>
      <c r="B153" s="419">
        <v>1</v>
      </c>
      <c r="C153" s="419">
        <v>2333</v>
      </c>
      <c r="D153" s="419"/>
      <c r="E153" s="419"/>
      <c r="F153" s="419">
        <v>0</v>
      </c>
      <c r="G153" s="419"/>
      <c r="H153" s="419">
        <v>15</v>
      </c>
      <c r="I153" s="419">
        <v>19675</v>
      </c>
      <c r="J153" s="420">
        <v>39</v>
      </c>
      <c r="K153" s="421">
        <v>39292</v>
      </c>
      <c r="L153" s="419">
        <v>0</v>
      </c>
      <c r="M153" s="419">
        <v>0</v>
      </c>
      <c r="N153" s="419">
        <v>0</v>
      </c>
      <c r="O153" s="419">
        <v>0</v>
      </c>
      <c r="P153" s="419">
        <v>0</v>
      </c>
      <c r="Q153" s="419">
        <v>0</v>
      </c>
      <c r="R153" s="419">
        <v>0</v>
      </c>
      <c r="S153" s="419">
        <v>0</v>
      </c>
      <c r="T153" s="419"/>
      <c r="U153" s="419"/>
      <c r="V153" s="419">
        <f>_xlfn.IFNA(VLOOKUP(A153,[8]進出口值表查詢結果!$C$11:$F$68,4,0),-[4]整車!$B$22)</f>
        <v>132</v>
      </c>
      <c r="W153" s="419">
        <f>_xlfn.IFNA(VLOOKUP(A153,[8]進出口值表查詢結果!$C$11:$F$68,3,0),-[4]整車!$B$22)</f>
        <v>135910</v>
      </c>
      <c r="X153" s="419">
        <f>_xlfn.IFNA(VLOOKUP(A153,[9]進出口值表查詢結果!$C$11:$F$68,4,0),-[4]整車!$B$22)</f>
        <v>0</v>
      </c>
      <c r="Y153" s="419">
        <f>_xlfn.IFNA(VLOOKUP(A153,[9]進出口值表查詢結果!$C$11:$F$68,3,0),-[4]整車!$B$22)</f>
        <v>0</v>
      </c>
      <c r="Z153" s="413">
        <f t="shared" si="26"/>
        <v>187</v>
      </c>
      <c r="AA153" s="413">
        <f t="shared" si="27"/>
        <v>197210</v>
      </c>
    </row>
    <row r="154" spans="1:27">
      <c r="A154" s="456" t="s">
        <v>342</v>
      </c>
      <c r="B154" s="419"/>
      <c r="C154" s="419"/>
      <c r="D154" s="419"/>
      <c r="E154" s="419"/>
      <c r="F154" s="419">
        <v>0</v>
      </c>
      <c r="G154" s="419"/>
      <c r="H154" s="419">
        <v>0</v>
      </c>
      <c r="I154" s="419">
        <v>0</v>
      </c>
      <c r="J154" s="420"/>
      <c r="K154" s="421"/>
      <c r="L154" s="419">
        <v>0</v>
      </c>
      <c r="M154" s="419">
        <v>0</v>
      </c>
      <c r="N154" s="419">
        <v>0</v>
      </c>
      <c r="O154" s="419">
        <v>0</v>
      </c>
      <c r="P154" s="419">
        <v>0</v>
      </c>
      <c r="Q154" s="419">
        <v>0</v>
      </c>
      <c r="R154" s="419">
        <v>0</v>
      </c>
      <c r="S154" s="419">
        <v>0</v>
      </c>
      <c r="T154" s="419"/>
      <c r="U154" s="419"/>
      <c r="V154" s="419">
        <f>_xlfn.IFNA(VLOOKUP(A154,[8]進出口值表查詢結果!$C$11:$F$68,4,0),-[4]整車!$B$22)</f>
        <v>0</v>
      </c>
      <c r="W154" s="419">
        <f>_xlfn.IFNA(VLOOKUP(A154,[8]進出口值表查詢結果!$C$11:$F$68,3,0),-[4]整車!$B$22)</f>
        <v>0</v>
      </c>
      <c r="X154" s="419">
        <f>_xlfn.IFNA(VLOOKUP(A154,[9]進出口值表查詢結果!$C$11:$F$68,4,0),-[4]整車!$B$22)</f>
        <v>0</v>
      </c>
      <c r="Y154" s="419">
        <f>_xlfn.IFNA(VLOOKUP(A154,[9]進出口值表查詢結果!$C$11:$F$68,3,0),-[4]整車!$B$22)</f>
        <v>0</v>
      </c>
      <c r="Z154" s="413">
        <f t="shared" si="26"/>
        <v>0</v>
      </c>
      <c r="AA154" s="413">
        <f t="shared" si="27"/>
        <v>0</v>
      </c>
    </row>
    <row r="155" spans="1:27">
      <c r="A155" s="456" t="s">
        <v>343</v>
      </c>
      <c r="B155" s="419"/>
      <c r="C155" s="419"/>
      <c r="D155" s="419"/>
      <c r="E155" s="419"/>
      <c r="F155" s="419">
        <v>0</v>
      </c>
      <c r="G155" s="419"/>
      <c r="H155" s="419">
        <v>0</v>
      </c>
      <c r="I155" s="419">
        <v>0</v>
      </c>
      <c r="J155" s="420"/>
      <c r="K155" s="421"/>
      <c r="L155" s="419">
        <v>0</v>
      </c>
      <c r="M155" s="419">
        <v>0</v>
      </c>
      <c r="N155" s="419">
        <v>0</v>
      </c>
      <c r="O155" s="419">
        <v>0</v>
      </c>
      <c r="P155" s="419">
        <v>0</v>
      </c>
      <c r="Q155" s="419">
        <v>0</v>
      </c>
      <c r="R155" s="419">
        <v>0</v>
      </c>
      <c r="S155" s="419">
        <v>0</v>
      </c>
      <c r="T155" s="419"/>
      <c r="U155" s="419"/>
      <c r="V155" s="419">
        <f>_xlfn.IFNA(VLOOKUP(A155,[8]進出口值表查詢結果!$C$11:$F$68,4,0),-[4]整車!$B$22)</f>
        <v>0</v>
      </c>
      <c r="W155" s="419">
        <f>_xlfn.IFNA(VLOOKUP(A155,[8]進出口值表查詢結果!$C$11:$F$68,3,0),-[4]整車!$B$22)</f>
        <v>0</v>
      </c>
      <c r="X155" s="419">
        <f>_xlfn.IFNA(VLOOKUP(A155,[9]進出口值表查詢結果!$C$11:$F$68,4,0),-[4]整車!$B$22)</f>
        <v>0</v>
      </c>
      <c r="Y155" s="419">
        <f>_xlfn.IFNA(VLOOKUP(A155,[9]進出口值表查詢結果!$C$11:$F$68,3,0),-[4]整車!$B$22)</f>
        <v>0</v>
      </c>
      <c r="Z155" s="413">
        <f t="shared" si="26"/>
        <v>0</v>
      </c>
      <c r="AA155" s="413">
        <f t="shared" si="27"/>
        <v>0</v>
      </c>
    </row>
    <row r="156" spans="1:27">
      <c r="A156" s="456" t="s">
        <v>200</v>
      </c>
      <c r="B156" s="419"/>
      <c r="C156" s="419"/>
      <c r="D156" s="419"/>
      <c r="E156" s="419"/>
      <c r="F156" s="419">
        <v>0</v>
      </c>
      <c r="G156" s="419"/>
      <c r="H156" s="419">
        <v>0</v>
      </c>
      <c r="I156" s="419">
        <v>0</v>
      </c>
      <c r="J156" s="420"/>
      <c r="K156" s="421"/>
      <c r="L156" s="419">
        <v>0</v>
      </c>
      <c r="M156" s="419">
        <v>0</v>
      </c>
      <c r="N156" s="419">
        <v>0</v>
      </c>
      <c r="O156" s="419">
        <v>0</v>
      </c>
      <c r="P156" s="419">
        <v>0</v>
      </c>
      <c r="Q156" s="419">
        <v>0</v>
      </c>
      <c r="R156" s="419">
        <v>0</v>
      </c>
      <c r="S156" s="419">
        <v>0</v>
      </c>
      <c r="T156" s="419"/>
      <c r="U156" s="419"/>
      <c r="V156" s="419">
        <f>_xlfn.IFNA(VLOOKUP(A156,[8]進出口值表查詢結果!$C$11:$F$68,4,0),-[4]整車!$B$22)</f>
        <v>0</v>
      </c>
      <c r="W156" s="419">
        <f>_xlfn.IFNA(VLOOKUP(A156,[8]進出口值表查詢結果!$C$11:$F$68,3,0),-[4]整車!$B$22)</f>
        <v>0</v>
      </c>
      <c r="X156" s="419">
        <f>_xlfn.IFNA(VLOOKUP(A156,[9]進出口值表查詢結果!$C$11:$F$68,4,0),-[4]整車!$B$22)</f>
        <v>0</v>
      </c>
      <c r="Y156" s="419">
        <f>_xlfn.IFNA(VLOOKUP(A156,[9]進出口值表查詢結果!$C$11:$F$68,3,0),-[4]整車!$B$22)</f>
        <v>0</v>
      </c>
      <c r="Z156" s="413">
        <f t="shared" si="26"/>
        <v>0</v>
      </c>
      <c r="AA156" s="413">
        <f t="shared" si="27"/>
        <v>0</v>
      </c>
    </row>
    <row r="157" spans="1:27">
      <c r="A157" s="456" t="s">
        <v>344</v>
      </c>
      <c r="B157" s="419"/>
      <c r="C157" s="419"/>
      <c r="D157" s="419"/>
      <c r="E157" s="419"/>
      <c r="F157" s="419">
        <v>0</v>
      </c>
      <c r="G157" s="419"/>
      <c r="H157" s="419">
        <v>0</v>
      </c>
      <c r="I157" s="419">
        <v>0</v>
      </c>
      <c r="J157" s="420"/>
      <c r="K157" s="421"/>
      <c r="L157" s="419">
        <v>0</v>
      </c>
      <c r="M157" s="419">
        <v>0</v>
      </c>
      <c r="N157" s="419">
        <v>0</v>
      </c>
      <c r="O157" s="419">
        <v>0</v>
      </c>
      <c r="P157" s="419">
        <v>113</v>
      </c>
      <c r="Q157" s="419">
        <v>610</v>
      </c>
      <c r="R157" s="419">
        <v>25</v>
      </c>
      <c r="S157" s="419">
        <v>408</v>
      </c>
      <c r="T157" s="419">
        <v>56</v>
      </c>
      <c r="U157" s="419">
        <v>448</v>
      </c>
      <c r="V157" s="419">
        <f>_xlfn.IFNA(VLOOKUP(A157,[8]進出口值表查詢結果!$C$11:$F$68,4,0),-[4]整車!$B$22)</f>
        <v>0</v>
      </c>
      <c r="W157" s="419">
        <f>_xlfn.IFNA(VLOOKUP(A157,[8]進出口值表查詢結果!$C$11:$F$68,3,0),-[4]整車!$B$22)</f>
        <v>0</v>
      </c>
      <c r="X157" s="419">
        <f>_xlfn.IFNA(VLOOKUP(A157,[9]進出口值表查詢結果!$C$11:$F$75,4,0),-[4]整車!$B$22)</f>
        <v>6</v>
      </c>
      <c r="Y157" s="419">
        <f>_xlfn.IFNA(VLOOKUP(A157,[9]進出口值表查詢結果!$C$11:$F$75,3,0),-[4]整車!$B$22)</f>
        <v>175</v>
      </c>
      <c r="Z157" s="413">
        <f t="shared" si="26"/>
        <v>200</v>
      </c>
      <c r="AA157" s="413">
        <f t="shared" si="27"/>
        <v>1641</v>
      </c>
    </row>
    <row r="158" spans="1:27">
      <c r="A158" s="456" t="s">
        <v>345</v>
      </c>
      <c r="B158" s="419"/>
      <c r="C158" s="419"/>
      <c r="D158" s="419"/>
      <c r="E158" s="419"/>
      <c r="F158" s="419">
        <v>0</v>
      </c>
      <c r="G158" s="419"/>
      <c r="H158" s="419">
        <v>0</v>
      </c>
      <c r="I158" s="419">
        <v>0</v>
      </c>
      <c r="J158" s="420"/>
      <c r="K158" s="421"/>
      <c r="L158" s="419">
        <v>0</v>
      </c>
      <c r="M158" s="419">
        <v>0</v>
      </c>
      <c r="N158" s="419">
        <v>0</v>
      </c>
      <c r="O158" s="419">
        <v>0</v>
      </c>
      <c r="P158" s="419">
        <v>0</v>
      </c>
      <c r="Q158" s="419">
        <v>0</v>
      </c>
      <c r="R158" s="419">
        <v>0</v>
      </c>
      <c r="S158" s="419">
        <v>0</v>
      </c>
      <c r="T158" s="419"/>
      <c r="U158" s="419"/>
      <c r="V158" s="419">
        <f>_xlfn.IFNA(VLOOKUP(A158,[8]進出口值表查詢結果!$C$11:$F$68,4,0),-[4]整車!$B$22)</f>
        <v>0</v>
      </c>
      <c r="W158" s="419">
        <f>_xlfn.IFNA(VLOOKUP(A158,[8]進出口值表查詢結果!$C$11:$F$68,3,0),-[4]整車!$B$22)</f>
        <v>0</v>
      </c>
      <c r="X158" s="419">
        <f>_xlfn.IFNA(VLOOKUP(A158,[9]進出口值表查詢結果!$C$11:$F$75,4,0),-[4]整車!$B$22)</f>
        <v>0</v>
      </c>
      <c r="Y158" s="419">
        <f>_xlfn.IFNA(VLOOKUP(A158,[9]進出口值表查詢結果!$C$11:$F$75,3,0),-[4]整車!$B$22)</f>
        <v>0</v>
      </c>
      <c r="Z158" s="413">
        <f t="shared" si="26"/>
        <v>0</v>
      </c>
      <c r="AA158" s="413">
        <f t="shared" si="27"/>
        <v>0</v>
      </c>
    </row>
    <row r="159" spans="1:27">
      <c r="A159" s="456" t="s">
        <v>346</v>
      </c>
      <c r="B159" s="419"/>
      <c r="C159" s="419"/>
      <c r="D159" s="419"/>
      <c r="E159" s="419"/>
      <c r="F159" s="419">
        <v>0</v>
      </c>
      <c r="G159" s="419"/>
      <c r="H159" s="419">
        <v>0</v>
      </c>
      <c r="I159" s="419">
        <v>0</v>
      </c>
      <c r="J159" s="420"/>
      <c r="K159" s="421"/>
      <c r="L159" s="419">
        <v>0</v>
      </c>
      <c r="M159" s="419">
        <v>0</v>
      </c>
      <c r="N159" s="419">
        <v>0</v>
      </c>
      <c r="O159" s="419">
        <v>0</v>
      </c>
      <c r="P159" s="419">
        <v>0</v>
      </c>
      <c r="Q159" s="419">
        <v>0</v>
      </c>
      <c r="R159" s="419">
        <v>0</v>
      </c>
      <c r="S159" s="419">
        <v>0</v>
      </c>
      <c r="T159" s="419"/>
      <c r="U159" s="419"/>
      <c r="V159" s="419">
        <f>_xlfn.IFNA(VLOOKUP(A159,[8]進出口值表查詢結果!$C$11:$F$68,4,0),-[4]整車!$B$22)</f>
        <v>0</v>
      </c>
      <c r="W159" s="419">
        <f>_xlfn.IFNA(VLOOKUP(A159,[8]進出口值表查詢結果!$C$11:$F$68,3,0),-[4]整車!$B$22)</f>
        <v>0</v>
      </c>
      <c r="X159" s="419">
        <f>_xlfn.IFNA(VLOOKUP(A159,[9]進出口值表查詢結果!$C$11:$F$75,4,0),-[4]整車!$B$22)</f>
        <v>0</v>
      </c>
      <c r="Y159" s="419">
        <f>_xlfn.IFNA(VLOOKUP(A159,[9]進出口值表查詢結果!$C$11:$F$75,3,0),-[4]整車!$B$22)</f>
        <v>0</v>
      </c>
      <c r="Z159" s="413">
        <f t="shared" si="26"/>
        <v>0</v>
      </c>
      <c r="AA159" s="413">
        <f t="shared" si="27"/>
        <v>0</v>
      </c>
    </row>
    <row r="160" spans="1:27">
      <c r="A160" s="456" t="s">
        <v>347</v>
      </c>
      <c r="B160" s="419"/>
      <c r="C160" s="419"/>
      <c r="D160" s="419"/>
      <c r="E160" s="419"/>
      <c r="F160" s="419">
        <v>4</v>
      </c>
      <c r="G160" s="419">
        <v>3551</v>
      </c>
      <c r="H160" s="419">
        <v>0</v>
      </c>
      <c r="I160" s="419">
        <v>0</v>
      </c>
      <c r="J160" s="420"/>
      <c r="K160" s="421"/>
      <c r="L160" s="419">
        <v>0</v>
      </c>
      <c r="M160" s="419">
        <v>0</v>
      </c>
      <c r="N160" s="419">
        <v>0</v>
      </c>
      <c r="O160" s="419">
        <v>0</v>
      </c>
      <c r="P160" s="419">
        <v>155</v>
      </c>
      <c r="Q160" s="419">
        <v>20061</v>
      </c>
      <c r="R160" s="419">
        <v>0</v>
      </c>
      <c r="S160" s="419">
        <v>0</v>
      </c>
      <c r="T160" s="419"/>
      <c r="U160" s="419"/>
      <c r="V160" s="419">
        <f>_xlfn.IFNA(VLOOKUP(A160,[8]進出口值表查詢結果!$C$11:$F$68,4,0),-[4]整車!$B$22)</f>
        <v>0</v>
      </c>
      <c r="W160" s="419">
        <f>_xlfn.IFNA(VLOOKUP(A160,[8]進出口值表查詢結果!$C$11:$F$68,3,0),-[4]整車!$B$22)</f>
        <v>0</v>
      </c>
      <c r="X160" s="419">
        <f>_xlfn.IFNA(VLOOKUP(A160,[9]進出口值表查詢結果!$C$11:$F$75,4,0),-[4]整車!$B$22)</f>
        <v>0</v>
      </c>
      <c r="Y160" s="419">
        <f>_xlfn.IFNA(VLOOKUP(A160,[9]進出口值表查詢結果!$C$11:$F$75,3,0),-[4]整車!$B$22)</f>
        <v>0</v>
      </c>
      <c r="Z160" s="413">
        <f t="shared" si="26"/>
        <v>159</v>
      </c>
      <c r="AA160" s="413">
        <f t="shared" si="27"/>
        <v>23612</v>
      </c>
    </row>
    <row r="161" spans="1:27">
      <c r="A161" s="456" t="s">
        <v>348</v>
      </c>
      <c r="B161" s="419">
        <v>17</v>
      </c>
      <c r="C161" s="419">
        <v>28291</v>
      </c>
      <c r="D161" s="419"/>
      <c r="E161" s="419"/>
      <c r="F161" s="419">
        <v>0</v>
      </c>
      <c r="G161" s="419"/>
      <c r="H161" s="419">
        <v>35</v>
      </c>
      <c r="I161" s="419">
        <v>30408</v>
      </c>
      <c r="J161" s="420"/>
      <c r="K161" s="421"/>
      <c r="L161" s="419">
        <v>39</v>
      </c>
      <c r="M161" s="419">
        <v>54290</v>
      </c>
      <c r="N161" s="419">
        <v>0</v>
      </c>
      <c r="O161" s="419">
        <v>0</v>
      </c>
      <c r="P161" s="419">
        <v>36</v>
      </c>
      <c r="Q161" s="419">
        <v>38326</v>
      </c>
      <c r="R161" s="419">
        <v>0</v>
      </c>
      <c r="S161" s="419">
        <v>0</v>
      </c>
      <c r="T161" s="419">
        <v>41</v>
      </c>
      <c r="U161" s="419">
        <v>29673</v>
      </c>
      <c r="V161" s="419">
        <f>_xlfn.IFNA(VLOOKUP(A161,[8]進出口值表查詢結果!$C$11:$F$68,4,0),-[4]整車!$B$22)</f>
        <v>0</v>
      </c>
      <c r="W161" s="419">
        <f>_xlfn.IFNA(VLOOKUP(A161,[8]進出口值表查詢結果!$C$11:$F$68,3,0),-[4]整車!$B$22)</f>
        <v>0</v>
      </c>
      <c r="X161" s="419">
        <f>_xlfn.IFNA(VLOOKUP(A161,[9]進出口值表查詢結果!$C$11:$F$75,4,0),-[4]整車!$B$22)</f>
        <v>50</v>
      </c>
      <c r="Y161" s="419">
        <f>_xlfn.IFNA(VLOOKUP(A161,[9]進出口值表查詢結果!$C$11:$F$75,3,0),-[4]整車!$B$22)</f>
        <v>63646</v>
      </c>
      <c r="Z161" s="413">
        <f t="shared" si="26"/>
        <v>218</v>
      </c>
      <c r="AA161" s="413">
        <f t="shared" si="27"/>
        <v>244634</v>
      </c>
    </row>
    <row r="162" spans="1:27">
      <c r="A162" s="456" t="s">
        <v>349</v>
      </c>
      <c r="B162" s="419"/>
      <c r="C162" s="419"/>
      <c r="D162" s="419"/>
      <c r="E162" s="419"/>
      <c r="F162" s="419">
        <v>0</v>
      </c>
      <c r="G162" s="419"/>
      <c r="H162" s="419">
        <v>0</v>
      </c>
      <c r="I162" s="419">
        <v>0</v>
      </c>
      <c r="J162" s="420">
        <v>5</v>
      </c>
      <c r="K162" s="421">
        <v>802</v>
      </c>
      <c r="L162" s="419">
        <v>0</v>
      </c>
      <c r="M162" s="419">
        <v>0</v>
      </c>
      <c r="N162" s="419">
        <v>0</v>
      </c>
      <c r="O162" s="419">
        <v>0</v>
      </c>
      <c r="P162" s="419">
        <v>0</v>
      </c>
      <c r="Q162" s="419">
        <v>0</v>
      </c>
      <c r="R162" s="419">
        <v>0</v>
      </c>
      <c r="S162" s="419">
        <v>0</v>
      </c>
      <c r="T162" s="419"/>
      <c r="U162" s="419"/>
      <c r="V162" s="419">
        <f>_xlfn.IFNA(VLOOKUP(A162,[8]進出口值表查詢結果!$C$11:$F$68,4,0),-[4]整車!$B$22)</f>
        <v>0</v>
      </c>
      <c r="W162" s="419">
        <f>_xlfn.IFNA(VLOOKUP(A162,[8]進出口值表查詢結果!$C$11:$F$68,3,0),-[4]整車!$B$22)</f>
        <v>0</v>
      </c>
      <c r="X162" s="419">
        <f>_xlfn.IFNA(VLOOKUP(A162,[9]進出口值表查詢結果!$C$11:$F$75,4,0),-[4]整車!$B$22)</f>
        <v>0</v>
      </c>
      <c r="Y162" s="419">
        <f>_xlfn.IFNA(VLOOKUP(A162,[9]進出口值表查詢結果!$C$11:$F$75,3,0),-[4]整車!$B$22)</f>
        <v>0</v>
      </c>
      <c r="Z162" s="413">
        <f t="shared" si="26"/>
        <v>5</v>
      </c>
      <c r="AA162" s="413">
        <f t="shared" si="27"/>
        <v>802</v>
      </c>
    </row>
    <row r="163" spans="1:27">
      <c r="A163" s="456" t="s">
        <v>350</v>
      </c>
      <c r="B163" s="419"/>
      <c r="C163" s="419"/>
      <c r="D163" s="419"/>
      <c r="E163" s="419"/>
      <c r="F163" s="419">
        <v>0</v>
      </c>
      <c r="G163" s="419"/>
      <c r="H163" s="419">
        <v>0</v>
      </c>
      <c r="I163" s="419">
        <v>0</v>
      </c>
      <c r="J163" s="420">
        <v>120</v>
      </c>
      <c r="K163" s="421">
        <v>401</v>
      </c>
      <c r="L163" s="419">
        <v>82</v>
      </c>
      <c r="M163" s="419">
        <v>6803</v>
      </c>
      <c r="N163" s="419">
        <v>0</v>
      </c>
      <c r="O163" s="419">
        <v>0</v>
      </c>
      <c r="P163" s="419">
        <v>512</v>
      </c>
      <c r="Q163" s="419">
        <v>5219</v>
      </c>
      <c r="R163" s="419">
        <v>0</v>
      </c>
      <c r="S163" s="419">
        <v>0</v>
      </c>
      <c r="T163" s="419"/>
      <c r="U163" s="419"/>
      <c r="V163" s="419">
        <f>_xlfn.IFNA(VLOOKUP(A163,[8]進出口值表查詢結果!$C$11:$F$68,4,0),-[4]整車!$B$22)</f>
        <v>0</v>
      </c>
      <c r="W163" s="419">
        <f>_xlfn.IFNA(VLOOKUP(A163,[8]進出口值表查詢結果!$C$11:$F$68,3,0),-[4]整車!$B$22)</f>
        <v>0</v>
      </c>
      <c r="X163" s="419">
        <f>_xlfn.IFNA(VLOOKUP(A163,[9]進出口值表查詢結果!$C$11:$F$75,4,0),-[4]整車!$B$22)</f>
        <v>0</v>
      </c>
      <c r="Y163" s="419">
        <f>_xlfn.IFNA(VLOOKUP(A163,[9]進出口值表查詢結果!$C$11:$F$75,3,0),-[4]整車!$B$22)</f>
        <v>0</v>
      </c>
      <c r="Z163" s="413">
        <f t="shared" si="26"/>
        <v>714</v>
      </c>
      <c r="AA163" s="413">
        <f t="shared" si="27"/>
        <v>12423</v>
      </c>
    </row>
    <row r="164" spans="1:27">
      <c r="A164" s="456" t="s">
        <v>351</v>
      </c>
      <c r="B164" s="419"/>
      <c r="C164" s="419"/>
      <c r="D164" s="419"/>
      <c r="E164" s="419"/>
      <c r="F164" s="419">
        <v>0</v>
      </c>
      <c r="G164" s="419"/>
      <c r="H164" s="419">
        <v>0</v>
      </c>
      <c r="I164" s="419">
        <v>0</v>
      </c>
      <c r="J164" s="420"/>
      <c r="K164" s="421"/>
      <c r="L164" s="419">
        <v>0</v>
      </c>
      <c r="M164" s="419">
        <v>0</v>
      </c>
      <c r="N164" s="419">
        <v>0</v>
      </c>
      <c r="O164" s="419">
        <v>0</v>
      </c>
      <c r="P164" s="419">
        <v>0</v>
      </c>
      <c r="Q164" s="419">
        <v>0</v>
      </c>
      <c r="R164" s="419">
        <v>0</v>
      </c>
      <c r="S164" s="419">
        <v>0</v>
      </c>
      <c r="T164" s="419"/>
      <c r="U164" s="419"/>
      <c r="V164" s="419">
        <f>_xlfn.IFNA(VLOOKUP(A164,[8]進出口值表查詢結果!$C$11:$F$68,4,0),-[4]整車!$B$22)</f>
        <v>0</v>
      </c>
      <c r="W164" s="419">
        <f>_xlfn.IFNA(VLOOKUP(A164,[8]進出口值表查詢結果!$C$11:$F$68,3,0),-[4]整車!$B$22)</f>
        <v>0</v>
      </c>
      <c r="X164" s="419">
        <f>_xlfn.IFNA(VLOOKUP(A164,[9]進出口值表查詢結果!$C$11:$F$75,4,0),-[4]整車!$B$22)</f>
        <v>0</v>
      </c>
      <c r="Y164" s="419">
        <f>_xlfn.IFNA(VLOOKUP(A164,[9]進出口值表查詢結果!$C$11:$F$75,3,0),-[4]整車!$B$22)</f>
        <v>0</v>
      </c>
      <c r="Z164" s="413">
        <f t="shared" si="26"/>
        <v>0</v>
      </c>
      <c r="AA164" s="413">
        <f t="shared" si="27"/>
        <v>0</v>
      </c>
    </row>
    <row r="165" spans="1:27">
      <c r="A165" s="456" t="s">
        <v>352</v>
      </c>
      <c r="B165" s="419"/>
      <c r="C165" s="419"/>
      <c r="D165" s="419"/>
      <c r="E165" s="419"/>
      <c r="F165" s="419">
        <v>0</v>
      </c>
      <c r="G165" s="419"/>
      <c r="H165" s="419">
        <v>0</v>
      </c>
      <c r="I165" s="419">
        <v>0</v>
      </c>
      <c r="J165" s="420"/>
      <c r="K165" s="421"/>
      <c r="L165" s="419">
        <v>0</v>
      </c>
      <c r="M165" s="419">
        <v>0</v>
      </c>
      <c r="N165" s="419">
        <v>0</v>
      </c>
      <c r="O165" s="419">
        <v>0</v>
      </c>
      <c r="P165" s="419">
        <v>0</v>
      </c>
      <c r="Q165" s="419">
        <v>0</v>
      </c>
      <c r="R165" s="419">
        <v>0</v>
      </c>
      <c r="S165" s="419">
        <v>0</v>
      </c>
      <c r="T165" s="419"/>
      <c r="U165" s="419"/>
      <c r="V165" s="419">
        <f>_xlfn.IFNA(VLOOKUP(A165,[8]進出口值表查詢結果!$C$11:$F$68,4,0),-[4]整車!$B$22)</f>
        <v>0</v>
      </c>
      <c r="W165" s="419">
        <f>_xlfn.IFNA(VLOOKUP(A165,[8]進出口值表查詢結果!$C$11:$F$68,3,0),-[4]整車!$B$22)</f>
        <v>0</v>
      </c>
      <c r="X165" s="419">
        <f>_xlfn.IFNA(VLOOKUP(A165,[9]進出口值表查詢結果!$C$11:$F$75,4,0),-[4]整車!$B$22)</f>
        <v>0</v>
      </c>
      <c r="Y165" s="419">
        <f>_xlfn.IFNA(VLOOKUP(A165,[9]進出口值表查詢結果!$C$11:$F$75,3,0),-[4]整車!$B$22)</f>
        <v>0</v>
      </c>
      <c r="Z165" s="413">
        <f t="shared" si="26"/>
        <v>0</v>
      </c>
      <c r="AA165" s="413">
        <f t="shared" si="27"/>
        <v>0</v>
      </c>
    </row>
    <row r="166" spans="1:27">
      <c r="A166" s="456" t="s">
        <v>353</v>
      </c>
      <c r="B166" s="419"/>
      <c r="C166" s="419"/>
      <c r="D166" s="419"/>
      <c r="E166" s="419"/>
      <c r="F166" s="419">
        <v>0</v>
      </c>
      <c r="G166" s="419"/>
      <c r="H166" s="419">
        <v>0</v>
      </c>
      <c r="I166" s="419">
        <v>0</v>
      </c>
      <c r="J166" s="420"/>
      <c r="K166" s="421"/>
      <c r="L166" s="419">
        <v>0</v>
      </c>
      <c r="M166" s="419">
        <v>0</v>
      </c>
      <c r="N166" s="419">
        <v>0</v>
      </c>
      <c r="O166" s="419">
        <v>0</v>
      </c>
      <c r="P166" s="419">
        <v>0</v>
      </c>
      <c r="Q166" s="419">
        <v>0</v>
      </c>
      <c r="R166" s="419">
        <v>0</v>
      </c>
      <c r="S166" s="419">
        <v>0</v>
      </c>
      <c r="T166" s="419"/>
      <c r="U166" s="419"/>
      <c r="V166" s="419">
        <f>_xlfn.IFNA(VLOOKUP(A166,[8]進出口值表查詢結果!$C$11:$F$68,4,0),-[4]整車!$B$22)</f>
        <v>0</v>
      </c>
      <c r="W166" s="419">
        <f>_xlfn.IFNA(VLOOKUP(A166,[8]進出口值表查詢結果!$C$11:$F$68,3,0),-[4]整車!$B$22)</f>
        <v>0</v>
      </c>
      <c r="X166" s="419">
        <f>_xlfn.IFNA(VLOOKUP(A166,[9]進出口值表查詢結果!$C$11:$F$75,4,0),-[4]整車!$B$22)</f>
        <v>0</v>
      </c>
      <c r="Y166" s="419">
        <f>_xlfn.IFNA(VLOOKUP(A166,[9]進出口值表查詢結果!$C$11:$F$75,3,0),-[4]整車!$B$22)</f>
        <v>0</v>
      </c>
      <c r="Z166" s="413">
        <f t="shared" si="26"/>
        <v>0</v>
      </c>
      <c r="AA166" s="413">
        <f t="shared" si="27"/>
        <v>0</v>
      </c>
    </row>
    <row r="167" spans="1:27">
      <c r="A167" s="456" t="s">
        <v>354</v>
      </c>
      <c r="B167" s="419"/>
      <c r="C167" s="419"/>
      <c r="D167" s="419"/>
      <c r="E167" s="419"/>
      <c r="F167" s="419">
        <v>0</v>
      </c>
      <c r="G167" s="419"/>
      <c r="H167" s="419">
        <v>0</v>
      </c>
      <c r="I167" s="419">
        <v>0</v>
      </c>
      <c r="J167" s="420"/>
      <c r="K167" s="421"/>
      <c r="L167" s="419">
        <v>0</v>
      </c>
      <c r="M167" s="419">
        <v>0</v>
      </c>
      <c r="N167" s="419">
        <v>0</v>
      </c>
      <c r="O167" s="419">
        <v>0</v>
      </c>
      <c r="P167" s="419">
        <v>0</v>
      </c>
      <c r="Q167" s="419">
        <v>0</v>
      </c>
      <c r="R167" s="419">
        <v>0</v>
      </c>
      <c r="S167" s="419">
        <v>0</v>
      </c>
      <c r="T167" s="419"/>
      <c r="U167" s="419"/>
      <c r="V167" s="419">
        <f>_xlfn.IFNA(VLOOKUP(A167,[8]進出口值表查詢結果!$C$11:$F$68,4,0),-[4]整車!$B$22)</f>
        <v>0</v>
      </c>
      <c r="W167" s="419">
        <f>_xlfn.IFNA(VLOOKUP(A167,[8]進出口值表查詢結果!$C$11:$F$68,3,0),-[4]整車!$B$22)</f>
        <v>0</v>
      </c>
      <c r="X167" s="419">
        <f>_xlfn.IFNA(VLOOKUP(A167,[9]進出口值表查詢結果!$C$11:$F$75,4,0),-[4]整車!$B$22)</f>
        <v>0</v>
      </c>
      <c r="Y167" s="419">
        <f>_xlfn.IFNA(VLOOKUP(A167,[9]進出口值表查詢結果!$C$11:$F$75,3,0),-[4]整車!$B$22)</f>
        <v>0</v>
      </c>
      <c r="Z167" s="413">
        <f t="shared" si="26"/>
        <v>0</v>
      </c>
      <c r="AA167" s="413">
        <f t="shared" si="27"/>
        <v>0</v>
      </c>
    </row>
    <row r="168" spans="1:27">
      <c r="A168" s="456" t="s">
        <v>355</v>
      </c>
      <c r="B168" s="419">
        <v>30</v>
      </c>
      <c r="C168" s="419">
        <v>67</v>
      </c>
      <c r="D168" s="419">
        <v>30</v>
      </c>
      <c r="E168" s="419">
        <v>167</v>
      </c>
      <c r="F168" s="419">
        <v>0</v>
      </c>
      <c r="G168" s="419"/>
      <c r="H168" s="419">
        <v>0</v>
      </c>
      <c r="I168" s="419">
        <v>0</v>
      </c>
      <c r="J168" s="420"/>
      <c r="K168" s="421"/>
      <c r="L168" s="419">
        <v>0</v>
      </c>
      <c r="M168" s="419">
        <v>0</v>
      </c>
      <c r="N168" s="419">
        <v>0</v>
      </c>
      <c r="O168" s="419">
        <v>0</v>
      </c>
      <c r="P168" s="419">
        <v>0</v>
      </c>
      <c r="Q168" s="419">
        <v>0</v>
      </c>
      <c r="R168" s="419">
        <v>0</v>
      </c>
      <c r="S168" s="419">
        <v>0</v>
      </c>
      <c r="T168" s="419">
        <v>10</v>
      </c>
      <c r="U168" s="419">
        <v>103</v>
      </c>
      <c r="V168" s="419">
        <f>_xlfn.IFNA(VLOOKUP(A168,[8]進出口值表查詢結果!$C$11:$F$68,4,0),-[4]整車!$B$22)</f>
        <v>0</v>
      </c>
      <c r="W168" s="419">
        <f>_xlfn.IFNA(VLOOKUP(A168,[8]進出口值表查詢結果!$C$11:$F$68,3,0),-[4]整車!$B$22)</f>
        <v>0</v>
      </c>
      <c r="X168" s="419">
        <f>_xlfn.IFNA(VLOOKUP(A168,[9]進出口值表查詢結果!$C$11:$F$75,4,0),-[4]整車!$B$22)</f>
        <v>0</v>
      </c>
      <c r="Y168" s="419">
        <f>_xlfn.IFNA(VLOOKUP(A168,[9]進出口值表查詢結果!$C$11:$F$75,3,0),-[4]整車!$B$22)</f>
        <v>0</v>
      </c>
      <c r="Z168" s="413">
        <f t="shared" ref="Z168:Z185" si="29">SUM(B168,D168,F168,H168,J168,L168,N168,P168,R168,T168,V168,X168)</f>
        <v>70</v>
      </c>
      <c r="AA168" s="413">
        <f t="shared" ref="AA168:AA185" si="30">SUM(C168,E168,G168,I168,K168,M168,O168,Q168,S168,U168,W168,Y168)</f>
        <v>337</v>
      </c>
    </row>
    <row r="169" spans="1:27">
      <c r="A169" s="456" t="s">
        <v>407</v>
      </c>
      <c r="B169" s="419"/>
      <c r="C169" s="419"/>
      <c r="D169" s="419"/>
      <c r="E169" s="419"/>
      <c r="F169" s="419">
        <v>0</v>
      </c>
      <c r="G169" s="419"/>
      <c r="H169" s="419">
        <v>0</v>
      </c>
      <c r="I169" s="419">
        <v>0</v>
      </c>
      <c r="J169" s="420"/>
      <c r="K169" s="421"/>
      <c r="L169" s="419">
        <v>0</v>
      </c>
      <c r="M169" s="419">
        <v>0</v>
      </c>
      <c r="N169" s="419">
        <v>0</v>
      </c>
      <c r="O169" s="419">
        <v>0</v>
      </c>
      <c r="P169" s="419">
        <v>0</v>
      </c>
      <c r="Q169" s="419">
        <v>0</v>
      </c>
      <c r="R169" s="419">
        <v>0</v>
      </c>
      <c r="S169" s="419">
        <v>0</v>
      </c>
      <c r="T169" s="419"/>
      <c r="U169" s="419"/>
      <c r="V169" s="419">
        <f>_xlfn.IFNA(VLOOKUP(A169,[8]進出口值表查詢結果!$C$11:$F$68,4,0),-[4]整車!$B$22)</f>
        <v>0</v>
      </c>
      <c r="W169" s="419">
        <f>_xlfn.IFNA(VLOOKUP(A169,[8]進出口值表查詢結果!$C$11:$F$68,3,0),-[4]整車!$B$22)</f>
        <v>0</v>
      </c>
      <c r="X169" s="419">
        <f>_xlfn.IFNA(VLOOKUP(A169,[9]進出口值表查詢結果!$C$11:$F$75,4,0),-[4]整車!$B$22)</f>
        <v>52</v>
      </c>
      <c r="Y169" s="419">
        <f>_xlfn.IFNA(VLOOKUP(A169,[9]進出口值表查詢結果!$C$11:$F$75,3,0),-[4]整車!$B$22)</f>
        <v>175</v>
      </c>
      <c r="Z169" s="413">
        <f t="shared" si="29"/>
        <v>52</v>
      </c>
      <c r="AA169" s="413">
        <f t="shared" si="30"/>
        <v>175</v>
      </c>
    </row>
    <row r="170" spans="1:27">
      <c r="A170" s="456" t="s">
        <v>356</v>
      </c>
      <c r="B170" s="419">
        <v>6</v>
      </c>
      <c r="C170" s="419">
        <v>400</v>
      </c>
      <c r="D170" s="419"/>
      <c r="E170" s="419"/>
      <c r="F170" s="419">
        <v>0</v>
      </c>
      <c r="G170" s="419"/>
      <c r="H170" s="419">
        <v>0</v>
      </c>
      <c r="I170" s="419">
        <v>0</v>
      </c>
      <c r="J170" s="420"/>
      <c r="K170" s="421"/>
      <c r="L170" s="419">
        <v>0</v>
      </c>
      <c r="M170" s="419">
        <v>0</v>
      </c>
      <c r="N170" s="419">
        <v>0</v>
      </c>
      <c r="O170" s="419">
        <v>0</v>
      </c>
      <c r="P170" s="419">
        <v>0</v>
      </c>
      <c r="Q170" s="419">
        <v>0</v>
      </c>
      <c r="R170" s="419">
        <v>0</v>
      </c>
      <c r="S170" s="419">
        <v>0</v>
      </c>
      <c r="T170" s="419"/>
      <c r="U170" s="419"/>
      <c r="V170" s="419">
        <f>_xlfn.IFNA(VLOOKUP(A170,[8]進出口值表查詢結果!$C$11:$F$68,4,0),-[4]整車!$B$22)</f>
        <v>0</v>
      </c>
      <c r="W170" s="419">
        <f>_xlfn.IFNA(VLOOKUP(A170,[8]進出口值表查詢結果!$C$11:$F$68,3,0),-[4]整車!$B$22)</f>
        <v>0</v>
      </c>
      <c r="X170" s="419">
        <f>_xlfn.IFNA(VLOOKUP(A170,[9]進出口值表查詢結果!$C$11:$F$75,4,0),-[4]整車!$B$22)</f>
        <v>0</v>
      </c>
      <c r="Y170" s="419">
        <f>_xlfn.IFNA(VLOOKUP(A170,[9]進出口值表查詢結果!$C$11:$F$75,3,0),-[4]整車!$B$22)</f>
        <v>0</v>
      </c>
      <c r="Z170" s="413">
        <f t="shared" si="29"/>
        <v>6</v>
      </c>
      <c r="AA170" s="413">
        <f t="shared" si="30"/>
        <v>400</v>
      </c>
    </row>
    <row r="171" spans="1:27">
      <c r="A171" s="456" t="s">
        <v>357</v>
      </c>
      <c r="B171" s="419"/>
      <c r="C171" s="419"/>
      <c r="D171" s="419"/>
      <c r="E171" s="419"/>
      <c r="F171" s="419">
        <v>0</v>
      </c>
      <c r="G171" s="419"/>
      <c r="H171" s="419">
        <v>0</v>
      </c>
      <c r="I171" s="419">
        <v>0</v>
      </c>
      <c r="J171" s="420"/>
      <c r="K171" s="421"/>
      <c r="L171" s="419">
        <v>0</v>
      </c>
      <c r="M171" s="419">
        <v>0</v>
      </c>
      <c r="N171" s="419">
        <v>0</v>
      </c>
      <c r="O171" s="419">
        <v>0</v>
      </c>
      <c r="P171" s="419">
        <v>12</v>
      </c>
      <c r="Q171" s="419">
        <v>407</v>
      </c>
      <c r="R171" s="419">
        <v>0</v>
      </c>
      <c r="S171" s="419">
        <v>0</v>
      </c>
      <c r="T171" s="419"/>
      <c r="U171" s="419"/>
      <c r="V171" s="419">
        <f>_xlfn.IFNA(VLOOKUP(A171,[8]進出口值表查詢結果!$C$11:$F$68,4,0),-[4]整車!$B$22)</f>
        <v>0</v>
      </c>
      <c r="W171" s="419">
        <f>_xlfn.IFNA(VLOOKUP(A171,[8]進出口值表查詢結果!$C$11:$F$68,3,0),-[4]整車!$B$22)</f>
        <v>0</v>
      </c>
      <c r="X171" s="419">
        <f>_xlfn.IFNA(VLOOKUP(A171,[9]進出口值表查詢結果!$C$11:$F$75,4,0),-[4]整車!$B$22)</f>
        <v>40</v>
      </c>
      <c r="Y171" s="419">
        <f>_xlfn.IFNA(VLOOKUP(A171,[9]進出口值表查詢結果!$C$11:$F$75,3,0),-[4]整車!$B$22)</f>
        <v>420</v>
      </c>
      <c r="Z171" s="413">
        <f t="shared" si="29"/>
        <v>52</v>
      </c>
      <c r="AA171" s="413">
        <f t="shared" si="30"/>
        <v>827</v>
      </c>
    </row>
    <row r="172" spans="1:27">
      <c r="A172" s="456" t="s">
        <v>358</v>
      </c>
      <c r="B172" s="419"/>
      <c r="C172" s="419"/>
      <c r="D172" s="419"/>
      <c r="E172" s="419"/>
      <c r="F172" s="419">
        <v>0</v>
      </c>
      <c r="G172" s="419"/>
      <c r="H172" s="419">
        <v>0</v>
      </c>
      <c r="I172" s="419">
        <v>0</v>
      </c>
      <c r="J172" s="420"/>
      <c r="K172" s="421"/>
      <c r="L172" s="419">
        <v>0</v>
      </c>
      <c r="M172" s="419">
        <v>0</v>
      </c>
      <c r="N172" s="419">
        <v>0</v>
      </c>
      <c r="O172" s="419">
        <v>0</v>
      </c>
      <c r="P172" s="419">
        <v>0</v>
      </c>
      <c r="Q172" s="419">
        <v>0</v>
      </c>
      <c r="R172" s="419">
        <v>0</v>
      </c>
      <c r="S172" s="419">
        <v>0</v>
      </c>
      <c r="T172" s="419"/>
      <c r="U172" s="419"/>
      <c r="V172" s="419">
        <f>_xlfn.IFNA(VLOOKUP(A172,[8]進出口值表查詢結果!$C$11:$F$68,4,0),-[4]整車!$B$22)</f>
        <v>0</v>
      </c>
      <c r="W172" s="419">
        <f>_xlfn.IFNA(VLOOKUP(A172,[8]進出口值表查詢結果!$C$11:$F$68,3,0),-[4]整車!$B$22)</f>
        <v>0</v>
      </c>
      <c r="X172" s="419">
        <f>_xlfn.IFNA(VLOOKUP(A172,[9]進出口值表查詢結果!$C$11:$F$75,4,0),-[4]整車!$B$22)</f>
        <v>0</v>
      </c>
      <c r="Y172" s="419">
        <f>_xlfn.IFNA(VLOOKUP(A172,[9]進出口值表查詢結果!$C$11:$F$75,3,0),-[4]整車!$B$22)</f>
        <v>0</v>
      </c>
      <c r="Z172" s="413">
        <f t="shared" si="29"/>
        <v>0</v>
      </c>
      <c r="AA172" s="413">
        <f t="shared" si="30"/>
        <v>0</v>
      </c>
    </row>
    <row r="173" spans="1:27">
      <c r="A173" s="456" t="s">
        <v>198</v>
      </c>
      <c r="B173" s="419"/>
      <c r="C173" s="419"/>
      <c r="D173" s="419"/>
      <c r="E173" s="419"/>
      <c r="F173" s="419">
        <v>0</v>
      </c>
      <c r="G173" s="419"/>
      <c r="H173" s="419">
        <v>0</v>
      </c>
      <c r="I173" s="419">
        <v>0</v>
      </c>
      <c r="J173" s="420"/>
      <c r="K173" s="421"/>
      <c r="L173" s="419">
        <v>0</v>
      </c>
      <c r="M173" s="419">
        <v>0</v>
      </c>
      <c r="N173" s="419">
        <v>0</v>
      </c>
      <c r="O173" s="419">
        <v>0</v>
      </c>
      <c r="P173" s="419">
        <v>0</v>
      </c>
      <c r="Q173" s="419">
        <v>0</v>
      </c>
      <c r="R173" s="419">
        <v>0</v>
      </c>
      <c r="S173" s="419">
        <v>0</v>
      </c>
      <c r="T173" s="419"/>
      <c r="U173" s="419"/>
      <c r="V173" s="419">
        <f>_xlfn.IFNA(VLOOKUP(A173,[8]進出口值表查詢結果!$C$11:$F$68,4,0),-[4]整車!$B$22)</f>
        <v>0</v>
      </c>
      <c r="W173" s="419">
        <f>_xlfn.IFNA(VLOOKUP(A173,[8]進出口值表查詢結果!$C$11:$F$68,3,0),-[4]整車!$B$22)</f>
        <v>0</v>
      </c>
      <c r="X173" s="419">
        <f>_xlfn.IFNA(VLOOKUP(A173,[9]進出口值表查詢結果!$C$11:$F$75,4,0),-[4]整車!$B$22)</f>
        <v>0</v>
      </c>
      <c r="Y173" s="419">
        <f>_xlfn.IFNA(VLOOKUP(A173,[9]進出口值表查詢結果!$C$11:$F$75,3,0),-[4]整車!$B$22)</f>
        <v>0</v>
      </c>
      <c r="Z173" s="413">
        <f t="shared" si="29"/>
        <v>0</v>
      </c>
      <c r="AA173" s="413">
        <f t="shared" si="30"/>
        <v>0</v>
      </c>
    </row>
    <row r="174" spans="1:27">
      <c r="A174" s="456" t="s">
        <v>359</v>
      </c>
      <c r="B174" s="419"/>
      <c r="C174" s="419"/>
      <c r="D174" s="419"/>
      <c r="E174" s="419"/>
      <c r="F174" s="419">
        <v>0</v>
      </c>
      <c r="G174" s="419"/>
      <c r="H174" s="419">
        <v>0</v>
      </c>
      <c r="I174" s="419">
        <v>0</v>
      </c>
      <c r="J174" s="420"/>
      <c r="K174" s="421"/>
      <c r="L174" s="419">
        <v>0</v>
      </c>
      <c r="M174" s="419">
        <v>0</v>
      </c>
      <c r="N174" s="419">
        <v>0</v>
      </c>
      <c r="O174" s="419">
        <v>0</v>
      </c>
      <c r="P174" s="419">
        <v>0</v>
      </c>
      <c r="Q174" s="419">
        <v>0</v>
      </c>
      <c r="R174" s="419">
        <v>0</v>
      </c>
      <c r="S174" s="419">
        <v>0</v>
      </c>
      <c r="T174" s="419"/>
      <c r="U174" s="419"/>
      <c r="V174" s="419">
        <f>_xlfn.IFNA(VLOOKUP(A174,[8]進出口值表查詢結果!$C$11:$F$68,4,0),-[4]整車!$B$22)</f>
        <v>0</v>
      </c>
      <c r="W174" s="419">
        <f>_xlfn.IFNA(VLOOKUP(A174,[8]進出口值表查詢結果!$C$11:$F$68,3,0),-[4]整車!$B$22)</f>
        <v>0</v>
      </c>
      <c r="X174" s="419">
        <f>_xlfn.IFNA(VLOOKUP(A174,[9]進出口值表查詢結果!$C$11:$F$75,4,0),-[4]整車!$B$22)</f>
        <v>18</v>
      </c>
      <c r="Y174" s="419">
        <f>_xlfn.IFNA(VLOOKUP(A174,[9]進出口值表查詢結果!$C$11:$F$75,3,0),-[4]整車!$B$22)</f>
        <v>3324</v>
      </c>
      <c r="Z174" s="413">
        <f t="shared" si="29"/>
        <v>18</v>
      </c>
      <c r="AA174" s="413">
        <f t="shared" si="30"/>
        <v>3324</v>
      </c>
    </row>
    <row r="175" spans="1:27">
      <c r="A175" s="456" t="s">
        <v>360</v>
      </c>
      <c r="B175" s="419"/>
      <c r="C175" s="419"/>
      <c r="D175" s="419"/>
      <c r="E175" s="419"/>
      <c r="F175" s="419">
        <v>0</v>
      </c>
      <c r="G175" s="419"/>
      <c r="H175" s="419">
        <v>0</v>
      </c>
      <c r="I175" s="419">
        <v>0</v>
      </c>
      <c r="J175" s="420"/>
      <c r="K175" s="421"/>
      <c r="L175" s="419">
        <v>0</v>
      </c>
      <c r="M175" s="419">
        <v>0</v>
      </c>
      <c r="N175" s="419">
        <v>0</v>
      </c>
      <c r="O175" s="419">
        <v>0</v>
      </c>
      <c r="P175" s="419">
        <v>0</v>
      </c>
      <c r="Q175" s="419">
        <v>0</v>
      </c>
      <c r="R175" s="419">
        <v>0</v>
      </c>
      <c r="S175" s="419">
        <v>0</v>
      </c>
      <c r="T175" s="419"/>
      <c r="U175" s="419"/>
      <c r="V175" s="419">
        <f>_xlfn.IFNA(VLOOKUP(A175,[8]進出口值表查詢結果!$C$11:$F$68,4,0),-[4]整車!$B$22)</f>
        <v>0</v>
      </c>
      <c r="W175" s="419">
        <f>_xlfn.IFNA(VLOOKUP(A175,[8]進出口值表查詢結果!$C$11:$F$68,3,0),-[4]整車!$B$22)</f>
        <v>0</v>
      </c>
      <c r="X175" s="419">
        <f>_xlfn.IFNA(VLOOKUP(A175,[9]進出口值表查詢結果!$C$11:$F$75,4,0),-[4]整車!$B$22)</f>
        <v>0</v>
      </c>
      <c r="Y175" s="419">
        <f>_xlfn.IFNA(VLOOKUP(A175,[9]進出口值表查詢結果!$C$11:$F$75,3,0),-[4]整車!$B$22)</f>
        <v>0</v>
      </c>
      <c r="Z175" s="413">
        <f t="shared" si="29"/>
        <v>0</v>
      </c>
      <c r="AA175" s="413">
        <f t="shared" si="30"/>
        <v>0</v>
      </c>
    </row>
    <row r="176" spans="1:27">
      <c r="A176" s="456" t="s">
        <v>361</v>
      </c>
      <c r="B176" s="419"/>
      <c r="C176" s="419"/>
      <c r="D176" s="419"/>
      <c r="E176" s="419"/>
      <c r="F176" s="419">
        <v>0</v>
      </c>
      <c r="G176" s="419"/>
      <c r="H176" s="419">
        <v>0</v>
      </c>
      <c r="I176" s="419">
        <v>0</v>
      </c>
      <c r="J176" s="420"/>
      <c r="K176" s="421"/>
      <c r="L176" s="419">
        <v>0</v>
      </c>
      <c r="M176" s="419">
        <v>0</v>
      </c>
      <c r="N176" s="419">
        <v>0</v>
      </c>
      <c r="O176" s="419">
        <v>0</v>
      </c>
      <c r="P176" s="419">
        <v>0</v>
      </c>
      <c r="Q176" s="419">
        <v>0</v>
      </c>
      <c r="R176" s="419">
        <v>0</v>
      </c>
      <c r="S176" s="419">
        <v>0</v>
      </c>
      <c r="T176" s="419"/>
      <c r="U176" s="419"/>
      <c r="V176" s="419">
        <f>_xlfn.IFNA(VLOOKUP(A176,[8]進出口值表查詢結果!$C$11:$F$68,4,0),-[4]整車!$B$22)</f>
        <v>0</v>
      </c>
      <c r="W176" s="419">
        <f>_xlfn.IFNA(VLOOKUP(A176,[8]進出口值表查詢結果!$C$11:$F$68,3,0),-[4]整車!$B$22)</f>
        <v>0</v>
      </c>
      <c r="X176" s="419">
        <f>_xlfn.IFNA(VLOOKUP(A176,[9]進出口值表查詢結果!$C$11:$F$75,4,0),-[4]整車!$B$22)</f>
        <v>0</v>
      </c>
      <c r="Y176" s="419">
        <f>_xlfn.IFNA(VLOOKUP(A176,[9]進出口值表查詢結果!$C$11:$F$75,3,0),-[4]整車!$B$22)</f>
        <v>0</v>
      </c>
      <c r="Z176" s="413">
        <f t="shared" si="29"/>
        <v>0</v>
      </c>
      <c r="AA176" s="413">
        <f t="shared" si="30"/>
        <v>0</v>
      </c>
    </row>
    <row r="177" spans="1:27">
      <c r="A177" s="456" t="s">
        <v>362</v>
      </c>
      <c r="B177" s="419"/>
      <c r="C177" s="419"/>
      <c r="D177" s="419"/>
      <c r="E177" s="419"/>
      <c r="F177" s="419">
        <v>0</v>
      </c>
      <c r="G177" s="419"/>
      <c r="H177" s="419">
        <v>0</v>
      </c>
      <c r="I177" s="419">
        <v>0</v>
      </c>
      <c r="J177" s="420"/>
      <c r="K177" s="421"/>
      <c r="L177" s="419">
        <v>0</v>
      </c>
      <c r="M177" s="419">
        <v>0</v>
      </c>
      <c r="N177" s="419">
        <v>0</v>
      </c>
      <c r="O177" s="419">
        <v>0</v>
      </c>
      <c r="P177" s="419">
        <v>0</v>
      </c>
      <c r="Q177" s="419">
        <v>0</v>
      </c>
      <c r="R177" s="419">
        <v>0</v>
      </c>
      <c r="S177" s="419">
        <v>0</v>
      </c>
      <c r="T177" s="419"/>
      <c r="U177" s="419"/>
      <c r="V177" s="419">
        <f>_xlfn.IFNA(VLOOKUP(A177,[8]進出口值表查詢結果!$C$11:$F$68,4,0),-[4]整車!$B$22)</f>
        <v>0</v>
      </c>
      <c r="W177" s="419">
        <f>_xlfn.IFNA(VLOOKUP(A177,[8]進出口值表查詢結果!$C$11:$F$68,3,0),-[4]整車!$B$22)</f>
        <v>0</v>
      </c>
      <c r="X177" s="419">
        <f>_xlfn.IFNA(VLOOKUP(A177,[9]進出口值表查詢結果!$C$11:$F$75,4,0),-[4]整車!$B$22)</f>
        <v>0</v>
      </c>
      <c r="Y177" s="419">
        <f>_xlfn.IFNA(VLOOKUP(A177,[9]進出口值表查詢結果!$C$11:$F$75,3,0),-[4]整車!$B$22)</f>
        <v>0</v>
      </c>
      <c r="Z177" s="413">
        <f t="shared" si="29"/>
        <v>0</v>
      </c>
      <c r="AA177" s="413">
        <f t="shared" si="30"/>
        <v>0</v>
      </c>
    </row>
    <row r="178" spans="1:27">
      <c r="A178" s="456" t="s">
        <v>363</v>
      </c>
      <c r="B178" s="419"/>
      <c r="C178" s="419"/>
      <c r="D178" s="419"/>
      <c r="E178" s="419"/>
      <c r="F178" s="419">
        <v>0</v>
      </c>
      <c r="G178" s="419"/>
      <c r="H178" s="419">
        <v>0</v>
      </c>
      <c r="I178" s="419">
        <v>0</v>
      </c>
      <c r="J178" s="420"/>
      <c r="K178" s="421">
        <v>0</v>
      </c>
      <c r="L178" s="419">
        <v>0</v>
      </c>
      <c r="M178" s="419">
        <v>0</v>
      </c>
      <c r="N178" s="419">
        <v>0</v>
      </c>
      <c r="O178" s="419">
        <v>0</v>
      </c>
      <c r="P178" s="419">
        <v>0</v>
      </c>
      <c r="Q178" s="419">
        <v>0</v>
      </c>
      <c r="R178" s="419">
        <v>0</v>
      </c>
      <c r="S178" s="419">
        <v>0</v>
      </c>
      <c r="T178" s="419"/>
      <c r="U178" s="419"/>
      <c r="V178" s="419">
        <f>_xlfn.IFNA(VLOOKUP(A178,[8]進出口值表查詢結果!$C$11:$F$68,4,0),-[4]整車!$B$22)</f>
        <v>0</v>
      </c>
      <c r="W178" s="419">
        <f>_xlfn.IFNA(VLOOKUP(A178,[8]進出口值表查詢結果!$C$11:$F$68,3,0),-[4]整車!$B$22)</f>
        <v>0</v>
      </c>
      <c r="X178" s="419">
        <f>_xlfn.IFNA(VLOOKUP(A178,[9]進出口值表查詢結果!$C$11:$F$75,4,0),-[4]整車!$B$22)</f>
        <v>0</v>
      </c>
      <c r="Y178" s="419">
        <f>_xlfn.IFNA(VLOOKUP(A178,[9]進出口值表查詢結果!$C$11:$F$75,3,0),-[4]整車!$B$22)</f>
        <v>0</v>
      </c>
      <c r="Z178" s="413">
        <f t="shared" si="29"/>
        <v>0</v>
      </c>
      <c r="AA178" s="413">
        <f t="shared" si="30"/>
        <v>0</v>
      </c>
    </row>
    <row r="179" spans="1:27">
      <c r="A179" s="456" t="s">
        <v>364</v>
      </c>
      <c r="B179" s="419"/>
      <c r="C179" s="419"/>
      <c r="D179" s="419"/>
      <c r="E179" s="419"/>
      <c r="F179" s="419">
        <v>0</v>
      </c>
      <c r="G179" s="419"/>
      <c r="H179" s="419">
        <v>0</v>
      </c>
      <c r="I179" s="419">
        <v>0</v>
      </c>
      <c r="J179" s="420"/>
      <c r="K179" s="421">
        <v>0</v>
      </c>
      <c r="L179" s="419">
        <v>0</v>
      </c>
      <c r="M179" s="419">
        <v>0</v>
      </c>
      <c r="N179" s="419">
        <v>0</v>
      </c>
      <c r="O179" s="419">
        <v>0</v>
      </c>
      <c r="P179" s="419">
        <v>0</v>
      </c>
      <c r="Q179" s="419">
        <v>0</v>
      </c>
      <c r="R179" s="419">
        <v>0</v>
      </c>
      <c r="S179" s="419">
        <v>0</v>
      </c>
      <c r="T179" s="419"/>
      <c r="U179" s="419"/>
      <c r="V179" s="419">
        <f>_xlfn.IFNA(VLOOKUP(A179,[8]進出口值表查詢結果!$C$11:$F$68,4,0),-[4]整車!$B$22)</f>
        <v>0</v>
      </c>
      <c r="W179" s="419">
        <f>_xlfn.IFNA(VLOOKUP(A179,[8]進出口值表查詢結果!$C$11:$F$68,3,0),-[4]整車!$B$22)</f>
        <v>0</v>
      </c>
      <c r="X179" s="419">
        <f>_xlfn.IFNA(VLOOKUP(A179,[9]進出口值表查詢結果!$C$11:$F$75,4,0),-[4]整車!$B$22)</f>
        <v>0</v>
      </c>
      <c r="Y179" s="419">
        <f>_xlfn.IFNA(VLOOKUP(A179,[9]進出口值表查詢結果!$C$11:$F$75,3,0),-[4]整車!$B$22)</f>
        <v>0</v>
      </c>
      <c r="Z179" s="413">
        <f t="shared" si="29"/>
        <v>0</v>
      </c>
      <c r="AA179" s="413">
        <f t="shared" si="30"/>
        <v>0</v>
      </c>
    </row>
    <row r="180" spans="1:27">
      <c r="A180" s="456" t="s">
        <v>365</v>
      </c>
      <c r="B180" s="419"/>
      <c r="C180" s="419"/>
      <c r="D180" s="419"/>
      <c r="E180" s="419"/>
      <c r="F180" s="419">
        <v>0</v>
      </c>
      <c r="G180" s="419"/>
      <c r="H180" s="419">
        <v>0</v>
      </c>
      <c r="I180" s="419">
        <v>0</v>
      </c>
      <c r="J180" s="420"/>
      <c r="K180" s="421">
        <v>0</v>
      </c>
      <c r="L180" s="419">
        <v>0</v>
      </c>
      <c r="M180" s="419">
        <v>0</v>
      </c>
      <c r="N180" s="419">
        <v>0</v>
      </c>
      <c r="O180" s="419">
        <v>0</v>
      </c>
      <c r="P180" s="419">
        <v>0</v>
      </c>
      <c r="Q180" s="419">
        <v>0</v>
      </c>
      <c r="R180" s="419">
        <v>0</v>
      </c>
      <c r="S180" s="419">
        <v>0</v>
      </c>
      <c r="T180" s="419"/>
      <c r="U180" s="419"/>
      <c r="V180" s="419">
        <f>_xlfn.IFNA(VLOOKUP(A180,[8]進出口值表查詢結果!$C$11:$F$68,4,0),-[4]整車!$B$22)</f>
        <v>0</v>
      </c>
      <c r="W180" s="419">
        <f>_xlfn.IFNA(VLOOKUP(A180,[8]進出口值表查詢結果!$C$11:$F$68,3,0),-[4]整車!$B$22)</f>
        <v>0</v>
      </c>
      <c r="X180" s="419">
        <f>_xlfn.IFNA(VLOOKUP(A180,[9]進出口值表查詢結果!$C$11:$F$75,4,0),-[4]整車!$B$22)</f>
        <v>0</v>
      </c>
      <c r="Y180" s="419">
        <f>_xlfn.IFNA(VLOOKUP(A180,[9]進出口值表查詢結果!$C$11:$F$75,3,0),-[4]整車!$B$22)</f>
        <v>0</v>
      </c>
      <c r="Z180" s="413">
        <f t="shared" si="29"/>
        <v>0</v>
      </c>
      <c r="AA180" s="413">
        <f t="shared" si="30"/>
        <v>0</v>
      </c>
    </row>
    <row r="181" spans="1:27">
      <c r="A181" s="456" t="s">
        <v>366</v>
      </c>
      <c r="B181" s="419"/>
      <c r="C181" s="419"/>
      <c r="D181" s="419"/>
      <c r="E181" s="419"/>
      <c r="F181" s="419">
        <v>0</v>
      </c>
      <c r="G181" s="419"/>
      <c r="H181" s="419">
        <v>0</v>
      </c>
      <c r="I181" s="419">
        <v>0</v>
      </c>
      <c r="J181" s="420"/>
      <c r="K181" s="421">
        <v>0</v>
      </c>
      <c r="L181" s="419">
        <v>0</v>
      </c>
      <c r="M181" s="419">
        <v>0</v>
      </c>
      <c r="N181" s="419">
        <v>0</v>
      </c>
      <c r="O181" s="419">
        <v>0</v>
      </c>
      <c r="P181" s="419">
        <v>0</v>
      </c>
      <c r="Q181" s="419">
        <v>0</v>
      </c>
      <c r="R181" s="419">
        <v>0</v>
      </c>
      <c r="S181" s="419">
        <v>0</v>
      </c>
      <c r="T181" s="419"/>
      <c r="U181" s="419"/>
      <c r="V181" s="419">
        <f>_xlfn.IFNA(VLOOKUP(A181,[8]進出口值表查詢結果!$C$11:$F$68,4,0),-[4]整車!$B$22)</f>
        <v>0</v>
      </c>
      <c r="W181" s="419">
        <f>_xlfn.IFNA(VLOOKUP(A181,[8]進出口值表查詢結果!$C$11:$F$68,3,0),-[4]整車!$B$22)</f>
        <v>0</v>
      </c>
      <c r="X181" s="419">
        <f>_xlfn.IFNA(VLOOKUP(A181,[9]進出口值表查詢結果!$C$11:$F$75,4,0),-[4]整車!$B$22)</f>
        <v>0</v>
      </c>
      <c r="Y181" s="419">
        <f>_xlfn.IFNA(VLOOKUP(A181,[9]進出口值表查詢結果!$C$11:$F$75,3,0),-[4]整車!$B$22)</f>
        <v>0</v>
      </c>
      <c r="Z181" s="413">
        <f t="shared" si="29"/>
        <v>0</v>
      </c>
      <c r="AA181" s="413">
        <f t="shared" si="30"/>
        <v>0</v>
      </c>
    </row>
    <row r="182" spans="1:27">
      <c r="A182" s="456" t="s">
        <v>367</v>
      </c>
      <c r="B182" s="419"/>
      <c r="C182" s="419"/>
      <c r="D182" s="419"/>
      <c r="E182" s="419"/>
      <c r="F182" s="419">
        <v>0</v>
      </c>
      <c r="G182" s="419"/>
      <c r="H182" s="419">
        <v>0</v>
      </c>
      <c r="I182" s="419">
        <v>0</v>
      </c>
      <c r="J182" s="420"/>
      <c r="K182" s="421">
        <v>0</v>
      </c>
      <c r="L182" s="419">
        <v>0</v>
      </c>
      <c r="M182" s="419">
        <v>0</v>
      </c>
      <c r="N182" s="419">
        <v>0</v>
      </c>
      <c r="O182" s="419">
        <v>0</v>
      </c>
      <c r="P182" s="419">
        <v>0</v>
      </c>
      <c r="Q182" s="419">
        <v>0</v>
      </c>
      <c r="R182" s="419">
        <v>0</v>
      </c>
      <c r="S182" s="419">
        <v>0</v>
      </c>
      <c r="T182" s="419"/>
      <c r="U182" s="419"/>
      <c r="V182" s="419">
        <f>_xlfn.IFNA(VLOOKUP(A182,[8]進出口值表查詢結果!$C$11:$F$68,4,0),-[4]整車!$B$22)</f>
        <v>0</v>
      </c>
      <c r="W182" s="419">
        <f>_xlfn.IFNA(VLOOKUP(A182,[8]進出口值表查詢結果!$C$11:$F$68,3,0),-[4]整車!$B$22)</f>
        <v>0</v>
      </c>
      <c r="X182" s="419">
        <f>_xlfn.IFNA(VLOOKUP(A182,[9]進出口值表查詢結果!$C$11:$F$75,4,0),-[4]整車!$B$22)</f>
        <v>0</v>
      </c>
      <c r="Y182" s="419">
        <f>_xlfn.IFNA(VLOOKUP(A182,[9]進出口值表查詢結果!$C$11:$F$75,3,0),-[4]整車!$B$22)</f>
        <v>0</v>
      </c>
      <c r="Z182" s="413">
        <f t="shared" si="29"/>
        <v>0</v>
      </c>
      <c r="AA182" s="413">
        <f t="shared" si="30"/>
        <v>0</v>
      </c>
    </row>
    <row r="183" spans="1:27">
      <c r="A183" s="456" t="s">
        <v>368</v>
      </c>
      <c r="B183" s="419"/>
      <c r="C183" s="419"/>
      <c r="D183" s="419"/>
      <c r="E183" s="419"/>
      <c r="F183" s="419">
        <v>0</v>
      </c>
      <c r="G183" s="419"/>
      <c r="H183" s="419">
        <v>0</v>
      </c>
      <c r="I183" s="419">
        <v>0</v>
      </c>
      <c r="J183" s="420"/>
      <c r="K183" s="421">
        <v>0</v>
      </c>
      <c r="L183" s="419">
        <v>0</v>
      </c>
      <c r="M183" s="419">
        <v>0</v>
      </c>
      <c r="N183" s="419">
        <v>0</v>
      </c>
      <c r="O183" s="419">
        <v>0</v>
      </c>
      <c r="P183" s="419">
        <v>0</v>
      </c>
      <c r="Q183" s="419">
        <v>0</v>
      </c>
      <c r="R183" s="419">
        <v>0</v>
      </c>
      <c r="S183" s="419">
        <v>0</v>
      </c>
      <c r="T183" s="419"/>
      <c r="U183" s="419"/>
      <c r="V183" s="419">
        <f>_xlfn.IFNA(VLOOKUP(A183,[8]進出口值表查詢結果!$C$11:$F$68,4,0),-[4]整車!$B$22)</f>
        <v>0</v>
      </c>
      <c r="W183" s="419">
        <f>_xlfn.IFNA(VLOOKUP(A183,[8]進出口值表查詢結果!$C$11:$F$68,3,0),-[4]整車!$B$22)</f>
        <v>0</v>
      </c>
      <c r="X183" s="419">
        <f>_xlfn.IFNA(VLOOKUP(A183,[9]進出口值表查詢結果!$C$11:$F$75,4,0),-[4]整車!$B$22)</f>
        <v>0</v>
      </c>
      <c r="Y183" s="419">
        <f>_xlfn.IFNA(VLOOKUP(A183,[9]進出口值表查詢結果!$C$11:$F$75,3,0),-[4]整車!$B$22)</f>
        <v>0</v>
      </c>
      <c r="Z183" s="413">
        <f t="shared" si="29"/>
        <v>0</v>
      </c>
      <c r="AA183" s="413">
        <f t="shared" si="30"/>
        <v>0</v>
      </c>
    </row>
    <row r="184" spans="1:27">
      <c r="A184" s="456" t="s">
        <v>369</v>
      </c>
      <c r="B184" s="419"/>
      <c r="C184" s="419"/>
      <c r="D184" s="419"/>
      <c r="E184" s="419"/>
      <c r="F184" s="419">
        <v>0</v>
      </c>
      <c r="G184" s="419"/>
      <c r="H184" s="419">
        <v>0</v>
      </c>
      <c r="I184" s="419">
        <v>0</v>
      </c>
      <c r="J184" s="420"/>
      <c r="K184" s="421">
        <v>0</v>
      </c>
      <c r="L184" s="419">
        <v>0</v>
      </c>
      <c r="M184" s="419">
        <v>0</v>
      </c>
      <c r="N184" s="419">
        <v>0</v>
      </c>
      <c r="O184" s="419">
        <v>0</v>
      </c>
      <c r="P184" s="419">
        <v>0</v>
      </c>
      <c r="Q184" s="419">
        <v>0</v>
      </c>
      <c r="R184" s="419">
        <v>0</v>
      </c>
      <c r="S184" s="419">
        <v>0</v>
      </c>
      <c r="T184" s="419"/>
      <c r="U184" s="419"/>
      <c r="V184" s="419">
        <f>_xlfn.IFNA(VLOOKUP(A184,[8]進出口值表查詢結果!$C$11:$F$68,4,0),-[4]整車!$B$22)</f>
        <v>0</v>
      </c>
      <c r="W184" s="419">
        <f>_xlfn.IFNA(VLOOKUP(A184,[8]進出口值表查詢結果!$C$11:$F$68,3,0),-[4]整車!$B$22)</f>
        <v>0</v>
      </c>
      <c r="X184" s="419">
        <f>_xlfn.IFNA(VLOOKUP(A184,[9]進出口值表查詢結果!$C$11:$F$75,4,0),-[4]整車!$B$22)</f>
        <v>0</v>
      </c>
      <c r="Y184" s="419">
        <f>_xlfn.IFNA(VLOOKUP(A184,[9]進出口值表查詢結果!$C$11:$F$75,3,0),-[4]整車!$B$22)</f>
        <v>0</v>
      </c>
      <c r="Z184" s="413">
        <f t="shared" si="29"/>
        <v>0</v>
      </c>
      <c r="AA184" s="413">
        <f t="shared" si="30"/>
        <v>0</v>
      </c>
    </row>
    <row r="185" spans="1:27">
      <c r="A185" s="456" t="s">
        <v>370</v>
      </c>
      <c r="B185" s="419"/>
      <c r="C185" s="419"/>
      <c r="D185" s="419"/>
      <c r="E185" s="419"/>
      <c r="F185" s="419">
        <v>0</v>
      </c>
      <c r="G185" s="419"/>
      <c r="H185" s="419">
        <v>0</v>
      </c>
      <c r="I185" s="419">
        <v>0</v>
      </c>
      <c r="J185" s="420"/>
      <c r="K185" s="421">
        <v>0</v>
      </c>
      <c r="L185" s="419">
        <v>0</v>
      </c>
      <c r="M185" s="419">
        <v>0</v>
      </c>
      <c r="N185" s="419">
        <v>0</v>
      </c>
      <c r="O185" s="419">
        <v>0</v>
      </c>
      <c r="P185" s="419">
        <v>0</v>
      </c>
      <c r="Q185" s="419">
        <v>0</v>
      </c>
      <c r="R185" s="419">
        <v>0</v>
      </c>
      <c r="S185" s="419">
        <v>0</v>
      </c>
      <c r="T185" s="419"/>
      <c r="U185" s="419"/>
      <c r="V185" s="419">
        <f>_xlfn.IFNA(VLOOKUP(A185,[8]進出口值表查詢結果!$C$11:$F$68,4,0),-[4]整車!$B$22)</f>
        <v>0</v>
      </c>
      <c r="W185" s="419">
        <f>_xlfn.IFNA(VLOOKUP(A185,[8]進出口值表查詢結果!$C$11:$F$68,3,0),-[4]整車!$B$22)</f>
        <v>0</v>
      </c>
      <c r="X185" s="419">
        <f>_xlfn.IFNA(VLOOKUP(A185,[9]進出口值表查詢結果!$C$11:$F$75,4,0),-[4]整車!$B$22)</f>
        <v>0</v>
      </c>
      <c r="Y185" s="419">
        <f>_xlfn.IFNA(VLOOKUP(A185,[9]進出口值表查詢結果!$C$11:$F$75,3,0),-[4]整車!$B$22)</f>
        <v>0</v>
      </c>
      <c r="Z185" s="413">
        <f t="shared" si="29"/>
        <v>0</v>
      </c>
      <c r="AA185" s="413">
        <f t="shared" si="30"/>
        <v>0</v>
      </c>
    </row>
    <row r="186" spans="1:27">
      <c r="A186" s="456" t="s">
        <v>371</v>
      </c>
      <c r="B186" s="419"/>
      <c r="C186" s="419"/>
      <c r="D186" s="419"/>
      <c r="E186" s="419"/>
      <c r="F186" s="419">
        <v>0</v>
      </c>
      <c r="G186" s="419"/>
      <c r="H186" s="419">
        <v>0</v>
      </c>
      <c r="I186" s="419">
        <v>0</v>
      </c>
      <c r="J186" s="420"/>
      <c r="K186" s="421"/>
      <c r="L186" s="419">
        <v>0</v>
      </c>
      <c r="M186" s="419">
        <v>0</v>
      </c>
      <c r="N186" s="419">
        <v>0</v>
      </c>
      <c r="O186" s="419">
        <v>0</v>
      </c>
      <c r="P186" s="419">
        <v>0</v>
      </c>
      <c r="Q186" s="419">
        <v>0</v>
      </c>
      <c r="R186" s="419">
        <v>0</v>
      </c>
      <c r="S186" s="419">
        <v>0</v>
      </c>
      <c r="T186" s="419"/>
      <c r="U186" s="419"/>
      <c r="V186" s="419">
        <f>_xlfn.IFNA(VLOOKUP(A186,[8]進出口值表查詢結果!$C$11:$F$68,4,0),-[4]整車!$B$22)</f>
        <v>0</v>
      </c>
      <c r="W186" s="419">
        <f>_xlfn.IFNA(VLOOKUP(A186,[8]進出口值表查詢結果!$C$11:$F$68,3,0),-[4]整車!$B$22)</f>
        <v>0</v>
      </c>
      <c r="X186" s="419">
        <f>_xlfn.IFNA(VLOOKUP(A186,[9]進出口值表查詢結果!$C$11:$F$75,4,0),-[4]整車!$B$22)</f>
        <v>0</v>
      </c>
      <c r="Y186" s="419">
        <f>_xlfn.IFNA(VLOOKUP(A186,[9]進出口值表查詢結果!$C$11:$F$75,3,0),-[4]整車!$B$22)</f>
        <v>0</v>
      </c>
      <c r="Z186" s="413">
        <f t="shared" ref="Z186:Z200" si="31">SUM(B186,D186,F186,H186,J186,L186,N186,P186,R186,T186,V186,X186)</f>
        <v>0</v>
      </c>
      <c r="AA186" s="413"/>
    </row>
    <row r="187" spans="1:27">
      <c r="A187" s="456" t="s">
        <v>372</v>
      </c>
      <c r="B187" s="419"/>
      <c r="C187" s="419"/>
      <c r="D187" s="419"/>
      <c r="E187" s="419"/>
      <c r="F187" s="419">
        <v>0</v>
      </c>
      <c r="G187" s="419"/>
      <c r="H187" s="419">
        <v>0</v>
      </c>
      <c r="I187" s="419">
        <v>0</v>
      </c>
      <c r="J187" s="420"/>
      <c r="K187" s="421">
        <v>0</v>
      </c>
      <c r="L187" s="419">
        <v>0</v>
      </c>
      <c r="M187" s="419">
        <v>0</v>
      </c>
      <c r="N187" s="419">
        <v>0</v>
      </c>
      <c r="O187" s="419">
        <v>0</v>
      </c>
      <c r="P187" s="419">
        <v>0</v>
      </c>
      <c r="Q187" s="419">
        <v>0</v>
      </c>
      <c r="R187" s="419">
        <v>0</v>
      </c>
      <c r="S187" s="419">
        <v>0</v>
      </c>
      <c r="T187" s="419"/>
      <c r="U187" s="419"/>
      <c r="V187" s="419">
        <f>_xlfn.IFNA(VLOOKUP(A187,[8]進出口值表查詢結果!$C$11:$F$68,4,0),-[4]整車!$B$22)</f>
        <v>0</v>
      </c>
      <c r="W187" s="419">
        <f>_xlfn.IFNA(VLOOKUP(A187,[8]進出口值表查詢結果!$C$11:$F$68,3,0),-[4]整車!$B$22)</f>
        <v>0</v>
      </c>
      <c r="X187" s="419">
        <f>_xlfn.IFNA(VLOOKUP(A187,[9]進出口值表查詢結果!$C$11:$F$75,4,0),-[4]整車!$B$22)</f>
        <v>0</v>
      </c>
      <c r="Y187" s="419">
        <f>_xlfn.IFNA(VLOOKUP(A187,[9]進出口值表查詢結果!$C$11:$F$75,3,0),-[4]整車!$B$22)</f>
        <v>0</v>
      </c>
      <c r="Z187" s="413">
        <f t="shared" si="31"/>
        <v>0</v>
      </c>
      <c r="AA187" s="413">
        <f t="shared" ref="AA187:AA200" si="32">SUM(C187,E187,G187,I187,K187,M187,O187,Q187,S187,U187,W187,Y187)</f>
        <v>0</v>
      </c>
    </row>
    <row r="188" spans="1:27">
      <c r="A188" s="456" t="s">
        <v>373</v>
      </c>
      <c r="B188" s="419"/>
      <c r="C188" s="419"/>
      <c r="D188" s="419"/>
      <c r="E188" s="419"/>
      <c r="F188" s="419">
        <v>0</v>
      </c>
      <c r="G188" s="419"/>
      <c r="H188" s="419">
        <v>0</v>
      </c>
      <c r="I188" s="419">
        <v>0</v>
      </c>
      <c r="J188" s="420"/>
      <c r="K188" s="421">
        <v>0</v>
      </c>
      <c r="L188" s="419">
        <v>0</v>
      </c>
      <c r="M188" s="419">
        <v>0</v>
      </c>
      <c r="N188" s="419">
        <v>0</v>
      </c>
      <c r="O188" s="419">
        <v>0</v>
      </c>
      <c r="P188" s="419">
        <v>0</v>
      </c>
      <c r="Q188" s="419">
        <v>0</v>
      </c>
      <c r="R188" s="419">
        <v>0</v>
      </c>
      <c r="S188" s="419">
        <v>0</v>
      </c>
      <c r="T188" s="419"/>
      <c r="U188" s="419"/>
      <c r="V188" s="419">
        <f>_xlfn.IFNA(VLOOKUP(A188,[8]進出口值表查詢結果!$C$11:$F$68,4,0),-[4]整車!$B$22)</f>
        <v>0</v>
      </c>
      <c r="W188" s="419">
        <f>_xlfn.IFNA(VLOOKUP(A188,[8]進出口值表查詢結果!$C$11:$F$68,3,0),-[4]整車!$B$22)</f>
        <v>0</v>
      </c>
      <c r="X188" s="419">
        <f>_xlfn.IFNA(VLOOKUP(A188,[9]進出口值表查詢結果!$C$11:$F$75,4,0),-[4]整車!$B$22)</f>
        <v>0</v>
      </c>
      <c r="Y188" s="419">
        <f>_xlfn.IFNA(VLOOKUP(A188,[9]進出口值表查詢結果!$C$11:$F$75,3,0),-[4]整車!$B$22)</f>
        <v>0</v>
      </c>
      <c r="Z188" s="413">
        <f t="shared" si="31"/>
        <v>0</v>
      </c>
      <c r="AA188" s="413">
        <f t="shared" si="32"/>
        <v>0</v>
      </c>
    </row>
    <row r="189" spans="1:27">
      <c r="A189" s="462" t="s">
        <v>374</v>
      </c>
      <c r="B189" s="440">
        <f t="shared" ref="B189:Y189" si="33">SUM(B190:B203)</f>
        <v>0</v>
      </c>
      <c r="C189" s="440">
        <f t="shared" si="33"/>
        <v>0</v>
      </c>
      <c r="D189" s="440">
        <f t="shared" si="33"/>
        <v>0</v>
      </c>
      <c r="E189" s="440">
        <f t="shared" si="33"/>
        <v>0</v>
      </c>
      <c r="F189" s="440">
        <f t="shared" si="33"/>
        <v>0</v>
      </c>
      <c r="G189" s="440">
        <f t="shared" si="33"/>
        <v>0</v>
      </c>
      <c r="H189" s="440">
        <f t="shared" si="33"/>
        <v>10</v>
      </c>
      <c r="I189" s="440">
        <f t="shared" si="33"/>
        <v>1060</v>
      </c>
      <c r="J189" s="441">
        <f t="shared" si="33"/>
        <v>0</v>
      </c>
      <c r="K189" s="442">
        <f t="shared" si="33"/>
        <v>0</v>
      </c>
      <c r="L189" s="440">
        <f t="shared" si="33"/>
        <v>10</v>
      </c>
      <c r="M189" s="440">
        <f t="shared" si="33"/>
        <v>1039</v>
      </c>
      <c r="N189" s="440">
        <f t="shared" si="33"/>
        <v>1</v>
      </c>
      <c r="O189" s="440">
        <f t="shared" si="33"/>
        <v>2028</v>
      </c>
      <c r="P189" s="440">
        <f t="shared" si="33"/>
        <v>0</v>
      </c>
      <c r="Q189" s="440">
        <f t="shared" si="33"/>
        <v>0</v>
      </c>
      <c r="R189" s="440">
        <f t="shared" si="33"/>
        <v>5</v>
      </c>
      <c r="S189" s="440">
        <f t="shared" si="33"/>
        <v>543</v>
      </c>
      <c r="T189" s="440">
        <f t="shared" si="33"/>
        <v>19</v>
      </c>
      <c r="U189" s="440">
        <f t="shared" si="33"/>
        <v>12461</v>
      </c>
      <c r="V189" s="440">
        <f>SUM(V190:V203)</f>
        <v>7</v>
      </c>
      <c r="W189" s="440">
        <f>SUM(W190:W203)</f>
        <v>8701</v>
      </c>
      <c r="X189" s="440">
        <f t="shared" si="33"/>
        <v>0</v>
      </c>
      <c r="Y189" s="440">
        <f t="shared" si="33"/>
        <v>0</v>
      </c>
      <c r="Z189" s="426">
        <f t="shared" si="31"/>
        <v>52</v>
      </c>
      <c r="AA189" s="426">
        <f t="shared" si="32"/>
        <v>25832</v>
      </c>
    </row>
    <row r="190" spans="1:27">
      <c r="A190" s="422" t="s">
        <v>146</v>
      </c>
      <c r="B190" s="419"/>
      <c r="C190" s="419"/>
      <c r="D190" s="419">
        <v>0</v>
      </c>
      <c r="E190" s="419">
        <v>0</v>
      </c>
      <c r="F190" s="419">
        <v>0</v>
      </c>
      <c r="G190" s="419"/>
      <c r="H190" s="419">
        <v>0</v>
      </c>
      <c r="I190" s="419">
        <v>0</v>
      </c>
      <c r="J190" s="420">
        <v>0</v>
      </c>
      <c r="K190" s="421">
        <v>0</v>
      </c>
      <c r="L190" s="419">
        <v>0</v>
      </c>
      <c r="M190" s="419">
        <v>0</v>
      </c>
      <c r="N190" s="419">
        <v>0</v>
      </c>
      <c r="O190" s="419">
        <v>0</v>
      </c>
      <c r="P190" s="419">
        <v>0</v>
      </c>
      <c r="Q190" s="419">
        <v>0</v>
      </c>
      <c r="R190" s="419">
        <v>0</v>
      </c>
      <c r="S190" s="419">
        <v>0</v>
      </c>
      <c r="T190" s="419"/>
      <c r="U190" s="419"/>
      <c r="V190" s="419">
        <f>_xlfn.IFNA(VLOOKUP(A190,[8]進出口值表查詢結果!$C$11:$F$68,4,0),-[4]整車!$B$22)</f>
        <v>0</v>
      </c>
      <c r="W190" s="419">
        <f>_xlfn.IFNA(VLOOKUP(A190,[8]進出口值表查詢結果!$C$11:$F$68,3,0),-[4]整車!$B$22)</f>
        <v>0</v>
      </c>
      <c r="X190" s="419">
        <f>_xlfn.IFNA(VLOOKUP(A190,[9]進出口值表查詢結果!$C$11:$F$80,4,0),-[4]整車!$B$22)</f>
        <v>0</v>
      </c>
      <c r="Y190" s="419">
        <f>_xlfn.IFNA(VLOOKUP(A190,[9]進出口值表查詢結果!$C$11:$F$80,3,0),-[4]整車!$B$22)</f>
        <v>0</v>
      </c>
      <c r="Z190" s="413">
        <f t="shared" si="31"/>
        <v>0</v>
      </c>
      <c r="AA190" s="413">
        <f t="shared" si="32"/>
        <v>0</v>
      </c>
    </row>
    <row r="191" spans="1:27">
      <c r="A191" s="424" t="s">
        <v>375</v>
      </c>
      <c r="B191" s="419"/>
      <c r="C191" s="419"/>
      <c r="D191" s="419"/>
      <c r="E191" s="419">
        <v>0</v>
      </c>
      <c r="F191" s="419">
        <v>0</v>
      </c>
      <c r="G191" s="419"/>
      <c r="H191" s="419">
        <v>0</v>
      </c>
      <c r="I191" s="419">
        <v>0</v>
      </c>
      <c r="J191" s="420">
        <v>0</v>
      </c>
      <c r="K191" s="421">
        <v>0</v>
      </c>
      <c r="L191" s="419">
        <v>0</v>
      </c>
      <c r="M191" s="419">
        <v>0</v>
      </c>
      <c r="N191" s="419">
        <v>0</v>
      </c>
      <c r="O191" s="419">
        <v>0</v>
      </c>
      <c r="P191" s="419">
        <v>0</v>
      </c>
      <c r="Q191" s="419">
        <v>0</v>
      </c>
      <c r="R191" s="419">
        <v>0</v>
      </c>
      <c r="S191" s="419">
        <v>0</v>
      </c>
      <c r="T191" s="419"/>
      <c r="U191" s="419"/>
      <c r="V191" s="419">
        <f>_xlfn.IFNA(VLOOKUP(A191,[8]進出口值表查詢結果!$C$11:$F$68,4,0),-[4]整車!$B$22)</f>
        <v>0</v>
      </c>
      <c r="W191" s="419">
        <f>_xlfn.IFNA(VLOOKUP(A191,[8]進出口值表查詢結果!$C$11:$F$68,3,0),-[4]整車!$B$22)</f>
        <v>0</v>
      </c>
      <c r="X191" s="419">
        <f>_xlfn.IFNA(VLOOKUP(A191,[9]進出口值表查詢結果!$C$11:$F$80,4,0),-[4]整車!$B$22)</f>
        <v>0</v>
      </c>
      <c r="Y191" s="419">
        <f>_xlfn.IFNA(VLOOKUP(A191,[9]進出口值表查詢結果!$C$11:$F$80,3,0),-[4]整車!$B$22)</f>
        <v>0</v>
      </c>
      <c r="Z191" s="413">
        <f t="shared" si="31"/>
        <v>0</v>
      </c>
      <c r="AA191" s="413">
        <f t="shared" si="32"/>
        <v>0</v>
      </c>
    </row>
    <row r="192" spans="1:27">
      <c r="A192" s="422" t="s">
        <v>376</v>
      </c>
      <c r="B192" s="419"/>
      <c r="C192" s="419"/>
      <c r="D192" s="419"/>
      <c r="E192" s="419">
        <v>0</v>
      </c>
      <c r="F192" s="419">
        <v>0</v>
      </c>
      <c r="G192" s="419"/>
      <c r="H192" s="419">
        <v>0</v>
      </c>
      <c r="I192" s="419">
        <v>0</v>
      </c>
      <c r="J192" s="420">
        <v>0</v>
      </c>
      <c r="K192" s="421">
        <v>0</v>
      </c>
      <c r="L192" s="419">
        <v>0</v>
      </c>
      <c r="M192" s="419">
        <v>0</v>
      </c>
      <c r="N192" s="419">
        <v>0</v>
      </c>
      <c r="O192" s="419">
        <v>0</v>
      </c>
      <c r="P192" s="419">
        <v>0</v>
      </c>
      <c r="Q192" s="419">
        <v>0</v>
      </c>
      <c r="R192" s="419">
        <v>0</v>
      </c>
      <c r="S192" s="419">
        <v>0</v>
      </c>
      <c r="T192" s="419"/>
      <c r="U192" s="419"/>
      <c r="V192" s="419">
        <f>_xlfn.IFNA(VLOOKUP(A192,[8]進出口值表查詢結果!$C$11:$F$68,4,0),-[4]整車!$B$22)</f>
        <v>0</v>
      </c>
      <c r="W192" s="419">
        <f>_xlfn.IFNA(VLOOKUP(A192,[8]進出口值表查詢結果!$C$11:$F$68,3,0),-[4]整車!$B$22)</f>
        <v>0</v>
      </c>
      <c r="X192" s="419">
        <f>_xlfn.IFNA(VLOOKUP(A192,[9]進出口值表查詢結果!$C$11:$F$80,4,0),-[4]整車!$B$22)</f>
        <v>0</v>
      </c>
      <c r="Y192" s="419">
        <f>_xlfn.IFNA(VLOOKUP(A192,[9]進出口值表查詢結果!$C$11:$F$80,3,0),-[4]整車!$B$22)</f>
        <v>0</v>
      </c>
      <c r="Z192" s="413">
        <f t="shared" si="31"/>
        <v>0</v>
      </c>
      <c r="AA192" s="413">
        <f t="shared" si="32"/>
        <v>0</v>
      </c>
    </row>
    <row r="193" spans="1:27">
      <c r="A193" s="444" t="s">
        <v>377</v>
      </c>
      <c r="B193" s="419"/>
      <c r="C193" s="419"/>
      <c r="D193" s="419"/>
      <c r="E193" s="419">
        <v>0</v>
      </c>
      <c r="F193" s="419">
        <v>0</v>
      </c>
      <c r="G193" s="419"/>
      <c r="H193" s="419">
        <v>10</v>
      </c>
      <c r="I193" s="419">
        <v>1060</v>
      </c>
      <c r="J193" s="420">
        <v>0</v>
      </c>
      <c r="K193" s="421">
        <v>0</v>
      </c>
      <c r="L193" s="419">
        <v>0</v>
      </c>
      <c r="M193" s="419">
        <v>0</v>
      </c>
      <c r="N193" s="419">
        <v>0</v>
      </c>
      <c r="O193" s="419">
        <v>0</v>
      </c>
      <c r="P193" s="419">
        <v>0</v>
      </c>
      <c r="Q193" s="419">
        <v>0</v>
      </c>
      <c r="R193" s="419">
        <v>0</v>
      </c>
      <c r="S193" s="419">
        <v>0</v>
      </c>
      <c r="T193" s="419"/>
      <c r="U193" s="419"/>
      <c r="V193" s="419">
        <f>_xlfn.IFNA(VLOOKUP(A193,[8]進出口值表查詢結果!$C$11:$F$68,4,0),-[4]整車!$B$22)</f>
        <v>0</v>
      </c>
      <c r="W193" s="419">
        <f>_xlfn.IFNA(VLOOKUP(A193,[8]進出口值表查詢結果!$C$11:$F$68,3,0),-[4]整車!$B$22)</f>
        <v>0</v>
      </c>
      <c r="X193" s="419">
        <f>_xlfn.IFNA(VLOOKUP(A193,[9]進出口值表查詢結果!$C$11:$F$80,4,0),-[4]整車!$B$22)</f>
        <v>0</v>
      </c>
      <c r="Y193" s="419">
        <f>_xlfn.IFNA(VLOOKUP(A193,[9]進出口值表查詢結果!$C$11:$F$80,3,0),-[4]整車!$B$22)</f>
        <v>0</v>
      </c>
      <c r="Z193" s="413">
        <f t="shared" si="31"/>
        <v>10</v>
      </c>
      <c r="AA193" s="413">
        <f t="shared" si="32"/>
        <v>1060</v>
      </c>
    </row>
    <row r="194" spans="1:27">
      <c r="A194" s="456" t="s">
        <v>378</v>
      </c>
      <c r="B194" s="419"/>
      <c r="C194" s="419"/>
      <c r="D194" s="419"/>
      <c r="E194" s="419">
        <v>0</v>
      </c>
      <c r="F194" s="419">
        <v>0</v>
      </c>
      <c r="G194" s="419"/>
      <c r="H194" s="419">
        <v>0</v>
      </c>
      <c r="I194" s="419">
        <v>0</v>
      </c>
      <c r="J194" s="420">
        <v>0</v>
      </c>
      <c r="K194" s="421">
        <v>0</v>
      </c>
      <c r="L194" s="419">
        <v>0</v>
      </c>
      <c r="M194" s="419">
        <v>0</v>
      </c>
      <c r="N194" s="419">
        <v>0</v>
      </c>
      <c r="O194" s="419">
        <v>0</v>
      </c>
      <c r="P194" s="419">
        <v>0</v>
      </c>
      <c r="Q194" s="419">
        <v>0</v>
      </c>
      <c r="R194" s="419">
        <v>0</v>
      </c>
      <c r="S194" s="419">
        <v>0</v>
      </c>
      <c r="T194" s="419"/>
      <c r="U194" s="419"/>
      <c r="V194" s="419">
        <f>_xlfn.IFNA(VLOOKUP(A194,[8]進出口值表查詢結果!$C$11:$F$68,4,0),-[4]整車!$B$22)</f>
        <v>0</v>
      </c>
      <c r="W194" s="419">
        <f>_xlfn.IFNA(VLOOKUP(A194,[8]進出口值表查詢結果!$C$11:$F$68,3,0),-[4]整車!$B$22)</f>
        <v>0</v>
      </c>
      <c r="X194" s="419">
        <f>_xlfn.IFNA(VLOOKUP(A194,[9]進出口值表查詢結果!$C$11:$F$80,4,0),-[4]整車!$B$22)</f>
        <v>0</v>
      </c>
      <c r="Y194" s="419">
        <f>_xlfn.IFNA(VLOOKUP(A194,[9]進出口值表查詢結果!$C$11:$F$80,3,0),-[4]整車!$B$22)</f>
        <v>0</v>
      </c>
      <c r="Z194" s="413">
        <f t="shared" si="31"/>
        <v>0</v>
      </c>
      <c r="AA194" s="413">
        <f t="shared" si="32"/>
        <v>0</v>
      </c>
    </row>
    <row r="195" spans="1:27">
      <c r="A195" s="422" t="s">
        <v>147</v>
      </c>
      <c r="B195" s="419"/>
      <c r="C195" s="419"/>
      <c r="D195" s="419"/>
      <c r="E195" s="419">
        <v>0</v>
      </c>
      <c r="F195" s="419">
        <v>0</v>
      </c>
      <c r="G195" s="419"/>
      <c r="H195" s="419">
        <v>0</v>
      </c>
      <c r="I195" s="419">
        <v>0</v>
      </c>
      <c r="J195" s="420">
        <v>0</v>
      </c>
      <c r="K195" s="421">
        <v>0</v>
      </c>
      <c r="L195" s="419">
        <v>0</v>
      </c>
      <c r="M195" s="419">
        <v>0</v>
      </c>
      <c r="N195" s="419">
        <v>0</v>
      </c>
      <c r="O195" s="419">
        <v>0</v>
      </c>
      <c r="P195" s="419">
        <v>0</v>
      </c>
      <c r="Q195" s="419">
        <v>0</v>
      </c>
      <c r="R195" s="419">
        <v>0</v>
      </c>
      <c r="S195" s="419">
        <v>0</v>
      </c>
      <c r="T195" s="419"/>
      <c r="U195" s="419"/>
      <c r="V195" s="419">
        <f>_xlfn.IFNA(VLOOKUP(A195,[8]進出口值表查詢結果!$C$11:$F$68,4,0),-[4]整車!$B$22)</f>
        <v>0</v>
      </c>
      <c r="W195" s="419">
        <f>_xlfn.IFNA(VLOOKUP(A195,[8]進出口值表查詢結果!$C$11:$F$68,3,0),-[4]整車!$B$22)</f>
        <v>0</v>
      </c>
      <c r="X195" s="419">
        <f>_xlfn.IFNA(VLOOKUP(A195,[9]進出口值表查詢結果!$C$11:$F$80,4,0),-[4]整車!$B$22)</f>
        <v>0</v>
      </c>
      <c r="Y195" s="419">
        <f>_xlfn.IFNA(VLOOKUP(A195,[9]進出口值表查詢結果!$C$11:$F$80,3,0),-[4]整車!$B$22)</f>
        <v>0</v>
      </c>
      <c r="Z195" s="413">
        <f t="shared" si="31"/>
        <v>0</v>
      </c>
      <c r="AA195" s="413">
        <f t="shared" si="32"/>
        <v>0</v>
      </c>
    </row>
    <row r="196" spans="1:27">
      <c r="A196" s="456" t="s">
        <v>379</v>
      </c>
      <c r="B196" s="419"/>
      <c r="C196" s="419"/>
      <c r="D196" s="419"/>
      <c r="E196" s="419">
        <v>0</v>
      </c>
      <c r="F196" s="419">
        <v>0</v>
      </c>
      <c r="G196" s="419"/>
      <c r="H196" s="419">
        <v>0</v>
      </c>
      <c r="I196" s="419">
        <v>0</v>
      </c>
      <c r="J196" s="420">
        <v>0</v>
      </c>
      <c r="K196" s="421">
        <v>0</v>
      </c>
      <c r="L196" s="419">
        <v>0</v>
      </c>
      <c r="M196" s="419">
        <v>0</v>
      </c>
      <c r="N196" s="419">
        <v>0</v>
      </c>
      <c r="O196" s="419">
        <v>0</v>
      </c>
      <c r="P196" s="419">
        <v>0</v>
      </c>
      <c r="Q196" s="419">
        <v>0</v>
      </c>
      <c r="R196" s="419">
        <v>0</v>
      </c>
      <c r="S196" s="419">
        <v>0</v>
      </c>
      <c r="T196" s="419">
        <v>19</v>
      </c>
      <c r="U196" s="419">
        <v>12461</v>
      </c>
      <c r="V196" s="419">
        <f>_xlfn.IFNA(VLOOKUP(A196,[8]進出口值表查詢結果!$C$11:$F$68,4,0),-[4]整車!$B$22)</f>
        <v>0</v>
      </c>
      <c r="W196" s="419">
        <f>_xlfn.IFNA(VLOOKUP(A196,[8]進出口值表查詢結果!$C$11:$F$68,3,0),-[4]整車!$B$22)</f>
        <v>0</v>
      </c>
      <c r="X196" s="419">
        <f>_xlfn.IFNA(VLOOKUP(A196,[9]進出口值表查詢結果!$C$11:$F$80,4,0),-[4]整車!$B$22)</f>
        <v>0</v>
      </c>
      <c r="Y196" s="419">
        <f>_xlfn.IFNA(VLOOKUP(A196,[9]進出口值表查詢結果!$C$11:$F$80,3,0),-[4]整車!$B$22)</f>
        <v>0</v>
      </c>
      <c r="Z196" s="413">
        <f t="shared" si="31"/>
        <v>19</v>
      </c>
      <c r="AA196" s="413">
        <f t="shared" si="32"/>
        <v>12461</v>
      </c>
    </row>
    <row r="197" spans="1:27">
      <c r="A197" s="456" t="s">
        <v>380</v>
      </c>
      <c r="B197" s="419"/>
      <c r="C197" s="419"/>
      <c r="D197" s="419"/>
      <c r="E197" s="419">
        <v>0</v>
      </c>
      <c r="F197" s="419">
        <v>0</v>
      </c>
      <c r="G197" s="419"/>
      <c r="H197" s="419">
        <v>0</v>
      </c>
      <c r="I197" s="419">
        <v>0</v>
      </c>
      <c r="J197" s="420">
        <v>0</v>
      </c>
      <c r="K197" s="421">
        <v>0</v>
      </c>
      <c r="L197" s="419">
        <v>0</v>
      </c>
      <c r="M197" s="419">
        <v>0</v>
      </c>
      <c r="N197" s="419">
        <v>0</v>
      </c>
      <c r="O197" s="419">
        <v>0</v>
      </c>
      <c r="P197" s="419">
        <v>0</v>
      </c>
      <c r="Q197" s="419">
        <v>0</v>
      </c>
      <c r="R197" s="419">
        <v>0</v>
      </c>
      <c r="S197" s="419">
        <v>0</v>
      </c>
      <c r="T197" s="419"/>
      <c r="U197" s="419"/>
      <c r="V197" s="419">
        <f>_xlfn.IFNA(VLOOKUP(A197,[8]進出口值表查詢結果!$C$11:$F$68,4,0),-[4]整車!$B$22)</f>
        <v>0</v>
      </c>
      <c r="W197" s="419">
        <f>_xlfn.IFNA(VLOOKUP(A197,[8]進出口值表查詢結果!$C$11:$F$68,3,0),-[4]整車!$B$22)</f>
        <v>0</v>
      </c>
      <c r="X197" s="419">
        <f>_xlfn.IFNA(VLOOKUP(A197,[9]進出口值表查詢結果!$C$11:$F$80,4,0),-[4]整車!$B$22)</f>
        <v>0</v>
      </c>
      <c r="Y197" s="419">
        <f>_xlfn.IFNA(VLOOKUP(A197,[9]進出口值表查詢結果!$C$11:$F$80,3,0),-[4]整車!$B$22)</f>
        <v>0</v>
      </c>
      <c r="Z197" s="413">
        <f t="shared" si="31"/>
        <v>0</v>
      </c>
      <c r="AA197" s="413">
        <f t="shared" si="32"/>
        <v>0</v>
      </c>
    </row>
    <row r="198" spans="1:27">
      <c r="A198" s="456" t="s">
        <v>381</v>
      </c>
      <c r="B198" s="419"/>
      <c r="C198" s="419"/>
      <c r="D198" s="419"/>
      <c r="E198" s="419">
        <v>0</v>
      </c>
      <c r="F198" s="419">
        <v>0</v>
      </c>
      <c r="G198" s="419"/>
      <c r="H198" s="419">
        <v>0</v>
      </c>
      <c r="I198" s="419">
        <v>0</v>
      </c>
      <c r="J198" s="420">
        <v>0</v>
      </c>
      <c r="K198" s="421">
        <v>0</v>
      </c>
      <c r="L198" s="419">
        <v>0</v>
      </c>
      <c r="M198" s="419">
        <v>0</v>
      </c>
      <c r="N198" s="419">
        <v>0</v>
      </c>
      <c r="O198" s="419">
        <v>0</v>
      </c>
      <c r="P198" s="419">
        <v>0</v>
      </c>
      <c r="Q198" s="419">
        <v>0</v>
      </c>
      <c r="R198" s="419">
        <v>0</v>
      </c>
      <c r="S198" s="419">
        <v>0</v>
      </c>
      <c r="T198" s="419"/>
      <c r="U198" s="419"/>
      <c r="V198" s="419">
        <f>_xlfn.IFNA(VLOOKUP(A198,[8]進出口值表查詢結果!$C$11:$F$68,4,0),-[4]整車!$B$22)</f>
        <v>0</v>
      </c>
      <c r="W198" s="419">
        <f>_xlfn.IFNA(VLOOKUP(A198,[8]進出口值表查詢結果!$C$11:$F$68,3,0),-[4]整車!$B$22)</f>
        <v>0</v>
      </c>
      <c r="X198" s="419">
        <f>_xlfn.IFNA(VLOOKUP(A198,[9]進出口值表查詢結果!$C$11:$F$80,4,0),-[4]整車!$B$22)</f>
        <v>0</v>
      </c>
      <c r="Y198" s="419">
        <f>_xlfn.IFNA(VLOOKUP(A198,[9]進出口值表查詢結果!$C$11:$F$80,3,0),-[4]整車!$B$22)</f>
        <v>0</v>
      </c>
      <c r="Z198" s="413">
        <f t="shared" si="31"/>
        <v>0</v>
      </c>
      <c r="AA198" s="413">
        <f t="shared" si="32"/>
        <v>0</v>
      </c>
    </row>
    <row r="199" spans="1:27">
      <c r="A199" s="456" t="s">
        <v>400</v>
      </c>
      <c r="B199" s="419"/>
      <c r="C199" s="419"/>
      <c r="D199" s="419"/>
      <c r="E199" s="419">
        <v>0</v>
      </c>
      <c r="F199" s="419">
        <v>0</v>
      </c>
      <c r="G199" s="419"/>
      <c r="H199" s="419">
        <v>0</v>
      </c>
      <c r="I199" s="419">
        <v>0</v>
      </c>
      <c r="J199" s="420" t="s">
        <v>59</v>
      </c>
      <c r="K199" s="421">
        <v>0</v>
      </c>
      <c r="L199" s="419">
        <v>10</v>
      </c>
      <c r="M199" s="419">
        <v>1039</v>
      </c>
      <c r="N199" s="419">
        <v>0</v>
      </c>
      <c r="O199" s="419">
        <v>0</v>
      </c>
      <c r="P199" s="419">
        <v>0</v>
      </c>
      <c r="Q199" s="419">
        <v>0</v>
      </c>
      <c r="R199" s="419">
        <v>5</v>
      </c>
      <c r="S199" s="419">
        <v>543</v>
      </c>
      <c r="T199" s="419"/>
      <c r="U199" s="419"/>
      <c r="V199" s="419">
        <f>_xlfn.IFNA(VLOOKUP(A199,[8]進出口值表查詢結果!$C$11:$F$68,4,0),-[4]整車!$B$22)</f>
        <v>2</v>
      </c>
      <c r="W199" s="419">
        <f>_xlfn.IFNA(VLOOKUP(A199,[8]進出口值表查詢結果!$C$11:$F$68,3,0),-[4]整車!$B$22)</f>
        <v>763</v>
      </c>
      <c r="X199" s="419">
        <f>_xlfn.IFNA(VLOOKUP(A199,[9]進出口值表查詢結果!$C$11:$F$80,4,0),-[4]整車!$B$22)</f>
        <v>0</v>
      </c>
      <c r="Y199" s="419">
        <f>_xlfn.IFNA(VLOOKUP(A199,[9]進出口值表查詢結果!$C$11:$F$80,3,0),-[4]整車!$B$22)</f>
        <v>0</v>
      </c>
      <c r="Z199" s="413">
        <f t="shared" si="31"/>
        <v>17</v>
      </c>
      <c r="AA199" s="413">
        <f t="shared" si="32"/>
        <v>2345</v>
      </c>
    </row>
    <row r="200" spans="1:27">
      <c r="A200" s="422" t="s">
        <v>148</v>
      </c>
      <c r="B200" s="419"/>
      <c r="C200" s="419"/>
      <c r="D200" s="419"/>
      <c r="E200" s="419">
        <v>0</v>
      </c>
      <c r="F200" s="419">
        <v>0</v>
      </c>
      <c r="G200" s="419"/>
      <c r="H200" s="419">
        <v>0</v>
      </c>
      <c r="I200" s="419">
        <v>0</v>
      </c>
      <c r="J200" s="420">
        <v>0</v>
      </c>
      <c r="K200" s="421">
        <v>0</v>
      </c>
      <c r="L200" s="419">
        <v>0</v>
      </c>
      <c r="M200" s="419">
        <v>0</v>
      </c>
      <c r="N200" s="419">
        <v>1</v>
      </c>
      <c r="O200" s="419">
        <v>2028</v>
      </c>
      <c r="P200" s="419">
        <v>0</v>
      </c>
      <c r="Q200" s="419">
        <v>0</v>
      </c>
      <c r="R200" s="419">
        <v>0</v>
      </c>
      <c r="S200" s="419">
        <v>0</v>
      </c>
      <c r="T200" s="419"/>
      <c r="U200" s="419"/>
      <c r="V200" s="419">
        <f>_xlfn.IFNA(VLOOKUP(A200,[8]進出口值表查詢結果!$C$11:$F$68,4,0),-[4]整車!$B$22)</f>
        <v>0</v>
      </c>
      <c r="W200" s="419">
        <f>_xlfn.IFNA(VLOOKUP(A200,[8]進出口值表查詢結果!$C$11:$F$68,3,0),-[4]整車!$B$22)</f>
        <v>0</v>
      </c>
      <c r="X200" s="419">
        <f>_xlfn.IFNA(VLOOKUP(A200,[9]進出口值表查詢結果!$C$11:$F$80,4,0),-[4]整車!$B$22)</f>
        <v>0</v>
      </c>
      <c r="Y200" s="419">
        <f>_xlfn.IFNA(VLOOKUP(A200,[9]進出口值表查詢結果!$C$11:$F$80,3,0),-[4]整車!$B$22)</f>
        <v>0</v>
      </c>
      <c r="Z200" s="413">
        <f t="shared" si="31"/>
        <v>1</v>
      </c>
      <c r="AA200" s="413">
        <f t="shared" si="32"/>
        <v>2028</v>
      </c>
    </row>
    <row r="201" spans="1:27">
      <c r="A201" s="460" t="s">
        <v>382</v>
      </c>
      <c r="B201" s="419"/>
      <c r="C201" s="419"/>
      <c r="D201" s="419"/>
      <c r="E201" s="419"/>
      <c r="F201" s="419"/>
      <c r="G201" s="419"/>
      <c r="H201" s="419">
        <v>0</v>
      </c>
      <c r="I201" s="419">
        <v>0</v>
      </c>
      <c r="J201" s="420" t="s">
        <v>59</v>
      </c>
      <c r="K201" s="421"/>
      <c r="L201" s="419">
        <v>0</v>
      </c>
      <c r="M201" s="419">
        <v>0</v>
      </c>
      <c r="N201" s="419">
        <v>0</v>
      </c>
      <c r="O201" s="419">
        <v>0</v>
      </c>
      <c r="P201" s="419">
        <v>0</v>
      </c>
      <c r="Q201" s="419">
        <v>0</v>
      </c>
      <c r="R201" s="419">
        <v>0</v>
      </c>
      <c r="S201" s="419">
        <v>0</v>
      </c>
      <c r="T201" s="419"/>
      <c r="U201" s="419"/>
      <c r="V201" s="419">
        <f>_xlfn.IFNA(VLOOKUP(A201,[8]進出口值表查詢結果!$C$11:$F$68,4,0),-[4]整車!$B$22)</f>
        <v>0</v>
      </c>
      <c r="W201" s="419">
        <f>_xlfn.IFNA(VLOOKUP(A201,[8]進出口值表查詢結果!$C$11:$F$68,3,0),-[4]整車!$B$22)</f>
        <v>0</v>
      </c>
      <c r="X201" s="419">
        <f>_xlfn.IFNA(VLOOKUP(A201,[9]進出口值表查詢結果!$C$11:$F$80,4,0),-[4]整車!$B$22)</f>
        <v>0</v>
      </c>
      <c r="Y201" s="419">
        <f>_xlfn.IFNA(VLOOKUP(A201,[9]進出口值表查詢結果!$C$11:$F$80,3,0),-[4]整車!$B$22)</f>
        <v>0</v>
      </c>
      <c r="Z201" s="413"/>
      <c r="AA201" s="413"/>
    </row>
    <row r="202" spans="1:27">
      <c r="A202" s="456" t="s">
        <v>401</v>
      </c>
      <c r="B202" s="419"/>
      <c r="C202" s="419"/>
      <c r="D202" s="419"/>
      <c r="E202" s="419"/>
      <c r="F202" s="419"/>
      <c r="G202" s="419"/>
      <c r="H202" s="419">
        <v>0</v>
      </c>
      <c r="I202" s="419">
        <v>0</v>
      </c>
      <c r="J202" s="420" t="s">
        <v>59</v>
      </c>
      <c r="K202" s="421"/>
      <c r="L202" s="419">
        <v>0</v>
      </c>
      <c r="M202" s="419">
        <v>0</v>
      </c>
      <c r="N202" s="419">
        <v>0</v>
      </c>
      <c r="O202" s="419">
        <v>0</v>
      </c>
      <c r="P202" s="419">
        <v>0</v>
      </c>
      <c r="Q202" s="419">
        <v>0</v>
      </c>
      <c r="R202" s="419">
        <v>0</v>
      </c>
      <c r="S202" s="419">
        <v>0</v>
      </c>
      <c r="T202" s="419"/>
      <c r="U202" s="419"/>
      <c r="V202" s="419">
        <f>_xlfn.IFNA(VLOOKUP(A202,[8]進出口值表查詢結果!$C$11:$F$68,4,0),-[4]整車!$B$22)</f>
        <v>5</v>
      </c>
      <c r="W202" s="419">
        <f>_xlfn.IFNA(VLOOKUP(A202,[8]進出口值表查詢結果!$C$11:$F$68,3,0),-[4]整車!$B$22)</f>
        <v>7938</v>
      </c>
      <c r="X202" s="419">
        <f>_xlfn.IFNA(VLOOKUP(A202,[9]進出口值表查詢結果!$C$11:$F$80,4,0),-[4]整車!$B$22)</f>
        <v>0</v>
      </c>
      <c r="Y202" s="419">
        <f>_xlfn.IFNA(VLOOKUP(A202,[9]進出口值表查詢結果!$C$11:$F$80,3,0),-[4]整車!$B$22)</f>
        <v>0</v>
      </c>
      <c r="Z202" s="413"/>
      <c r="AA202" s="413"/>
    </row>
    <row r="203" spans="1:27">
      <c r="A203" s="460" t="s">
        <v>402</v>
      </c>
      <c r="B203" s="419"/>
      <c r="C203" s="419"/>
      <c r="D203" s="445">
        <v>0</v>
      </c>
      <c r="E203" s="419">
        <v>0</v>
      </c>
      <c r="F203" s="419">
        <v>0</v>
      </c>
      <c r="G203" s="446"/>
      <c r="H203" s="419">
        <v>0</v>
      </c>
      <c r="I203" s="419">
        <v>0</v>
      </c>
      <c r="J203" s="420">
        <v>0</v>
      </c>
      <c r="K203" s="421">
        <v>0</v>
      </c>
      <c r="L203" s="419">
        <v>0</v>
      </c>
      <c r="M203" s="419">
        <v>0</v>
      </c>
      <c r="N203" s="419">
        <v>0</v>
      </c>
      <c r="O203" s="419">
        <v>0</v>
      </c>
      <c r="P203" s="419">
        <v>0</v>
      </c>
      <c r="Q203" s="419">
        <v>0</v>
      </c>
      <c r="R203" s="419">
        <v>0</v>
      </c>
      <c r="S203" s="419">
        <v>0</v>
      </c>
      <c r="T203" s="419">
        <v>0</v>
      </c>
      <c r="U203" s="419">
        <v>0</v>
      </c>
      <c r="V203" s="419">
        <f>_xlfn.IFNA(VLOOKUP(A203,[8]進出口值表查詢結果!$C$11:$F$68,4,0),-[4]整車!$B$22)</f>
        <v>0</v>
      </c>
      <c r="W203" s="419">
        <f>_xlfn.IFNA(VLOOKUP(A203,[8]進出口值表查詢結果!$C$11:$F$68,3,0),-[4]整車!$B$22)</f>
        <v>0</v>
      </c>
      <c r="X203" s="419">
        <f>_xlfn.IFNA(VLOOKUP(A203,[9]進出口值表查詢結果!$C$11:$F$80,4,0),-[4]整車!$B$22)</f>
        <v>0</v>
      </c>
      <c r="Y203" s="419">
        <f>_xlfn.IFNA(VLOOKUP(A203,[9]進出口值表查詢結果!$C$11:$F$80,3,0),-[4]整車!$B$22)</f>
        <v>0</v>
      </c>
      <c r="Z203" s="419">
        <f>SUM(B203,D203,F203,H203,J203,L203,N203,P203,R203,T203,V203,X203)</f>
        <v>0</v>
      </c>
      <c r="AA203" s="419">
        <f>SUM(C203,E203,G203,I203,K203,M203,O203,Q203,S203,U203,W203,Y203)</f>
        <v>0</v>
      </c>
    </row>
    <row r="204" spans="1:27">
      <c r="A204" s="395"/>
      <c r="B204" s="560" t="s">
        <v>149</v>
      </c>
      <c r="C204" s="561"/>
      <c r="D204" s="396" t="s">
        <v>125</v>
      </c>
      <c r="E204" s="397"/>
      <c r="F204" s="396" t="s">
        <v>126</v>
      </c>
      <c r="G204" s="397"/>
      <c r="H204" s="396" t="s">
        <v>127</v>
      </c>
      <c r="I204" s="397"/>
      <c r="J204" s="398" t="s">
        <v>128</v>
      </c>
      <c r="K204" s="399"/>
      <c r="L204" s="396" t="s">
        <v>129</v>
      </c>
      <c r="M204" s="397"/>
      <c r="N204" s="396" t="s">
        <v>130</v>
      </c>
      <c r="O204" s="397"/>
      <c r="P204" s="396" t="s">
        <v>131</v>
      </c>
      <c r="Q204" s="397"/>
      <c r="R204" s="396" t="s">
        <v>132</v>
      </c>
      <c r="S204" s="397"/>
      <c r="T204" s="396" t="s">
        <v>133</v>
      </c>
      <c r="U204" s="397"/>
      <c r="V204" s="396" t="s">
        <v>134</v>
      </c>
      <c r="W204" s="397"/>
      <c r="X204" s="396" t="s">
        <v>135</v>
      </c>
      <c r="Y204" s="397"/>
      <c r="Z204" s="560" t="s">
        <v>107</v>
      </c>
      <c r="AA204" s="561"/>
    </row>
    <row r="205" spans="1:27">
      <c r="A205" s="447" t="s">
        <v>150</v>
      </c>
      <c r="B205" s="401" t="s">
        <v>137</v>
      </c>
      <c r="C205" s="401" t="s">
        <v>138</v>
      </c>
      <c r="D205" s="401" t="s">
        <v>139</v>
      </c>
      <c r="E205" s="401" t="s">
        <v>140</v>
      </c>
      <c r="F205" s="401" t="s">
        <v>139</v>
      </c>
      <c r="G205" s="401" t="s">
        <v>140</v>
      </c>
      <c r="H205" s="401" t="s">
        <v>139</v>
      </c>
      <c r="I205" s="401" t="s">
        <v>140</v>
      </c>
      <c r="J205" s="402" t="s">
        <v>139</v>
      </c>
      <c r="K205" s="403" t="s">
        <v>140</v>
      </c>
      <c r="L205" s="401" t="s">
        <v>139</v>
      </c>
      <c r="M205" s="401" t="s">
        <v>140</v>
      </c>
      <c r="N205" s="401" t="s">
        <v>139</v>
      </c>
      <c r="O205" s="401" t="s">
        <v>140</v>
      </c>
      <c r="P205" s="401" t="s">
        <v>139</v>
      </c>
      <c r="Q205" s="401" t="s">
        <v>140</v>
      </c>
      <c r="R205" s="401" t="s">
        <v>139</v>
      </c>
      <c r="S205" s="401" t="s">
        <v>140</v>
      </c>
      <c r="T205" s="401" t="s">
        <v>139</v>
      </c>
      <c r="U205" s="401" t="s">
        <v>140</v>
      </c>
      <c r="V205" s="401" t="s">
        <v>139</v>
      </c>
      <c r="W205" s="401" t="s">
        <v>140</v>
      </c>
      <c r="X205" s="401" t="s">
        <v>139</v>
      </c>
      <c r="Y205" s="401" t="s">
        <v>140</v>
      </c>
      <c r="Z205" s="401" t="s">
        <v>139</v>
      </c>
      <c r="AA205" s="401" t="s">
        <v>140</v>
      </c>
    </row>
    <row r="206" spans="1:27">
      <c r="A206" s="400" t="s">
        <v>151</v>
      </c>
      <c r="B206" s="419">
        <v>6025</v>
      </c>
      <c r="C206" s="419">
        <v>1562479</v>
      </c>
      <c r="D206" s="419">
        <v>5953</v>
      </c>
      <c r="E206" s="419">
        <v>1186109</v>
      </c>
      <c r="F206" s="419">
        <v>5066</v>
      </c>
      <c r="G206" s="419">
        <v>1570229</v>
      </c>
      <c r="H206" s="419">
        <v>7242</v>
      </c>
      <c r="I206" s="419">
        <v>1397285</v>
      </c>
      <c r="J206" s="420">
        <v>9565</v>
      </c>
      <c r="K206" s="421">
        <v>2314635</v>
      </c>
      <c r="L206" s="419">
        <v>11407</v>
      </c>
      <c r="M206" s="419">
        <v>2211195</v>
      </c>
      <c r="N206" s="419">
        <v>8718</v>
      </c>
      <c r="O206" s="419">
        <v>1911196</v>
      </c>
      <c r="P206" s="419"/>
      <c r="Q206" s="419"/>
      <c r="R206" s="419"/>
      <c r="S206" s="419"/>
      <c r="T206" s="419"/>
      <c r="U206" s="419"/>
      <c r="V206" s="419"/>
      <c r="W206" s="419"/>
      <c r="X206" s="419"/>
      <c r="Y206" s="419"/>
      <c r="Z206" s="419">
        <f>SUM(B206,D206,F206,H206,J206,L206,N206,P206,R206,T206,V206,X206)</f>
        <v>53976</v>
      </c>
      <c r="AA206" s="413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2"/>
  <sheetViews>
    <sheetView workbookViewId="0">
      <selection activeCell="A2" sqref="A2"/>
    </sheetView>
  </sheetViews>
  <sheetFormatPr defaultRowHeight="16.5"/>
  <cols>
    <col min="1" max="1" width="6.5" style="95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0" customFormat="1" ht="19.5">
      <c r="B1" s="1"/>
      <c r="C1" s="1"/>
      <c r="D1" s="1"/>
      <c r="E1" s="178" t="s">
        <v>472</v>
      </c>
      <c r="F1" s="1"/>
      <c r="G1" s="1"/>
      <c r="H1" s="1"/>
      <c r="I1" s="1"/>
      <c r="J1" s="1"/>
      <c r="K1" s="5"/>
      <c r="L1" s="5"/>
      <c r="M1" s="5"/>
      <c r="N1" s="5"/>
    </row>
    <row r="2" spans="1:14" ht="8.25" customHeight="1"/>
    <row r="3" spans="1:14" s="114" customFormat="1">
      <c r="A3" s="111" t="s">
        <v>38</v>
      </c>
      <c r="B3" s="112"/>
      <c r="C3" s="112"/>
      <c r="D3" s="112"/>
      <c r="E3" s="112"/>
      <c r="F3" s="112"/>
      <c r="G3" s="112"/>
      <c r="H3" s="112"/>
      <c r="I3" s="112"/>
      <c r="J3" s="113"/>
      <c r="K3" s="5"/>
      <c r="L3" s="5"/>
      <c r="M3" s="5"/>
      <c r="N3" s="5"/>
    </row>
    <row r="4" spans="1:14" s="13" customFormat="1">
      <c r="A4" s="115" t="s">
        <v>39</v>
      </c>
      <c r="B4" s="116"/>
      <c r="C4" s="116"/>
      <c r="D4" s="116"/>
      <c r="E4" s="116"/>
      <c r="F4" s="116"/>
      <c r="G4" s="116"/>
      <c r="H4" s="116"/>
      <c r="I4" s="116"/>
      <c r="J4" s="117"/>
      <c r="K4" s="5"/>
      <c r="L4" s="5"/>
      <c r="M4" s="5"/>
      <c r="N4" s="5"/>
    </row>
    <row r="5" spans="1:14" s="121" customFormat="1">
      <c r="A5" s="118" t="s">
        <v>40</v>
      </c>
      <c r="B5" s="119" t="s">
        <v>41</v>
      </c>
      <c r="C5" s="120" t="s">
        <v>42</v>
      </c>
      <c r="D5" s="119" t="s">
        <v>43</v>
      </c>
      <c r="E5" s="119" t="s">
        <v>44</v>
      </c>
      <c r="F5" s="119" t="s">
        <v>45</v>
      </c>
      <c r="G5" s="119" t="s">
        <v>46</v>
      </c>
      <c r="H5" s="119" t="s">
        <v>47</v>
      </c>
      <c r="I5" s="119" t="s">
        <v>48</v>
      </c>
      <c r="J5" s="119" t="s">
        <v>49</v>
      </c>
      <c r="K5" s="5"/>
      <c r="L5" s="5"/>
      <c r="M5" s="5"/>
      <c r="N5" s="5"/>
    </row>
    <row r="6" spans="1:14" s="121" customFormat="1">
      <c r="A6" s="122"/>
      <c r="B6" s="123" t="s">
        <v>50</v>
      </c>
      <c r="C6" s="124"/>
      <c r="D6" s="124"/>
      <c r="E6" s="124"/>
      <c r="F6" s="124"/>
      <c r="G6" s="124"/>
      <c r="H6" s="124"/>
      <c r="I6" s="124"/>
      <c r="J6" s="124"/>
      <c r="K6" s="5"/>
      <c r="L6" s="5"/>
      <c r="M6" s="5"/>
      <c r="N6" s="5"/>
    </row>
    <row r="7" spans="1:14">
      <c r="A7" s="125">
        <v>1</v>
      </c>
      <c r="B7" s="27">
        <f>SUM(C7:I7)</f>
        <v>162493</v>
      </c>
      <c r="C7" s="375">
        <v>54703</v>
      </c>
      <c r="D7" s="375">
        <v>75533</v>
      </c>
      <c r="E7" s="376">
        <v>19471</v>
      </c>
      <c r="F7" s="375">
        <v>3320</v>
      </c>
      <c r="G7" s="375">
        <v>705</v>
      </c>
      <c r="H7" s="375">
        <v>8248</v>
      </c>
      <c r="I7" s="376">
        <v>513</v>
      </c>
      <c r="J7" s="377">
        <v>0</v>
      </c>
    </row>
    <row r="8" spans="1:14">
      <c r="A8" s="126"/>
      <c r="B8" s="27">
        <f>SUM(C8:I8)</f>
        <v>151997099</v>
      </c>
      <c r="C8" s="375">
        <v>56124187</v>
      </c>
      <c r="D8" s="377">
        <v>57956348</v>
      </c>
      <c r="E8" s="375">
        <v>18004543</v>
      </c>
      <c r="F8" s="377">
        <v>5802647</v>
      </c>
      <c r="G8" s="377">
        <v>909998</v>
      </c>
      <c r="H8" s="377">
        <v>11974996</v>
      </c>
      <c r="I8" s="375">
        <v>1224380</v>
      </c>
      <c r="J8" s="377">
        <v>0</v>
      </c>
    </row>
    <row r="9" spans="1:14">
      <c r="A9" s="125">
        <v>2</v>
      </c>
      <c r="B9" s="27">
        <f>SUM(C9:J9)</f>
        <v>115013</v>
      </c>
      <c r="C9" s="375">
        <v>38869</v>
      </c>
      <c r="D9" s="375">
        <v>44134</v>
      </c>
      <c r="E9" s="375">
        <v>23805</v>
      </c>
      <c r="F9" s="375">
        <v>2717</v>
      </c>
      <c r="G9" s="375">
        <v>514</v>
      </c>
      <c r="H9" s="375">
        <v>4534</v>
      </c>
      <c r="I9" s="375">
        <v>440</v>
      </c>
      <c r="J9" s="377">
        <v>0</v>
      </c>
    </row>
    <row r="10" spans="1:14">
      <c r="A10" s="126"/>
      <c r="B10" s="27">
        <f t="shared" ref="B10:B16" si="0">SUM(C10:I10)</f>
        <v>109496132</v>
      </c>
      <c r="C10" s="377">
        <v>39857934</v>
      </c>
      <c r="D10" s="488">
        <v>40045090</v>
      </c>
      <c r="E10" s="377">
        <v>17929546</v>
      </c>
      <c r="F10" s="377">
        <v>3876252</v>
      </c>
      <c r="G10" s="377">
        <v>414507</v>
      </c>
      <c r="H10" s="377">
        <v>6621595</v>
      </c>
      <c r="I10" s="377">
        <v>751208</v>
      </c>
      <c r="J10" s="377">
        <v>0</v>
      </c>
    </row>
    <row r="11" spans="1:14">
      <c r="A11" s="125">
        <v>3</v>
      </c>
      <c r="B11" s="27">
        <f t="shared" si="0"/>
        <v>134607</v>
      </c>
      <c r="C11" s="375">
        <v>52446</v>
      </c>
      <c r="D11" s="375">
        <v>48089</v>
      </c>
      <c r="E11" s="375">
        <v>24299</v>
      </c>
      <c r="F11" s="375">
        <v>2178</v>
      </c>
      <c r="G11" s="375">
        <v>1114</v>
      </c>
      <c r="H11" s="375">
        <v>6176</v>
      </c>
      <c r="I11" s="375">
        <v>305</v>
      </c>
      <c r="J11" s="377">
        <v>0</v>
      </c>
    </row>
    <row r="12" spans="1:14">
      <c r="A12" s="126"/>
      <c r="B12" s="27">
        <f t="shared" si="0"/>
        <v>122131450</v>
      </c>
      <c r="C12" s="377">
        <v>53609233</v>
      </c>
      <c r="D12" s="377">
        <v>34813313</v>
      </c>
      <c r="E12" s="377">
        <v>20000952</v>
      </c>
      <c r="F12" s="377">
        <v>3320479</v>
      </c>
      <c r="G12" s="377">
        <v>1237260</v>
      </c>
      <c r="H12" s="377">
        <v>8716292</v>
      </c>
      <c r="I12" s="377">
        <v>433921</v>
      </c>
      <c r="J12" s="377">
        <v>0</v>
      </c>
      <c r="L12" s="486"/>
    </row>
    <row r="13" spans="1:14">
      <c r="A13" s="125">
        <v>4</v>
      </c>
      <c r="B13" s="27">
        <f t="shared" si="0"/>
        <v>133349</v>
      </c>
      <c r="C13" s="376">
        <v>52312</v>
      </c>
      <c r="D13" s="376">
        <v>53119</v>
      </c>
      <c r="E13" s="376">
        <v>21561</v>
      </c>
      <c r="F13" s="376">
        <v>2379</v>
      </c>
      <c r="G13" s="376">
        <v>478</v>
      </c>
      <c r="H13" s="376">
        <v>3103</v>
      </c>
      <c r="I13" s="376">
        <v>397</v>
      </c>
      <c r="J13" s="377">
        <v>0</v>
      </c>
    </row>
    <row r="14" spans="1:14">
      <c r="A14" s="126"/>
      <c r="B14" s="27">
        <f t="shared" si="0"/>
        <v>126190344</v>
      </c>
      <c r="C14" s="375">
        <v>54180448</v>
      </c>
      <c r="D14" s="375">
        <v>43860514</v>
      </c>
      <c r="E14" s="375">
        <v>18514393</v>
      </c>
      <c r="F14" s="375">
        <v>3504834</v>
      </c>
      <c r="G14" s="375">
        <v>499801</v>
      </c>
      <c r="H14" s="375">
        <v>4716228</v>
      </c>
      <c r="I14" s="375">
        <v>914126</v>
      </c>
      <c r="J14" s="377">
        <v>0</v>
      </c>
    </row>
    <row r="15" spans="1:14">
      <c r="A15" s="127">
        <v>5</v>
      </c>
      <c r="B15" s="27">
        <f t="shared" si="0"/>
        <v>130700</v>
      </c>
      <c r="C15" s="375">
        <v>55331</v>
      </c>
      <c r="D15" s="375">
        <v>50458</v>
      </c>
      <c r="E15" s="375">
        <v>18326</v>
      </c>
      <c r="F15" s="375">
        <v>2465</v>
      </c>
      <c r="G15" s="375">
        <v>696</v>
      </c>
      <c r="H15" s="375">
        <v>2863</v>
      </c>
      <c r="I15" s="375">
        <v>561</v>
      </c>
      <c r="J15" s="377">
        <v>0</v>
      </c>
    </row>
    <row r="16" spans="1:14">
      <c r="A16" s="127"/>
      <c r="B16" s="27">
        <f t="shared" si="0"/>
        <v>124913855</v>
      </c>
      <c r="C16" s="375">
        <v>48648942</v>
      </c>
      <c r="D16" s="375">
        <v>43908704</v>
      </c>
      <c r="E16" s="375">
        <v>21393330</v>
      </c>
      <c r="F16" s="375">
        <v>4598569</v>
      </c>
      <c r="G16" s="375">
        <v>989028</v>
      </c>
      <c r="H16" s="375">
        <v>4465937</v>
      </c>
      <c r="I16" s="375">
        <v>909345</v>
      </c>
      <c r="J16" s="377">
        <v>0</v>
      </c>
    </row>
    <row r="17" spans="1:10">
      <c r="A17" s="125">
        <v>6</v>
      </c>
      <c r="B17" s="27">
        <f t="shared" ref="B17:B19" si="1">SUM(C17:J17)</f>
        <v>105847</v>
      </c>
      <c r="C17" s="375">
        <v>46071</v>
      </c>
      <c r="D17" s="375">
        <v>37241</v>
      </c>
      <c r="E17" s="375">
        <v>16344</v>
      </c>
      <c r="F17" s="375">
        <v>862</v>
      </c>
      <c r="G17" s="375">
        <v>149</v>
      </c>
      <c r="H17" s="375">
        <v>4462</v>
      </c>
      <c r="I17" s="375">
        <v>674</v>
      </c>
      <c r="J17" s="377">
        <v>44</v>
      </c>
    </row>
    <row r="18" spans="1:10">
      <c r="A18" s="126"/>
      <c r="B18" s="27">
        <f>SUM(C18:J18)</f>
        <v>117464564</v>
      </c>
      <c r="C18" s="375">
        <v>48748874</v>
      </c>
      <c r="D18" s="375">
        <v>39062607</v>
      </c>
      <c r="E18" s="375">
        <v>19430298</v>
      </c>
      <c r="F18" s="375">
        <v>1703615</v>
      </c>
      <c r="G18" s="375">
        <v>305336</v>
      </c>
      <c r="H18" s="375">
        <v>6757666</v>
      </c>
      <c r="I18" s="375">
        <v>1431338</v>
      </c>
      <c r="J18" s="377">
        <v>24830</v>
      </c>
    </row>
    <row r="19" spans="1:10">
      <c r="A19" s="125">
        <v>7</v>
      </c>
      <c r="B19" s="27">
        <f t="shared" si="1"/>
        <v>104885</v>
      </c>
      <c r="C19" s="375">
        <v>40991</v>
      </c>
      <c r="D19" s="375">
        <v>37758</v>
      </c>
      <c r="E19" s="375">
        <v>20200</v>
      </c>
      <c r="F19" s="375">
        <v>883</v>
      </c>
      <c r="G19" s="375">
        <v>472</v>
      </c>
      <c r="H19" s="375">
        <v>4155</v>
      </c>
      <c r="I19" s="375">
        <v>426</v>
      </c>
      <c r="J19" s="377">
        <v>0</v>
      </c>
    </row>
    <row r="20" spans="1:10">
      <c r="A20" s="126"/>
      <c r="B20" s="27">
        <f>SUM(C20:J20)</f>
        <v>119683695</v>
      </c>
      <c r="C20" s="375">
        <v>44847291</v>
      </c>
      <c r="D20" s="375">
        <v>39093833</v>
      </c>
      <c r="E20" s="375">
        <v>25504322</v>
      </c>
      <c r="F20" s="375">
        <v>1764461</v>
      </c>
      <c r="G20" s="375">
        <v>564750</v>
      </c>
      <c r="H20" s="375">
        <v>7032602</v>
      </c>
      <c r="I20" s="375">
        <v>876436</v>
      </c>
      <c r="J20" s="377">
        <v>0</v>
      </c>
    </row>
    <row r="21" spans="1:10">
      <c r="A21" s="125">
        <v>8</v>
      </c>
      <c r="B21" s="27">
        <f>SUM(C21:I21)</f>
        <v>110278</v>
      </c>
      <c r="C21" s="375">
        <v>37503</v>
      </c>
      <c r="D21" s="375">
        <v>44234</v>
      </c>
      <c r="E21" s="375">
        <v>21080</v>
      </c>
      <c r="F21" s="375">
        <v>2388</v>
      </c>
      <c r="G21" s="375">
        <v>948</v>
      </c>
      <c r="H21" s="375">
        <v>3848</v>
      </c>
      <c r="I21" s="375">
        <v>277</v>
      </c>
      <c r="J21" s="377">
        <v>0</v>
      </c>
    </row>
    <row r="22" spans="1:10">
      <c r="A22" s="126"/>
      <c r="B22" s="27">
        <f>SUM(C22:I22)</f>
        <v>131898144</v>
      </c>
      <c r="C22" s="375">
        <v>47293836</v>
      </c>
      <c r="D22" s="375">
        <v>50539476</v>
      </c>
      <c r="E22" s="375">
        <v>23186846</v>
      </c>
      <c r="F22" s="375">
        <v>3758629</v>
      </c>
      <c r="G22" s="375">
        <v>1196093</v>
      </c>
      <c r="H22" s="375">
        <v>5583219</v>
      </c>
      <c r="I22" s="375">
        <v>340045</v>
      </c>
      <c r="J22" s="377">
        <v>0</v>
      </c>
    </row>
    <row r="23" spans="1:10">
      <c r="A23" s="125">
        <v>9</v>
      </c>
      <c r="B23" s="27">
        <f>SUM(C23:J23)</f>
        <v>92961</v>
      </c>
      <c r="C23" s="27">
        <v>35665</v>
      </c>
      <c r="D23" s="27">
        <v>33568</v>
      </c>
      <c r="E23" s="27">
        <v>16535</v>
      </c>
      <c r="F23" s="27">
        <v>1392</v>
      </c>
      <c r="G23" s="27">
        <v>720</v>
      </c>
      <c r="H23" s="27">
        <v>4700</v>
      </c>
      <c r="I23" s="27">
        <v>381</v>
      </c>
      <c r="J23" s="377">
        <v>0</v>
      </c>
    </row>
    <row r="24" spans="1:10">
      <c r="A24" s="126"/>
      <c r="B24" s="27">
        <f>SUM(C24:J24)</f>
        <v>107794928</v>
      </c>
      <c r="C24" s="27">
        <v>37501438</v>
      </c>
      <c r="D24" s="27">
        <v>38620355</v>
      </c>
      <c r="E24" s="27">
        <v>21772820</v>
      </c>
      <c r="F24" s="27">
        <v>2573158</v>
      </c>
      <c r="G24" s="27">
        <v>984728</v>
      </c>
      <c r="H24" s="27">
        <v>5649138</v>
      </c>
      <c r="I24" s="27">
        <v>693291</v>
      </c>
      <c r="J24" s="377">
        <v>0</v>
      </c>
    </row>
    <row r="25" spans="1:10">
      <c r="A25" s="125">
        <v>10</v>
      </c>
      <c r="B25" s="27">
        <f>SUM(C25:I25)</f>
        <v>82311</v>
      </c>
      <c r="C25" s="27">
        <v>30467</v>
      </c>
      <c r="D25" s="27">
        <v>25074</v>
      </c>
      <c r="E25" s="27">
        <v>16877</v>
      </c>
      <c r="F25" s="27">
        <v>823</v>
      </c>
      <c r="G25" s="27">
        <v>347</v>
      </c>
      <c r="H25" s="27">
        <v>8519</v>
      </c>
      <c r="I25" s="27">
        <v>204</v>
      </c>
      <c r="J25" s="377">
        <v>0</v>
      </c>
    </row>
    <row r="26" spans="1:10">
      <c r="A26" s="126"/>
      <c r="B26" s="27">
        <f>SUM(C26:J26)</f>
        <v>89508196</v>
      </c>
      <c r="C26" s="27">
        <v>34558347</v>
      </c>
      <c r="D26" s="27">
        <v>27199539</v>
      </c>
      <c r="E26" s="27">
        <v>19506300</v>
      </c>
      <c r="F26" s="27">
        <v>1199814</v>
      </c>
      <c r="G26" s="27">
        <v>62042</v>
      </c>
      <c r="H26" s="27">
        <v>6662787</v>
      </c>
      <c r="I26" s="27">
        <v>319367</v>
      </c>
      <c r="J26" s="377">
        <v>0</v>
      </c>
    </row>
    <row r="27" spans="1:10">
      <c r="A27" s="125">
        <v>11</v>
      </c>
      <c r="B27" s="27">
        <f>SUM(C27:I27)</f>
        <v>77309</v>
      </c>
      <c r="C27" s="27">
        <v>25037</v>
      </c>
      <c r="D27" s="27">
        <v>27368</v>
      </c>
      <c r="E27" s="27">
        <v>18167</v>
      </c>
      <c r="F27" s="27">
        <v>1197</v>
      </c>
      <c r="G27" s="27">
        <v>466</v>
      </c>
      <c r="H27" s="27">
        <v>4528</v>
      </c>
      <c r="I27" s="27">
        <v>546</v>
      </c>
      <c r="J27" s="377">
        <v>0</v>
      </c>
    </row>
    <row r="28" spans="1:10">
      <c r="A28" s="126"/>
      <c r="B28" s="27">
        <f>SUM(C28:J28)</f>
        <v>91145450</v>
      </c>
      <c r="C28" s="27">
        <v>29127003</v>
      </c>
      <c r="D28" s="27">
        <v>30242536</v>
      </c>
      <c r="E28" s="27">
        <v>20766883</v>
      </c>
      <c r="F28" s="27">
        <v>2279566</v>
      </c>
      <c r="G28" s="27">
        <v>458450</v>
      </c>
      <c r="H28" s="27">
        <v>6808903</v>
      </c>
      <c r="I28" s="517">
        <v>1462109</v>
      </c>
      <c r="J28" s="377">
        <v>0</v>
      </c>
    </row>
    <row r="29" spans="1:10">
      <c r="A29" s="125">
        <v>12</v>
      </c>
      <c r="B29" s="27"/>
      <c r="C29" s="27"/>
      <c r="D29" s="27"/>
      <c r="E29" s="27"/>
      <c r="F29" s="27"/>
      <c r="G29" s="27"/>
      <c r="H29" s="27"/>
      <c r="I29" s="518"/>
      <c r="J29" s="27"/>
    </row>
    <row r="30" spans="1:10">
      <c r="A30" s="126"/>
      <c r="B30" s="27"/>
      <c r="C30" s="27"/>
      <c r="D30" s="27"/>
      <c r="E30" s="27"/>
      <c r="F30" s="27"/>
      <c r="G30" s="27"/>
      <c r="H30" s="27"/>
      <c r="I30" s="208"/>
      <c r="J30" s="27"/>
    </row>
    <row r="31" spans="1:10" s="114" customFormat="1">
      <c r="A31" s="562" t="s">
        <v>51</v>
      </c>
      <c r="B31" s="33">
        <f>SUM(B7,B9,B11,B13,B15,B17,B19,B21,B23,B25,B27,B29)</f>
        <v>1249753</v>
      </c>
      <c r="C31" s="33">
        <f>SUM(C7+C9+C11+C13+C15+C17+C19+C21+C23+C25+C27+C29)</f>
        <v>469395</v>
      </c>
      <c r="D31" s="33">
        <f t="shared" ref="D31:J31" si="2">SUM(D7+D9+D11+D13+D15+D17+D19+D21+D23+D25+D27+D29)</f>
        <v>476576</v>
      </c>
      <c r="E31" s="33">
        <f t="shared" si="2"/>
        <v>216665</v>
      </c>
      <c r="F31" s="33">
        <f t="shared" si="2"/>
        <v>20604</v>
      </c>
      <c r="G31" s="33">
        <f t="shared" si="2"/>
        <v>6609</v>
      </c>
      <c r="H31" s="33">
        <f t="shared" si="2"/>
        <v>55136</v>
      </c>
      <c r="I31" s="33">
        <f t="shared" si="2"/>
        <v>4724</v>
      </c>
      <c r="J31" s="33">
        <f t="shared" si="2"/>
        <v>44</v>
      </c>
    </row>
    <row r="32" spans="1:10" s="114" customFormat="1">
      <c r="A32" s="559"/>
      <c r="B32" s="33">
        <f>SUM(B8,B10,B12,B14,B16,B18,B20,B22,B24,B26,B28,B30)</f>
        <v>1292223857</v>
      </c>
      <c r="C32" s="33">
        <f t="shared" ref="C32:J32" si="3">SUM(C8,C10,C12,C14,C16,C18,C20,C22,C24,C26,C28,C30)</f>
        <v>494497533</v>
      </c>
      <c r="D32" s="33">
        <f t="shared" si="3"/>
        <v>445342315</v>
      </c>
      <c r="E32" s="33">
        <f t="shared" si="3"/>
        <v>226010233</v>
      </c>
      <c r="F32" s="33">
        <f t="shared" si="3"/>
        <v>34382024</v>
      </c>
      <c r="G32" s="33">
        <f t="shared" si="3"/>
        <v>7621993</v>
      </c>
      <c r="H32" s="33">
        <f t="shared" si="3"/>
        <v>74989363</v>
      </c>
      <c r="I32" s="33">
        <f t="shared" si="3"/>
        <v>9355566</v>
      </c>
      <c r="J32" s="33">
        <f t="shared" si="3"/>
        <v>24830</v>
      </c>
    </row>
    <row r="33" spans="1:10" s="114" customFormat="1">
      <c r="A33" s="496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3" t="s">
        <v>418</v>
      </c>
    </row>
    <row r="35" spans="1:10">
      <c r="D35" s="486"/>
      <c r="E35" s="486"/>
      <c r="F35" s="486"/>
      <c r="G35" s="486"/>
      <c r="H35" s="486"/>
    </row>
    <row r="36" spans="1:10">
      <c r="D36" s="486"/>
      <c r="E36" s="486"/>
      <c r="F36" s="486"/>
      <c r="G36" s="486"/>
      <c r="H36" s="486"/>
    </row>
    <row r="37" spans="1:10">
      <c r="D37" s="486"/>
      <c r="F37" s="486"/>
      <c r="G37" s="486"/>
    </row>
    <row r="38" spans="1:10">
      <c r="D38" s="486"/>
      <c r="E38" s="486"/>
      <c r="G38" s="486"/>
      <c r="H38" s="486"/>
    </row>
    <row r="39" spans="1:10">
      <c r="F39" s="486"/>
      <c r="G39" s="486"/>
      <c r="H39" s="486"/>
    </row>
    <row r="40" spans="1:10">
      <c r="F40" s="486"/>
      <c r="G40" s="486"/>
      <c r="H40" s="486"/>
    </row>
    <row r="41" spans="1:10">
      <c r="G41" s="486"/>
      <c r="H41" s="486"/>
    </row>
    <row r="42" spans="1:10">
      <c r="G42" s="486"/>
      <c r="H42" s="486"/>
    </row>
    <row r="43" spans="1:10">
      <c r="G43" s="486"/>
      <c r="H43" s="486"/>
    </row>
    <row r="44" spans="1:10">
      <c r="G44" s="486"/>
      <c r="H44" s="486"/>
    </row>
    <row r="45" spans="1:10">
      <c r="G45" s="486"/>
      <c r="H45" s="486"/>
    </row>
    <row r="46" spans="1:10">
      <c r="G46" s="486"/>
      <c r="H46" s="486"/>
    </row>
    <row r="47" spans="1:10">
      <c r="G47" s="486"/>
    </row>
    <row r="48" spans="1:10">
      <c r="G48" s="486"/>
      <c r="H48" s="486"/>
    </row>
    <row r="49" spans="7:8">
      <c r="G49" s="486"/>
    </row>
    <row r="50" spans="7:8">
      <c r="G50" s="486"/>
    </row>
    <row r="51" spans="7:8">
      <c r="G51" s="486"/>
    </row>
    <row r="52" spans="7:8">
      <c r="G52" s="486"/>
    </row>
    <row r="53" spans="7:8">
      <c r="G53" s="486"/>
    </row>
    <row r="54" spans="7:8">
      <c r="G54" s="486"/>
    </row>
    <row r="55" spans="7:8">
      <c r="G55" s="486"/>
    </row>
    <row r="56" spans="7:8">
      <c r="G56" s="486"/>
    </row>
    <row r="57" spans="7:8">
      <c r="G57" s="486"/>
    </row>
    <row r="58" spans="7:8">
      <c r="G58" s="486"/>
    </row>
    <row r="59" spans="7:8">
      <c r="G59" s="486"/>
    </row>
    <row r="60" spans="7:8">
      <c r="G60" s="486"/>
    </row>
    <row r="62" spans="7:8">
      <c r="G62" s="486"/>
      <c r="H62" s="486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6" style="5" customWidth="1"/>
    <col min="2" max="2" width="12.75" style="95" customWidth="1"/>
    <col min="3" max="3" width="14.375" style="5" customWidth="1"/>
    <col min="4" max="4" width="10.5" style="95" bestFit="1" customWidth="1"/>
    <col min="5" max="5" width="13.125" style="5" customWidth="1"/>
    <col min="6" max="6" width="8.875" style="95" customWidth="1"/>
    <col min="7" max="7" width="13.5" style="95" customWidth="1"/>
    <col min="8" max="8" width="9.125" style="5" customWidth="1"/>
    <col min="9" max="9" width="10.75" style="95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9" customFormat="1" ht="19.5">
      <c r="A1" s="178"/>
      <c r="C1" s="553" t="s">
        <v>475</v>
      </c>
    </row>
    <row r="2" spans="1:9" ht="11.25" customHeight="1"/>
    <row r="3" spans="1:9" s="7" customFormat="1" ht="15.75">
      <c r="A3" s="111" t="s">
        <v>156</v>
      </c>
      <c r="B3" s="180"/>
      <c r="C3" s="62"/>
      <c r="D3" s="181"/>
      <c r="E3" s="62"/>
      <c r="F3" s="180"/>
      <c r="G3" s="180"/>
      <c r="H3" s="62"/>
      <c r="I3" s="181"/>
    </row>
    <row r="4" spans="1:9" s="13" customFormat="1">
      <c r="A4" s="8" t="s">
        <v>464</v>
      </c>
      <c r="B4" s="8" t="s">
        <v>465</v>
      </c>
      <c r="C4" s="8" t="s">
        <v>466</v>
      </c>
      <c r="D4" s="9" t="s">
        <v>1</v>
      </c>
      <c r="E4" s="10" t="s">
        <v>467</v>
      </c>
      <c r="F4" s="11" t="s">
        <v>2</v>
      </c>
      <c r="G4" s="8" t="s">
        <v>468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11" t="s">
        <v>4</v>
      </c>
      <c r="E5" s="11" t="s">
        <v>3</v>
      </c>
      <c r="F5" s="11"/>
      <c r="G5" s="8" t="s">
        <v>116</v>
      </c>
      <c r="H5" s="8"/>
      <c r="I5" s="182" t="s">
        <v>4</v>
      </c>
    </row>
    <row r="6" spans="1:9" ht="18.600000000000001" customHeight="1">
      <c r="A6" s="171" t="s">
        <v>5</v>
      </c>
      <c r="B6" s="183"/>
      <c r="C6" s="17"/>
      <c r="D6" s="184"/>
      <c r="E6" s="17"/>
      <c r="F6" s="184"/>
      <c r="G6" s="184"/>
      <c r="H6" s="17"/>
      <c r="I6" s="185"/>
    </row>
    <row r="7" spans="1:9">
      <c r="A7" s="20" t="s">
        <v>6</v>
      </c>
      <c r="B7" s="186">
        <f>SUM(B8:B10)</f>
        <v>9</v>
      </c>
      <c r="C7" s="22">
        <f>SUM(C8:C10)</f>
        <v>8496</v>
      </c>
      <c r="D7" s="187">
        <f>IF(B7,C7/B7,0)</f>
        <v>944</v>
      </c>
      <c r="E7" s="22">
        <f>SUM(E8:E10)</f>
        <v>15</v>
      </c>
      <c r="F7" s="188">
        <f>E7/$E$68</f>
        <v>1.5874695734998414E-3</v>
      </c>
      <c r="G7" s="189">
        <f>SUM(G8:G10)</f>
        <v>4852</v>
      </c>
      <c r="H7" s="24">
        <f>G7/$G$68</f>
        <v>7.4189591102509001E-4</v>
      </c>
      <c r="I7" s="190">
        <f>IF(E7,G7/E7,0)</f>
        <v>323.46666666666664</v>
      </c>
    </row>
    <row r="8" spans="1:9">
      <c r="A8" s="26" t="s">
        <v>383</v>
      </c>
      <c r="B8" s="191">
        <v>9</v>
      </c>
      <c r="C8" s="28">
        <v>8496</v>
      </c>
      <c r="D8" s="187">
        <f t="shared" ref="D8:D67" si="0">IF(B8,C8/B8,0)</f>
        <v>944</v>
      </c>
      <c r="E8" s="28">
        <f>VLOOKUP(A8,[10]進出口值表查詢結果!$A$10:$C$25,3,0)</f>
        <v>14</v>
      </c>
      <c r="F8" s="188">
        <f>E8/$E$68</f>
        <v>1.4816382685998517E-3</v>
      </c>
      <c r="G8" s="191">
        <f>_xlfn.IFNA(VLOOKUP(A8,[3]折出同!$C$3:$H$532,4,0),-[4]整車!$B$22)</f>
        <v>4261</v>
      </c>
      <c r="H8" s="24">
        <f>G8/$G$68</f>
        <v>6.5152895236560366E-4</v>
      </c>
      <c r="I8" s="190">
        <f t="shared" ref="I8:I67" si="1">IF(E8,G8/E8,0)</f>
        <v>304.35714285714283</v>
      </c>
    </row>
    <row r="9" spans="1:9">
      <c r="A9" s="30" t="s">
        <v>7</v>
      </c>
      <c r="B9" s="191">
        <f>_xlfn.IFNA(VLOOKUP(A9,[3]折!$C$3:$F$95,4,0),-[4]整車!$B$22)</f>
        <v>0</v>
      </c>
      <c r="C9" s="28">
        <f>_xlfn.IFNA(VLOOKUP(A9,[3]折!$C$3:$F$99,3,0),-[4]整車!$B$22)</f>
        <v>0</v>
      </c>
      <c r="D9" s="187">
        <f t="shared" si="0"/>
        <v>0</v>
      </c>
      <c r="E9" s="28">
        <f>VLOOKUP(A9,[10]進出口值表查詢結果!$A$10:$C$25,3,0)</f>
        <v>1</v>
      </c>
      <c r="F9" s="188">
        <f>E9/$E$68</f>
        <v>1.0583130489998942E-4</v>
      </c>
      <c r="G9" s="191">
        <f>_xlfn.IFNA(VLOOKUP(A9,[3]折出同!$C$3:$H$532,4,0),-[4]整車!$B$22)</f>
        <v>591</v>
      </c>
      <c r="H9" s="24">
        <f>G9/$G$68</f>
        <v>9.0366958659486438E-5</v>
      </c>
      <c r="I9" s="190">
        <f t="shared" si="1"/>
        <v>591</v>
      </c>
    </row>
    <row r="10" spans="1:9">
      <c r="A10" s="30" t="s">
        <v>8</v>
      </c>
      <c r="B10" s="191">
        <f>_xlfn.IFNA(VLOOKUP(A10,[3]折!$C$3:$F$95,4,0),-[4]整車!$B$22)</f>
        <v>0</v>
      </c>
      <c r="C10" s="28">
        <f>_xlfn.IFNA(VLOOKUP(A10,[3]折!$C$3:$F$99,3,0),-[4]整車!$B$22)</f>
        <v>0</v>
      </c>
      <c r="D10" s="187">
        <f t="shared" si="0"/>
        <v>0</v>
      </c>
      <c r="E10" s="28">
        <v>0</v>
      </c>
      <c r="F10" s="188">
        <f>E10/$E$68</f>
        <v>0</v>
      </c>
      <c r="G10" s="191">
        <f>_xlfn.IFNA(VLOOKUP(A10,[3]折出同!$C$3:$H$532,4,0),-[4]整車!$B$22)</f>
        <v>0</v>
      </c>
      <c r="H10" s="24">
        <f>G10/$G$68</f>
        <v>0</v>
      </c>
      <c r="I10" s="190">
        <f t="shared" si="1"/>
        <v>0</v>
      </c>
    </row>
    <row r="11" spans="1:9">
      <c r="A11" s="31"/>
      <c r="B11" s="191"/>
      <c r="C11" s="28"/>
      <c r="D11" s="187"/>
      <c r="E11" s="27"/>
      <c r="F11" s="192"/>
      <c r="G11" s="191"/>
      <c r="H11" s="29"/>
      <c r="I11" s="190"/>
    </row>
    <row r="12" spans="1:9">
      <c r="A12" s="32" t="s">
        <v>9</v>
      </c>
      <c r="B12" s="193">
        <f>SUM(B13:B39)</f>
        <v>0</v>
      </c>
      <c r="C12" s="33">
        <f>SUM(C13:C39)</f>
        <v>0</v>
      </c>
      <c r="D12" s="187">
        <f t="shared" si="0"/>
        <v>0</v>
      </c>
      <c r="E12" s="33">
        <f>SUM(E13:E39)</f>
        <v>1694</v>
      </c>
      <c r="F12" s="188">
        <f t="shared" ref="F12:F13" si="2">E12/$E$68</f>
        <v>0.17927823050058206</v>
      </c>
      <c r="G12" s="193">
        <f>SUM(G13:G39)</f>
        <v>1053846</v>
      </c>
      <c r="H12" s="24">
        <f>G12/$G$68</f>
        <v>0.16113850747117622</v>
      </c>
      <c r="I12" s="190">
        <f t="shared" si="1"/>
        <v>622.10507674144037</v>
      </c>
    </row>
    <row r="13" spans="1:9">
      <c r="A13" s="452" t="s">
        <v>202</v>
      </c>
      <c r="B13" s="191">
        <f>_xlfn.IFNA(VLOOKUP(A13,[3]折!$C$3:$F$99,4,0),-[4]整車!$B$22)</f>
        <v>0</v>
      </c>
      <c r="C13" s="27">
        <f>_xlfn.IFNA(VLOOKUP(A13,[3]折!$C$3:$F$99,3,0),-[4]整車!$B$22)</f>
        <v>0</v>
      </c>
      <c r="D13" s="187">
        <f t="shared" si="0"/>
        <v>0</v>
      </c>
      <c r="E13" s="28">
        <f>VLOOKUP(A13,[10]進出口值表查詢結果!$A$10:$C$25,3,0)</f>
        <v>33</v>
      </c>
      <c r="F13" s="188">
        <f t="shared" si="2"/>
        <v>3.4924330616996507E-3</v>
      </c>
      <c r="G13" s="191">
        <f>_xlfn.IFNA(VLOOKUP(A13,[3]折出同!$C$3:$H$312,4,0),-[4]整車!$B$22)</f>
        <v>14379</v>
      </c>
      <c r="H13" s="24">
        <f>G13/$G$68</f>
        <v>2.1986235170300432E-3</v>
      </c>
      <c r="I13" s="190">
        <f t="shared" si="1"/>
        <v>435.72727272727275</v>
      </c>
    </row>
    <row r="14" spans="1:9">
      <c r="A14" s="452" t="s">
        <v>203</v>
      </c>
      <c r="B14" s="191">
        <f>_xlfn.IFNA(VLOOKUP(A14,[3]折!$C$3:$F$99,4,0),-[4]整車!$B$22)</f>
        <v>0</v>
      </c>
      <c r="C14" s="27">
        <f>_xlfn.IFNA(VLOOKUP(A14,[3]折!$C$3:$F$99,3,0),-[4]整車!$B$22)</f>
        <v>0</v>
      </c>
      <c r="D14" s="187">
        <f t="shared" ref="D14:D39" si="3">IF(B14,C14/B14,0)</f>
        <v>0</v>
      </c>
      <c r="E14" s="28">
        <v>0</v>
      </c>
      <c r="F14" s="188">
        <f t="shared" ref="F14:F39" si="4">E14/$E$68</f>
        <v>0</v>
      </c>
      <c r="G14" s="191">
        <f>_xlfn.IFNA(VLOOKUP(A14,[3]折出同!$C$3:$H$312,4,0),-[4]整車!$B$22)</f>
        <v>0</v>
      </c>
      <c r="H14" s="24">
        <f t="shared" ref="H14:H39" si="5">G14/$G$68</f>
        <v>0</v>
      </c>
      <c r="I14" s="190">
        <f t="shared" ref="I14:I39" si="6">IF(E14,G14/E14,0)</f>
        <v>0</v>
      </c>
    </row>
    <row r="15" spans="1:9">
      <c r="A15" s="453" t="s">
        <v>10</v>
      </c>
      <c r="B15" s="191">
        <f>_xlfn.IFNA(VLOOKUP(A15,[3]折!$C$3:$F$99,4,0),-[4]整車!$B$22)</f>
        <v>0</v>
      </c>
      <c r="C15" s="27">
        <f>_xlfn.IFNA(VLOOKUP(A15,[3]折!$C$3:$F$99,3,0),-[4]整車!$B$22)</f>
        <v>0</v>
      </c>
      <c r="D15" s="187">
        <f t="shared" si="3"/>
        <v>0</v>
      </c>
      <c r="E15" s="28">
        <f>VLOOKUP(A15,[10]進出口值表查詢結果!$A$10:$C$25,3,0)</f>
        <v>48</v>
      </c>
      <c r="F15" s="188">
        <f t="shared" si="4"/>
        <v>5.0799026351994918E-3</v>
      </c>
      <c r="G15" s="191">
        <f>_xlfn.IFNA(VLOOKUP(A15,[3]折出同!$C$3:$H$312,4,0),-[4]整車!$B$22)</f>
        <v>40131</v>
      </c>
      <c r="H15" s="24">
        <f t="shared" si="5"/>
        <v>6.1362375938474626E-3</v>
      </c>
      <c r="I15" s="190">
        <f t="shared" si="6"/>
        <v>836.0625</v>
      </c>
    </row>
    <row r="16" spans="1:9">
      <c r="A16" s="452" t="s">
        <v>204</v>
      </c>
      <c r="B16" s="191">
        <f>_xlfn.IFNA(VLOOKUP(A16,[3]折!$C$3:$F$99,4,0),-[4]整車!$B$22)</f>
        <v>0</v>
      </c>
      <c r="C16" s="27">
        <f>_xlfn.IFNA(VLOOKUP(A16,[3]折!$C$3:$F$99,3,0),-[4]整車!$B$22)</f>
        <v>0</v>
      </c>
      <c r="D16" s="187">
        <f t="shared" si="3"/>
        <v>0</v>
      </c>
      <c r="E16" s="28">
        <v>0</v>
      </c>
      <c r="F16" s="188">
        <f t="shared" si="4"/>
        <v>0</v>
      </c>
      <c r="G16" s="191">
        <f>_xlfn.IFNA(VLOOKUP(A16,[3]折出同!$C$3:$H$312,4,0),-[4]整車!$B$22)</f>
        <v>0</v>
      </c>
      <c r="H16" s="24">
        <f t="shared" si="5"/>
        <v>0</v>
      </c>
      <c r="I16" s="190">
        <f t="shared" si="6"/>
        <v>0</v>
      </c>
    </row>
    <row r="17" spans="1:9">
      <c r="A17" s="453" t="s">
        <v>11</v>
      </c>
      <c r="B17" s="191">
        <f>_xlfn.IFNA(VLOOKUP(A17,[3]折!$C$3:$F$99,4,0),-[4]整車!$B$22)</f>
        <v>0</v>
      </c>
      <c r="C17" s="27">
        <f>_xlfn.IFNA(VLOOKUP(A17,[3]折!$C$3:$F$99,3,0),-[4]整車!$B$22)</f>
        <v>0</v>
      </c>
      <c r="D17" s="187">
        <f t="shared" si="3"/>
        <v>0</v>
      </c>
      <c r="E17" s="28">
        <f>VLOOKUP(A17,[10]進出口值表查詢結果!$A$10:$C$25,3,0)</f>
        <v>113</v>
      </c>
      <c r="F17" s="188">
        <f t="shared" si="4"/>
        <v>1.1958937453698804E-2</v>
      </c>
      <c r="G17" s="191">
        <f>_xlfn.IFNA(VLOOKUP(A17,[3]折出同!$C$3:$H$312,4,0),-[4]整車!$B$22)</f>
        <v>115083</v>
      </c>
      <c r="H17" s="24">
        <f t="shared" si="5"/>
        <v>1.7596786300185581E-2</v>
      </c>
      <c r="I17" s="190">
        <f t="shared" si="6"/>
        <v>1018.4336283185841</v>
      </c>
    </row>
    <row r="18" spans="1:9">
      <c r="A18" s="453" t="s">
        <v>12</v>
      </c>
      <c r="B18" s="191">
        <f>_xlfn.IFNA(VLOOKUP(A18,[3]折!$C$3:$F$99,4,0),-[4]整車!$B$22)</f>
        <v>0</v>
      </c>
      <c r="C18" s="27">
        <f>_xlfn.IFNA(VLOOKUP(A18,[3]折!$C$3:$F$99,3,0),-[4]整車!$B$22)</f>
        <v>0</v>
      </c>
      <c r="D18" s="187">
        <f t="shared" si="3"/>
        <v>0</v>
      </c>
      <c r="E18" s="28">
        <v>0</v>
      </c>
      <c r="F18" s="188">
        <f t="shared" si="4"/>
        <v>0</v>
      </c>
      <c r="G18" s="191">
        <f>_xlfn.IFNA(VLOOKUP(A18,[3]折出同!$C$3:$H$312,4,0),-[4]整車!$B$22)</f>
        <v>0</v>
      </c>
      <c r="H18" s="24">
        <f t="shared" si="5"/>
        <v>0</v>
      </c>
      <c r="I18" s="190">
        <f t="shared" si="6"/>
        <v>0</v>
      </c>
    </row>
    <row r="19" spans="1:9">
      <c r="A19" s="452" t="s">
        <v>205</v>
      </c>
      <c r="B19" s="191">
        <f>_xlfn.IFNA(VLOOKUP(A19,[3]折!$C$3:$F$99,4,0),-[4]整車!$B$22)</f>
        <v>0</v>
      </c>
      <c r="C19" s="27">
        <f>_xlfn.IFNA(VLOOKUP(A19,[3]折!$C$3:$F$99,3,0),-[4]整車!$B$22)</f>
        <v>0</v>
      </c>
      <c r="D19" s="187">
        <f t="shared" si="3"/>
        <v>0</v>
      </c>
      <c r="E19" s="28">
        <v>0</v>
      </c>
      <c r="F19" s="188">
        <f t="shared" si="4"/>
        <v>0</v>
      </c>
      <c r="G19" s="191">
        <f>_xlfn.IFNA(VLOOKUP(A19,[3]折出同!$C$3:$H$312,4,0),-[4]整車!$B$22)</f>
        <v>0</v>
      </c>
      <c r="H19" s="24">
        <f t="shared" si="5"/>
        <v>0</v>
      </c>
      <c r="I19" s="190">
        <f t="shared" si="6"/>
        <v>0</v>
      </c>
    </row>
    <row r="20" spans="1:9">
      <c r="A20" s="453" t="s">
        <v>13</v>
      </c>
      <c r="B20" s="191">
        <f>_xlfn.IFNA(VLOOKUP(A20,[3]折!$C$3:$F$99,4,0),-[4]整車!$B$22)</f>
        <v>0</v>
      </c>
      <c r="C20" s="27">
        <f>_xlfn.IFNA(VLOOKUP(A20,[3]折!$C$3:$F$99,3,0),-[4]整車!$B$22)</f>
        <v>0</v>
      </c>
      <c r="D20" s="187">
        <f t="shared" si="3"/>
        <v>0</v>
      </c>
      <c r="E20" s="28">
        <v>0</v>
      </c>
      <c r="F20" s="188">
        <f t="shared" si="4"/>
        <v>0</v>
      </c>
      <c r="G20" s="191">
        <f>_xlfn.IFNA(VLOOKUP(A20,[3]折出同!$C$3:$H$312,4,0),-[4]整車!$B$22)</f>
        <v>0</v>
      </c>
      <c r="H20" s="24">
        <f t="shared" si="5"/>
        <v>0</v>
      </c>
      <c r="I20" s="190">
        <f t="shared" si="6"/>
        <v>0</v>
      </c>
    </row>
    <row r="21" spans="1:9">
      <c r="A21" s="452" t="s">
        <v>207</v>
      </c>
      <c r="B21" s="191">
        <f>_xlfn.IFNA(VLOOKUP(A21,[3]折!$C$3:$F$99,4,0),-[4]整車!$B$22)</f>
        <v>0</v>
      </c>
      <c r="C21" s="27">
        <f>_xlfn.IFNA(VLOOKUP(A21,[3]折!$C$3:$F$99,3,0),-[4]整車!$B$22)</f>
        <v>0</v>
      </c>
      <c r="D21" s="187">
        <f t="shared" si="3"/>
        <v>0</v>
      </c>
      <c r="E21" s="28">
        <v>0</v>
      </c>
      <c r="F21" s="188">
        <f t="shared" si="4"/>
        <v>0</v>
      </c>
      <c r="G21" s="191">
        <f>_xlfn.IFNA(VLOOKUP(A21,[3]折出同!$C$3:$H$312,4,0),-[4]整車!$B$22)</f>
        <v>0</v>
      </c>
      <c r="H21" s="24">
        <f t="shared" si="5"/>
        <v>0</v>
      </c>
      <c r="I21" s="190">
        <f t="shared" si="6"/>
        <v>0</v>
      </c>
    </row>
    <row r="22" spans="1:9">
      <c r="A22" s="453" t="s">
        <v>14</v>
      </c>
      <c r="B22" s="191">
        <f>_xlfn.IFNA(VLOOKUP(A22,[3]折!$C$3:$F$99,4,0),-[4]整車!$B$22)</f>
        <v>0</v>
      </c>
      <c r="C22" s="27">
        <f>_xlfn.IFNA(VLOOKUP(A22,[3]折!$C$3:$F$99,3,0),-[4]整車!$B$22)</f>
        <v>0</v>
      </c>
      <c r="D22" s="187">
        <f t="shared" si="3"/>
        <v>0</v>
      </c>
      <c r="E22" s="28">
        <v>0</v>
      </c>
      <c r="F22" s="188">
        <f t="shared" si="4"/>
        <v>0</v>
      </c>
      <c r="G22" s="191">
        <f>_xlfn.IFNA(VLOOKUP(A22,[3]折出同!$C$3:$H$312,4,0),-[4]整車!$B$22)</f>
        <v>0</v>
      </c>
      <c r="H22" s="24">
        <f t="shared" si="5"/>
        <v>0</v>
      </c>
      <c r="I22" s="190">
        <f t="shared" si="6"/>
        <v>0</v>
      </c>
    </row>
    <row r="23" spans="1:9">
      <c r="A23" s="453" t="s">
        <v>15</v>
      </c>
      <c r="B23" s="191">
        <f>_xlfn.IFNA(VLOOKUP(A23,[3]折!$C$3:$F$99,4,0),-[4]整車!$B$22)</f>
        <v>0</v>
      </c>
      <c r="C23" s="27">
        <f>_xlfn.IFNA(VLOOKUP(A23,[3]折!$C$3:$F$99,3,0),-[4]整車!$B$22)</f>
        <v>0</v>
      </c>
      <c r="D23" s="187">
        <f t="shared" si="3"/>
        <v>0</v>
      </c>
      <c r="E23" s="28">
        <v>0</v>
      </c>
      <c r="F23" s="188">
        <f t="shared" si="4"/>
        <v>0</v>
      </c>
      <c r="G23" s="191">
        <f>_xlfn.IFNA(VLOOKUP(A23,[3]折出同!$C$3:$H$312,4,0),-[4]整車!$B$22)</f>
        <v>0</v>
      </c>
      <c r="H23" s="24">
        <f t="shared" si="5"/>
        <v>0</v>
      </c>
      <c r="I23" s="190">
        <f t="shared" si="6"/>
        <v>0</v>
      </c>
    </row>
    <row r="24" spans="1:9">
      <c r="A24" s="453" t="s">
        <v>16</v>
      </c>
      <c r="B24" s="191">
        <f>_xlfn.IFNA(VLOOKUP(A24,[3]折!$C$3:$F$99,4,0),-[4]整車!$B$22)</f>
        <v>0</v>
      </c>
      <c r="C24" s="27">
        <f>_xlfn.IFNA(VLOOKUP(A24,[3]折!$C$3:$F$99,3,0),-[4]整車!$B$22)</f>
        <v>0</v>
      </c>
      <c r="D24" s="187">
        <f t="shared" si="3"/>
        <v>0</v>
      </c>
      <c r="E24" s="28">
        <f>VLOOKUP(A24,[10]進出口值表查詢結果!$A$10:$C$25,3,0)</f>
        <v>1500</v>
      </c>
      <c r="F24" s="188">
        <f t="shared" si="4"/>
        <v>0.15874695734998412</v>
      </c>
      <c r="G24" s="191">
        <f>_xlfn.IFNA(VLOOKUP(A24,[3]折出同!$C$3:$H$312,4,0),-[4]整車!$B$22)</f>
        <v>884253</v>
      </c>
      <c r="H24" s="24">
        <f t="shared" si="5"/>
        <v>0.13520686006011315</v>
      </c>
      <c r="I24" s="190">
        <f t="shared" si="6"/>
        <v>589.50199999999995</v>
      </c>
    </row>
    <row r="25" spans="1:9">
      <c r="A25" s="452" t="s">
        <v>208</v>
      </c>
      <c r="B25" s="191">
        <f>_xlfn.IFNA(VLOOKUP(A25,[3]折!$C$3:$F$99,4,0),-[4]整車!$B$22)</f>
        <v>0</v>
      </c>
      <c r="C25" s="27">
        <f>_xlfn.IFNA(VLOOKUP(A25,[3]折!$C$3:$F$99,3,0),-[4]整車!$B$22)</f>
        <v>0</v>
      </c>
      <c r="D25" s="187">
        <f t="shared" si="3"/>
        <v>0</v>
      </c>
      <c r="E25" s="28">
        <v>0</v>
      </c>
      <c r="F25" s="188">
        <f t="shared" si="4"/>
        <v>0</v>
      </c>
      <c r="G25" s="191">
        <f>_xlfn.IFNA(VLOOKUP(A25,[3]折出同!$C$3:$H$312,4,0),-[4]整車!$B$22)</f>
        <v>0</v>
      </c>
      <c r="H25" s="24">
        <f t="shared" si="5"/>
        <v>0</v>
      </c>
      <c r="I25" s="190">
        <f t="shared" si="6"/>
        <v>0</v>
      </c>
    </row>
    <row r="26" spans="1:9">
      <c r="A26" s="452" t="s">
        <v>209</v>
      </c>
      <c r="B26" s="191">
        <f>_xlfn.IFNA(VLOOKUP(A26,[3]折!$C$3:$F$99,4,0),-[4]整車!$B$22)</f>
        <v>0</v>
      </c>
      <c r="C26" s="27">
        <f>_xlfn.IFNA(VLOOKUP(A26,[3]折!$C$3:$F$99,3,0),-[4]整車!$B$22)</f>
        <v>0</v>
      </c>
      <c r="D26" s="187">
        <f t="shared" si="3"/>
        <v>0</v>
      </c>
      <c r="E26" s="28">
        <v>0</v>
      </c>
      <c r="F26" s="188">
        <f t="shared" si="4"/>
        <v>0</v>
      </c>
      <c r="G26" s="191">
        <f>_xlfn.IFNA(VLOOKUP(A26,[3]折出同!$C$3:$H$312,4,0),-[4]整車!$B$22)</f>
        <v>0</v>
      </c>
      <c r="H26" s="24">
        <f t="shared" si="5"/>
        <v>0</v>
      </c>
      <c r="I26" s="190">
        <f t="shared" si="6"/>
        <v>0</v>
      </c>
    </row>
    <row r="27" spans="1:9">
      <c r="A27" s="291" t="s">
        <v>210</v>
      </c>
      <c r="B27" s="191">
        <f>_xlfn.IFNA(VLOOKUP(A27,[3]折!$C$3:$F$99,4,0),-[4]整車!$B$22)</f>
        <v>0</v>
      </c>
      <c r="C27" s="27">
        <f>_xlfn.IFNA(VLOOKUP(A27,[3]折!$C$3:$F$99,3,0),-[4]整車!$B$22)</f>
        <v>0</v>
      </c>
      <c r="D27" s="187">
        <f t="shared" si="3"/>
        <v>0</v>
      </c>
      <c r="E27" s="28">
        <v>0</v>
      </c>
      <c r="F27" s="188">
        <f t="shared" si="4"/>
        <v>0</v>
      </c>
      <c r="G27" s="191">
        <f>_xlfn.IFNA(VLOOKUP(A27,[3]折出同!$C$3:$H$312,4,0),-[4]整車!$B$22)</f>
        <v>0</v>
      </c>
      <c r="H27" s="24">
        <f t="shared" si="5"/>
        <v>0</v>
      </c>
      <c r="I27" s="190">
        <f t="shared" si="6"/>
        <v>0</v>
      </c>
    </row>
    <row r="28" spans="1:9">
      <c r="A28" s="291" t="s">
        <v>211</v>
      </c>
      <c r="B28" s="191">
        <f>_xlfn.IFNA(VLOOKUP(A28,[3]折!$C$3:$F$99,4,0),-[4]整車!$B$22)</f>
        <v>0</v>
      </c>
      <c r="C28" s="27">
        <f>_xlfn.IFNA(VLOOKUP(A28,[3]折!$C$3:$F$99,3,0),-[4]整車!$B$22)</f>
        <v>0</v>
      </c>
      <c r="D28" s="187">
        <f t="shared" si="3"/>
        <v>0</v>
      </c>
      <c r="E28" s="28">
        <v>0</v>
      </c>
      <c r="F28" s="188">
        <f t="shared" si="4"/>
        <v>0</v>
      </c>
      <c r="G28" s="191">
        <f>_xlfn.IFNA(VLOOKUP(A28,[3]折出同!$C$3:$H$312,4,0),-[4]整車!$B$22)</f>
        <v>0</v>
      </c>
      <c r="H28" s="24">
        <f t="shared" si="5"/>
        <v>0</v>
      </c>
      <c r="I28" s="190">
        <f t="shared" si="6"/>
        <v>0</v>
      </c>
    </row>
    <row r="29" spans="1:9">
      <c r="A29" s="453" t="s">
        <v>212</v>
      </c>
      <c r="B29" s="191">
        <f>_xlfn.IFNA(VLOOKUP(A29,[3]折!$C$3:$F$99,4,0),-[4]整車!$B$22)</f>
        <v>0</v>
      </c>
      <c r="C29" s="27">
        <f>_xlfn.IFNA(VLOOKUP(A29,[3]折!$C$3:$F$99,3,0),-[4]整車!$B$22)</f>
        <v>0</v>
      </c>
      <c r="D29" s="187">
        <f t="shared" si="3"/>
        <v>0</v>
      </c>
      <c r="E29" s="28">
        <v>0</v>
      </c>
      <c r="F29" s="188">
        <f t="shared" si="4"/>
        <v>0</v>
      </c>
      <c r="G29" s="191">
        <f>_xlfn.IFNA(VLOOKUP(A29,[3]折出同!$C$3:$H$312,4,0),-[4]整車!$B$22)</f>
        <v>0</v>
      </c>
      <c r="H29" s="24">
        <f t="shared" si="5"/>
        <v>0</v>
      </c>
      <c r="I29" s="190">
        <f t="shared" si="6"/>
        <v>0</v>
      </c>
    </row>
    <row r="30" spans="1:9">
      <c r="A30" s="453" t="s">
        <v>213</v>
      </c>
      <c r="B30" s="191">
        <f>_xlfn.IFNA(VLOOKUP(A30,[3]折!$C$3:$F$99,4,0),-[4]整車!$B$22)</f>
        <v>0</v>
      </c>
      <c r="C30" s="27">
        <f>_xlfn.IFNA(VLOOKUP(A30,[3]折!$C$3:$F$99,3,0),-[4]整車!$B$22)</f>
        <v>0</v>
      </c>
      <c r="D30" s="187">
        <f t="shared" si="3"/>
        <v>0</v>
      </c>
      <c r="E30" s="28">
        <v>0</v>
      </c>
      <c r="F30" s="188">
        <f t="shared" si="4"/>
        <v>0</v>
      </c>
      <c r="G30" s="191">
        <f>_xlfn.IFNA(VLOOKUP(A30,[3]折出同!$C$3:$H$312,4,0),-[4]整車!$B$22)</f>
        <v>0</v>
      </c>
      <c r="H30" s="24">
        <f t="shared" si="5"/>
        <v>0</v>
      </c>
      <c r="I30" s="190">
        <f t="shared" si="6"/>
        <v>0</v>
      </c>
    </row>
    <row r="31" spans="1:9">
      <c r="A31" s="453" t="s">
        <v>17</v>
      </c>
      <c r="B31" s="191">
        <f>_xlfn.IFNA(VLOOKUP(A31,[3]折!$C$3:$F$99,4,0),-[4]整車!$B$22)</f>
        <v>0</v>
      </c>
      <c r="C31" s="27">
        <f>_xlfn.IFNA(VLOOKUP(A31,[3]折!$C$3:$F$99,3,0),-[4]整車!$B$22)</f>
        <v>0</v>
      </c>
      <c r="D31" s="187">
        <f t="shared" si="3"/>
        <v>0</v>
      </c>
      <c r="E31" s="28">
        <v>0</v>
      </c>
      <c r="F31" s="188">
        <f t="shared" si="4"/>
        <v>0</v>
      </c>
      <c r="G31" s="191">
        <f>_xlfn.IFNA(VLOOKUP(A31,[3]折出同!$C$3:$H$312,4,0),-[4]整車!$B$22)</f>
        <v>0</v>
      </c>
      <c r="H31" s="24">
        <f t="shared" si="5"/>
        <v>0</v>
      </c>
      <c r="I31" s="190">
        <f t="shared" si="6"/>
        <v>0</v>
      </c>
    </row>
    <row r="32" spans="1:9">
      <c r="A32" s="453" t="s">
        <v>18</v>
      </c>
      <c r="B32" s="191">
        <f>_xlfn.IFNA(VLOOKUP(A32,[3]折!$C$3:$F$99,4,0),-[4]整車!$B$22)</f>
        <v>0</v>
      </c>
      <c r="C32" s="27">
        <f>_xlfn.IFNA(VLOOKUP(A32,[3]折!$C$3:$F$99,3,0),-[4]整車!$B$22)</f>
        <v>0</v>
      </c>
      <c r="D32" s="187">
        <f t="shared" si="3"/>
        <v>0</v>
      </c>
      <c r="E32" s="28">
        <v>0</v>
      </c>
      <c r="F32" s="188">
        <f t="shared" si="4"/>
        <v>0</v>
      </c>
      <c r="G32" s="191">
        <f>_xlfn.IFNA(VLOOKUP(A32,[3]折出同!$C$3:$H$312,4,0),-[4]整車!$B$22)</f>
        <v>0</v>
      </c>
      <c r="H32" s="24">
        <f t="shared" si="5"/>
        <v>0</v>
      </c>
      <c r="I32" s="190">
        <f t="shared" si="6"/>
        <v>0</v>
      </c>
    </row>
    <row r="33" spans="1:9">
      <c r="A33" s="453" t="s">
        <v>214</v>
      </c>
      <c r="B33" s="191">
        <f>_xlfn.IFNA(VLOOKUP(A33,[3]折!$C$3:$F$99,4,0),-[4]整車!$B$22)</f>
        <v>0</v>
      </c>
      <c r="C33" s="27">
        <f>_xlfn.IFNA(VLOOKUP(A33,[3]折!$C$3:$F$99,3,0),-[4]整車!$B$22)</f>
        <v>0</v>
      </c>
      <c r="D33" s="187">
        <f t="shared" si="3"/>
        <v>0</v>
      </c>
      <c r="E33" s="28">
        <v>0</v>
      </c>
      <c r="F33" s="188">
        <f t="shared" si="4"/>
        <v>0</v>
      </c>
      <c r="G33" s="191">
        <f>_xlfn.IFNA(VLOOKUP(A33,[3]折出同!$C$3:$H$312,4,0),-[4]整車!$B$22)</f>
        <v>0</v>
      </c>
      <c r="H33" s="24">
        <f t="shared" si="5"/>
        <v>0</v>
      </c>
      <c r="I33" s="190">
        <f t="shared" si="6"/>
        <v>0</v>
      </c>
    </row>
    <row r="34" spans="1:9">
      <c r="A34" s="453" t="s">
        <v>215</v>
      </c>
      <c r="B34" s="191">
        <f>_xlfn.IFNA(VLOOKUP(A34,[3]折!$C$3:$F$99,4,0),-[4]整車!$B$22)</f>
        <v>0</v>
      </c>
      <c r="C34" s="27">
        <f>_xlfn.IFNA(VLOOKUP(A34,[3]折!$C$3:$F$99,3,0),-[4]整車!$B$22)</f>
        <v>0</v>
      </c>
      <c r="D34" s="187">
        <f t="shared" si="3"/>
        <v>0</v>
      </c>
      <c r="E34" s="28">
        <v>0</v>
      </c>
      <c r="F34" s="188">
        <f t="shared" si="4"/>
        <v>0</v>
      </c>
      <c r="G34" s="191">
        <f>_xlfn.IFNA(VLOOKUP(A34,[3]折出同!$C$3:$H$312,4,0),-[4]整車!$B$22)</f>
        <v>0</v>
      </c>
      <c r="H34" s="24">
        <f t="shared" si="5"/>
        <v>0</v>
      </c>
      <c r="I34" s="190">
        <f t="shared" si="6"/>
        <v>0</v>
      </c>
    </row>
    <row r="35" spans="1:9">
      <c r="A35" s="453" t="s">
        <v>216</v>
      </c>
      <c r="B35" s="191">
        <f>_xlfn.IFNA(VLOOKUP(A35,[3]折!$C$3:$F$99,4,0),-[4]整車!$B$22)</f>
        <v>0</v>
      </c>
      <c r="C35" s="27">
        <f>_xlfn.IFNA(VLOOKUP(A35,[3]折!$C$3:$F$99,3,0),-[4]整車!$B$22)</f>
        <v>0</v>
      </c>
      <c r="D35" s="187">
        <f t="shared" si="3"/>
        <v>0</v>
      </c>
      <c r="E35" s="28">
        <v>0</v>
      </c>
      <c r="F35" s="188">
        <f t="shared" si="4"/>
        <v>0</v>
      </c>
      <c r="G35" s="191">
        <f>_xlfn.IFNA(VLOOKUP(A35,[3]折出同!$C$3:$H$312,4,0),-[4]整車!$B$22)</f>
        <v>0</v>
      </c>
      <c r="H35" s="24">
        <f t="shared" si="5"/>
        <v>0</v>
      </c>
      <c r="I35" s="190">
        <f t="shared" si="6"/>
        <v>0</v>
      </c>
    </row>
    <row r="36" spans="1:9">
      <c r="A36" s="453" t="s">
        <v>384</v>
      </c>
      <c r="B36" s="191">
        <f>_xlfn.IFNA(VLOOKUP(A36,[3]折!$C$3:$F$99,4,0),-[4]整車!$B$22)</f>
        <v>0</v>
      </c>
      <c r="C36" s="27">
        <f>_xlfn.IFNA(VLOOKUP(A36,[3]折!$C$3:$F$99,3,0),-[4]整車!$B$22)</f>
        <v>0</v>
      </c>
      <c r="D36" s="187">
        <f t="shared" si="3"/>
        <v>0</v>
      </c>
      <c r="E36" s="28">
        <v>0</v>
      </c>
      <c r="F36" s="188">
        <f t="shared" si="4"/>
        <v>0</v>
      </c>
      <c r="G36" s="191">
        <f>_xlfn.IFNA(VLOOKUP(A36,[3]折出同!$C$3:$H$312,4,0),-[4]整車!$B$22)</f>
        <v>0</v>
      </c>
      <c r="H36" s="24">
        <f t="shared" si="5"/>
        <v>0</v>
      </c>
      <c r="I36" s="190">
        <f t="shared" si="6"/>
        <v>0</v>
      </c>
    </row>
    <row r="37" spans="1:9">
      <c r="A37" s="453" t="s">
        <v>218</v>
      </c>
      <c r="B37" s="191">
        <f>_xlfn.IFNA(VLOOKUP(A37,[3]折!$C$3:$F$99,4,0),-[4]整車!$B$22)</f>
        <v>0</v>
      </c>
      <c r="C37" s="27">
        <f>_xlfn.IFNA(VLOOKUP(A37,[3]折!$C$3:$F$99,3,0),-[4]整車!$B$22)</f>
        <v>0</v>
      </c>
      <c r="D37" s="187">
        <f t="shared" si="3"/>
        <v>0</v>
      </c>
      <c r="E37" s="28">
        <v>0</v>
      </c>
      <c r="F37" s="188">
        <f t="shared" si="4"/>
        <v>0</v>
      </c>
      <c r="G37" s="191">
        <f>_xlfn.IFNA(VLOOKUP(A37,[3]折出同!$C$3:$H$312,4,0),-[4]整車!$B$22)</f>
        <v>0</v>
      </c>
      <c r="H37" s="24">
        <f t="shared" si="5"/>
        <v>0</v>
      </c>
      <c r="I37" s="190">
        <f t="shared" si="6"/>
        <v>0</v>
      </c>
    </row>
    <row r="38" spans="1:9">
      <c r="A38" s="453" t="s">
        <v>219</v>
      </c>
      <c r="B38" s="191">
        <f>_xlfn.IFNA(VLOOKUP(A38,[3]折!$C$3:$F$99,4,0),-[4]整車!$B$22)</f>
        <v>0</v>
      </c>
      <c r="C38" s="27">
        <f>_xlfn.IFNA(VLOOKUP(A38,[3]折!$C$3:$F$99,3,0),-[4]整車!$B$22)</f>
        <v>0</v>
      </c>
      <c r="D38" s="187">
        <f t="shared" si="3"/>
        <v>0</v>
      </c>
      <c r="E38" s="28">
        <v>0</v>
      </c>
      <c r="F38" s="188">
        <f t="shared" si="4"/>
        <v>0</v>
      </c>
      <c r="G38" s="191">
        <f>_xlfn.IFNA(VLOOKUP(A38,[3]折出同!$C$3:$H$312,4,0),-[4]整車!$B$22)</f>
        <v>0</v>
      </c>
      <c r="H38" s="24">
        <f t="shared" si="5"/>
        <v>0</v>
      </c>
      <c r="I38" s="190">
        <f t="shared" si="6"/>
        <v>0</v>
      </c>
    </row>
    <row r="39" spans="1:9">
      <c r="A39" s="453" t="s">
        <v>19</v>
      </c>
      <c r="B39" s="191">
        <f>_xlfn.IFNA(VLOOKUP(A39,[3]折!$C$3:$F$99,4,0),-[4]整車!$B$22)</f>
        <v>0</v>
      </c>
      <c r="C39" s="27">
        <f>_xlfn.IFNA(VLOOKUP(A39,[3]折!$C$3:$F$99,3,0),-[4]整車!$B$22)</f>
        <v>0</v>
      </c>
      <c r="D39" s="187">
        <f t="shared" si="3"/>
        <v>0</v>
      </c>
      <c r="E39" s="28">
        <v>0</v>
      </c>
      <c r="F39" s="188">
        <f t="shared" si="4"/>
        <v>0</v>
      </c>
      <c r="G39" s="191">
        <f>_xlfn.IFNA(VLOOKUP(A39,[3]折出同!$C$3:$H$312,4,0),-[4]整車!$B$22)</f>
        <v>0</v>
      </c>
      <c r="H39" s="24">
        <f t="shared" si="5"/>
        <v>0</v>
      </c>
      <c r="I39" s="190">
        <f t="shared" si="6"/>
        <v>0</v>
      </c>
    </row>
    <row r="40" spans="1:9">
      <c r="A40" s="30"/>
      <c r="B40" s="191"/>
      <c r="C40" s="27"/>
      <c r="D40" s="187"/>
      <c r="E40" s="27"/>
      <c r="F40" s="192"/>
      <c r="G40" s="191"/>
      <c r="H40" s="24"/>
      <c r="I40" s="190"/>
    </row>
    <row r="41" spans="1:9" ht="15.6" customHeight="1">
      <c r="A41" s="36" t="s">
        <v>20</v>
      </c>
      <c r="B41" s="193">
        <f>SUM(B42:B45)</f>
        <v>0</v>
      </c>
      <c r="C41" s="33">
        <f>SUM(C42:C45)</f>
        <v>0</v>
      </c>
      <c r="D41" s="187">
        <f t="shared" si="0"/>
        <v>0</v>
      </c>
      <c r="E41" s="33">
        <f>SUM(E42:E45)</f>
        <v>0</v>
      </c>
      <c r="F41" s="188">
        <f>E41/$E$68</f>
        <v>0</v>
      </c>
      <c r="G41" s="193">
        <f>SUM(G42:G45)</f>
        <v>0</v>
      </c>
      <c r="H41" s="24">
        <f t="shared" ref="H41:H42" si="7">G41/$G$68</f>
        <v>0</v>
      </c>
      <c r="I41" s="190">
        <f t="shared" si="1"/>
        <v>0</v>
      </c>
    </row>
    <row r="42" spans="1:9">
      <c r="A42" s="452" t="s">
        <v>220</v>
      </c>
      <c r="B42" s="191">
        <f>_xlfn.IFNA(VLOOKUP(A42,[3]折!$C$3:$F$99,4,0),-[4]整車!$B$22)</f>
        <v>0</v>
      </c>
      <c r="C42" s="27">
        <f>_xlfn.IFNA(VLOOKUP(A42,[3]折!$C$3:$F$99,3,0),-[4]整車!$B$22)</f>
        <v>0</v>
      </c>
      <c r="D42" s="187">
        <f t="shared" si="0"/>
        <v>0</v>
      </c>
      <c r="E42" s="28">
        <v>0</v>
      </c>
      <c r="F42" s="188">
        <f>E42/$E$68</f>
        <v>0</v>
      </c>
      <c r="G42" s="191">
        <f>_xlfn.IFNA(VLOOKUP(A42,[3]折出同!$C$3:$H$32,4,0),-[4]整車!$B$22)</f>
        <v>0</v>
      </c>
      <c r="H42" s="24">
        <f t="shared" si="7"/>
        <v>0</v>
      </c>
      <c r="I42" s="190">
        <f t="shared" si="1"/>
        <v>0</v>
      </c>
    </row>
    <row r="43" spans="1:9">
      <c r="A43" s="452" t="s">
        <v>221</v>
      </c>
      <c r="B43" s="191">
        <f>_xlfn.IFNA(VLOOKUP(A43,[3]折!$C$3:$F$99,4,0),-[4]整車!$B$22)</f>
        <v>0</v>
      </c>
      <c r="C43" s="27">
        <f>_xlfn.IFNA(VLOOKUP(A43,[3]折!$C$3:$F$99,3,0),-[4]整車!$B$22)</f>
        <v>0</v>
      </c>
      <c r="D43" s="187">
        <f t="shared" ref="D43:D45" si="8">IF(B43,C43/B43,0)</f>
        <v>0</v>
      </c>
      <c r="E43" s="28">
        <v>0</v>
      </c>
      <c r="F43" s="188">
        <f t="shared" ref="F43:F45" si="9">E43/$E$68</f>
        <v>0</v>
      </c>
      <c r="G43" s="191">
        <f>_xlfn.IFNA(VLOOKUP(A43,[3]折出同!$C$3:$H$32,4,0),-[4]整車!$B$22)</f>
        <v>0</v>
      </c>
      <c r="H43" s="24">
        <f t="shared" ref="H43:H45" si="10">G43/$G$68</f>
        <v>0</v>
      </c>
      <c r="I43" s="190">
        <f t="shared" ref="I43:I45" si="11">IF(E43,G43/E43,0)</f>
        <v>0</v>
      </c>
    </row>
    <row r="44" spans="1:9">
      <c r="A44" s="452" t="s">
        <v>222</v>
      </c>
      <c r="B44" s="191">
        <f>_xlfn.IFNA(VLOOKUP(A44,[3]折!$C$3:$F$99,4,0),-[4]整車!$B$22)</f>
        <v>0</v>
      </c>
      <c r="C44" s="27">
        <f>_xlfn.IFNA(VLOOKUP(A44,[3]折!$C$3:$F$99,3,0),-[4]整車!$B$22)</f>
        <v>0</v>
      </c>
      <c r="D44" s="187">
        <f t="shared" si="8"/>
        <v>0</v>
      </c>
      <c r="E44" s="28">
        <v>0</v>
      </c>
      <c r="F44" s="188">
        <f t="shared" si="9"/>
        <v>0</v>
      </c>
      <c r="G44" s="191">
        <f>_xlfn.IFNA(VLOOKUP(A44,[3]折出同!$C$3:$H$32,4,0),-[4]整車!$B$22)</f>
        <v>0</v>
      </c>
      <c r="H44" s="24">
        <f t="shared" si="10"/>
        <v>0</v>
      </c>
      <c r="I44" s="190">
        <f t="shared" si="11"/>
        <v>0</v>
      </c>
    </row>
    <row r="45" spans="1:9">
      <c r="A45" s="30" t="s">
        <v>21</v>
      </c>
      <c r="B45" s="191">
        <f>_xlfn.IFNA(VLOOKUP(A45,[3]折!$C$3:$F$99,4,0),-[4]整車!$B$22)</f>
        <v>0</v>
      </c>
      <c r="C45" s="27">
        <f>_xlfn.IFNA(VLOOKUP(A45,[3]折!$C$3:$F$99,3,0),-[4]整車!$B$22)</f>
        <v>0</v>
      </c>
      <c r="D45" s="187">
        <f t="shared" si="8"/>
        <v>0</v>
      </c>
      <c r="E45" s="28">
        <v>0</v>
      </c>
      <c r="F45" s="188">
        <f t="shared" si="9"/>
        <v>0</v>
      </c>
      <c r="G45" s="191">
        <f>_xlfn.IFNA(VLOOKUP(A45,[3]折出同!$C$3:$H$32,4,0),-[4]整車!$B$22)</f>
        <v>0</v>
      </c>
      <c r="H45" s="24">
        <f t="shared" si="10"/>
        <v>0</v>
      </c>
      <c r="I45" s="190">
        <f t="shared" si="11"/>
        <v>0</v>
      </c>
    </row>
    <row r="46" spans="1:9" ht="16.899999999999999" customHeight="1">
      <c r="A46" s="30"/>
      <c r="B46" s="191"/>
      <c r="C46" s="27"/>
      <c r="D46" s="187"/>
      <c r="E46" s="27"/>
      <c r="F46" s="192"/>
      <c r="G46" s="191"/>
      <c r="H46" s="24"/>
      <c r="I46" s="190"/>
    </row>
    <row r="47" spans="1:9">
      <c r="A47" s="36" t="s">
        <v>22</v>
      </c>
      <c r="B47" s="193">
        <f>SUM(B48:B66)</f>
        <v>66</v>
      </c>
      <c r="C47" s="33">
        <f>SUM(C48:C66)</f>
        <v>60279</v>
      </c>
      <c r="D47" s="187">
        <f t="shared" si="0"/>
        <v>913.31818181818187</v>
      </c>
      <c r="E47" s="33">
        <f>SUM(E48:E66)</f>
        <v>7731</v>
      </c>
      <c r="F47" s="188">
        <f>E47/$E$68</f>
        <v>0.81818181818181823</v>
      </c>
      <c r="G47" s="193">
        <f>SUM(G48:G66)</f>
        <v>5477517</v>
      </c>
      <c r="H47" s="24">
        <f>G47/$G$68</f>
        <v>0.8375406976237465</v>
      </c>
      <c r="I47" s="190">
        <f t="shared" si="1"/>
        <v>708.51338766006984</v>
      </c>
    </row>
    <row r="48" spans="1:9">
      <c r="A48" s="484" t="s">
        <v>163</v>
      </c>
      <c r="B48" s="191">
        <f>_xlfn.IFNA(VLOOKUP(A48,[3]折!$C$3:$F$99,4,0),-[4]整車!$B$22)</f>
        <v>0</v>
      </c>
      <c r="C48" s="27">
        <f>_xlfn.IFNA(VLOOKUP(A48,[3]折!$C$3:$F$99,3,0),-[4]整車!$B$22)</f>
        <v>0</v>
      </c>
      <c r="D48" s="187">
        <f t="shared" si="0"/>
        <v>0</v>
      </c>
      <c r="E48" s="28">
        <v>0</v>
      </c>
      <c r="F48" s="188">
        <f t="shared" ref="F48" si="12">E48/$E$68</f>
        <v>0</v>
      </c>
      <c r="G48" s="191">
        <f>_xlfn.IFNA(VLOOKUP(A48,[3]折出同!$C$3:$H$362,4,0),-[4]整車!$B$22)</f>
        <v>0</v>
      </c>
      <c r="H48" s="24">
        <f>G48/$G$68</f>
        <v>0</v>
      </c>
      <c r="I48" s="190">
        <f t="shared" si="1"/>
        <v>0</v>
      </c>
    </row>
    <row r="49" spans="1:10">
      <c r="A49" s="452" t="s">
        <v>223</v>
      </c>
      <c r="B49" s="191">
        <v>36</v>
      </c>
      <c r="C49" s="27">
        <v>31721</v>
      </c>
      <c r="D49" s="187">
        <f t="shared" ref="D49:D66" si="13">IF(B49,C49/B49,0)</f>
        <v>881.13888888888891</v>
      </c>
      <c r="E49" s="28">
        <f>VLOOKUP(A49,[10]進出口值表查詢結果!$A$10:$C$25,3,0)</f>
        <v>1232</v>
      </c>
      <c r="F49" s="188">
        <f t="shared" ref="F49:F66" si="14">E49/$E$68</f>
        <v>0.13038416763678695</v>
      </c>
      <c r="G49" s="191">
        <f>_xlfn.IFNA(VLOOKUP(A49,[3]折出同!$C$3:$H$362,4,0),-[4]整車!$B$22)</f>
        <v>942176</v>
      </c>
      <c r="H49" s="24">
        <f t="shared" ref="H49:H66" si="15">G49/$G$68</f>
        <v>0.14406358653461979</v>
      </c>
      <c r="I49" s="190">
        <f t="shared" ref="I49:I66" si="16">IF(E49,G49/E49,0)</f>
        <v>764.7532467532468</v>
      </c>
    </row>
    <row r="50" spans="1:10">
      <c r="A50" s="288" t="s">
        <v>224</v>
      </c>
      <c r="B50" s="191">
        <f>_xlfn.IFNA(VLOOKUP(A50,[3]折!$C$3:$F$99,4,0),-[4]整車!$B$22)</f>
        <v>0</v>
      </c>
      <c r="C50" s="27">
        <f>_xlfn.IFNA(VLOOKUP(A50,[3]折!$C$3:$F$99,3,0),-[4]整車!$B$22)</f>
        <v>0</v>
      </c>
      <c r="D50" s="187">
        <f t="shared" si="13"/>
        <v>0</v>
      </c>
      <c r="E50" s="28">
        <v>0</v>
      </c>
      <c r="F50" s="188">
        <f t="shared" si="14"/>
        <v>0</v>
      </c>
      <c r="G50" s="191">
        <f>_xlfn.IFNA(VLOOKUP(A50,[3]折出同!$C$3:$H$362,4,0),-[4]整車!$B$22)</f>
        <v>0</v>
      </c>
      <c r="H50" s="24">
        <f t="shared" si="15"/>
        <v>0</v>
      </c>
      <c r="I50" s="190">
        <f t="shared" si="16"/>
        <v>0</v>
      </c>
      <c r="J50" s="485"/>
    </row>
    <row r="51" spans="1:10">
      <c r="A51" s="452" t="s">
        <v>225</v>
      </c>
      <c r="B51" s="191">
        <f>_xlfn.IFNA(VLOOKUP(A51,[3]折!$C$3:$F$99,4,0),-[4]整車!$B$22)</f>
        <v>0</v>
      </c>
      <c r="C51" s="27">
        <f>_xlfn.IFNA(VLOOKUP(A51,[3]折!$C$3:$F$99,3,0),-[4]整車!$B$22)</f>
        <v>0</v>
      </c>
      <c r="D51" s="187">
        <f t="shared" si="13"/>
        <v>0</v>
      </c>
      <c r="E51" s="28">
        <v>0</v>
      </c>
      <c r="F51" s="188">
        <f t="shared" si="14"/>
        <v>0</v>
      </c>
      <c r="G51" s="191">
        <f>_xlfn.IFNA(VLOOKUP(A51,[3]折出同!$C$3:$H$362,4,0),-[4]整車!$B$22)</f>
        <v>0</v>
      </c>
      <c r="H51" s="24">
        <f t="shared" si="15"/>
        <v>0</v>
      </c>
      <c r="I51" s="190">
        <f t="shared" si="16"/>
        <v>0</v>
      </c>
    </row>
    <row r="52" spans="1:10">
      <c r="A52" s="453" t="s">
        <v>23</v>
      </c>
      <c r="B52" s="191">
        <f>_xlfn.IFNA(VLOOKUP(A52,[3]折!$C$3:$F$99,4,0),-[4]整車!$B$22)</f>
        <v>0</v>
      </c>
      <c r="C52" s="27">
        <f>_xlfn.IFNA(VLOOKUP(A52,[3]折!$C$3:$F$99,3,0),-[4]整車!$B$22)</f>
        <v>0</v>
      </c>
      <c r="D52" s="187">
        <f t="shared" si="13"/>
        <v>0</v>
      </c>
      <c r="E52" s="28">
        <v>0</v>
      </c>
      <c r="F52" s="188">
        <f t="shared" si="14"/>
        <v>0</v>
      </c>
      <c r="G52" s="191">
        <f>_xlfn.IFNA(VLOOKUP(A52,[3]折出同!$C$3:$H$362,4,0),-[4]整車!$B$22)</f>
        <v>0</v>
      </c>
      <c r="H52" s="24">
        <f t="shared" si="15"/>
        <v>0</v>
      </c>
      <c r="I52" s="190">
        <f t="shared" si="16"/>
        <v>0</v>
      </c>
    </row>
    <row r="53" spans="1:10">
      <c r="A53" s="452" t="s">
        <v>226</v>
      </c>
      <c r="B53" s="191">
        <f>_xlfn.IFNA(VLOOKUP(A53,[3]折!$C$3:$F$99,4,0),-[4]整車!$B$22)</f>
        <v>0</v>
      </c>
      <c r="C53" s="27">
        <f>_xlfn.IFNA(VLOOKUP(A53,[3]折!$C$3:$F$99,3,0),-[4]整車!$B$22)</f>
        <v>0</v>
      </c>
      <c r="D53" s="187">
        <f t="shared" si="13"/>
        <v>0</v>
      </c>
      <c r="E53" s="28">
        <v>0</v>
      </c>
      <c r="F53" s="188">
        <f t="shared" si="14"/>
        <v>0</v>
      </c>
      <c r="G53" s="191">
        <f>_xlfn.IFNA(VLOOKUP(A53,[3]折出同!$C$3:$H$362,4,0),-[4]整車!$B$22)</f>
        <v>0</v>
      </c>
      <c r="H53" s="24">
        <f t="shared" si="15"/>
        <v>0</v>
      </c>
      <c r="I53" s="190">
        <f t="shared" si="16"/>
        <v>0</v>
      </c>
    </row>
    <row r="54" spans="1:10">
      <c r="A54" s="453" t="s">
        <v>227</v>
      </c>
      <c r="B54" s="191">
        <f>_xlfn.IFNA(VLOOKUP(A54,[3]折!$C$3:$F$99,4,0),-[4]整車!$B$22)</f>
        <v>0</v>
      </c>
      <c r="C54" s="27">
        <f>_xlfn.IFNA(VLOOKUP(A54,[3]折!$C$3:$F$99,3,0),-[4]整車!$B$22)</f>
        <v>0</v>
      </c>
      <c r="D54" s="187">
        <f t="shared" si="13"/>
        <v>0</v>
      </c>
      <c r="E54" s="28">
        <f>VLOOKUP(A54,[10]進出口值表查詢結果!$A$10:$C$25,3,0)</f>
        <v>43</v>
      </c>
      <c r="F54" s="188">
        <f t="shared" si="14"/>
        <v>4.5507461106995446E-3</v>
      </c>
      <c r="G54" s="191">
        <f>_xlfn.IFNA(VLOOKUP(A54,[3]折出同!$C$3:$H$362,4,0),-[4]整車!$B$22)</f>
        <v>29985</v>
      </c>
      <c r="H54" s="24">
        <f t="shared" si="15"/>
        <v>4.5848616842719134E-3</v>
      </c>
      <c r="I54" s="190">
        <f t="shared" si="16"/>
        <v>697.32558139534888</v>
      </c>
    </row>
    <row r="55" spans="1:10">
      <c r="A55" s="453" t="s">
        <v>24</v>
      </c>
      <c r="B55" s="191">
        <f>_xlfn.IFNA(VLOOKUP(A55,[3]折!$C$3:$F$99,4,0),-[4]整車!$B$22)</f>
        <v>0</v>
      </c>
      <c r="C55" s="27">
        <f>_xlfn.IFNA(VLOOKUP(A55,[3]折!$C$3:$F$99,3,0),-[4]整車!$B$22)</f>
        <v>0</v>
      </c>
      <c r="D55" s="187">
        <f t="shared" si="13"/>
        <v>0</v>
      </c>
      <c r="E55" s="28">
        <v>0</v>
      </c>
      <c r="F55" s="188">
        <f t="shared" si="14"/>
        <v>0</v>
      </c>
      <c r="G55" s="191">
        <f>_xlfn.IFNA(VLOOKUP(A55,[3]折出同!$C$3:$H$362,4,0),-[4]整車!$B$22)</f>
        <v>0</v>
      </c>
      <c r="H55" s="24">
        <f t="shared" si="15"/>
        <v>0</v>
      </c>
      <c r="I55" s="190">
        <f t="shared" si="16"/>
        <v>0</v>
      </c>
    </row>
    <row r="56" spans="1:10">
      <c r="A56" s="453" t="s">
        <v>228</v>
      </c>
      <c r="B56" s="191">
        <f>_xlfn.IFNA(VLOOKUP(A56,[3]折!$C$3:$F$99,4,0),-[4]整車!$B$22)</f>
        <v>0</v>
      </c>
      <c r="C56" s="27">
        <f>_xlfn.IFNA(VLOOKUP(A56,[3]折!$C$3:$F$99,3,0),-[4]整車!$B$22)</f>
        <v>0</v>
      </c>
      <c r="D56" s="187">
        <f t="shared" si="13"/>
        <v>0</v>
      </c>
      <c r="E56" s="28">
        <f>VLOOKUP(A56,[10]進出口值表查詢結果!$A$10:$C$25,3,0)</f>
        <v>3196</v>
      </c>
      <c r="F56" s="188">
        <f t="shared" si="14"/>
        <v>0.33823685046036617</v>
      </c>
      <c r="G56" s="191">
        <f>_xlfn.IFNA(VLOOKUP(A56,[3]折出同!$C$3:$H$362,4,0),-[4]整車!$B$22)</f>
        <v>2056250</v>
      </c>
      <c r="H56" s="24">
        <f t="shared" si="15"/>
        <v>0.3144112669095922</v>
      </c>
      <c r="I56" s="190">
        <f t="shared" si="16"/>
        <v>643.38235294117646</v>
      </c>
    </row>
    <row r="57" spans="1:10">
      <c r="A57" s="455" t="s">
        <v>229</v>
      </c>
      <c r="B57" s="191">
        <f>_xlfn.IFNA(VLOOKUP(A57,[3]折!$C$3:$F$99,4,0),-[4]整車!$B$22)</f>
        <v>0</v>
      </c>
      <c r="C57" s="27">
        <f>_xlfn.IFNA(VLOOKUP(A57,[3]折!$C$3:$F$99,3,0),-[4]整車!$B$22)</f>
        <v>0</v>
      </c>
      <c r="D57" s="187">
        <f t="shared" si="13"/>
        <v>0</v>
      </c>
      <c r="E57" s="28">
        <f>VLOOKUP(A57,[10]進出口值表查詢結果!$A$10:$C$25,3,0)</f>
        <v>2095</v>
      </c>
      <c r="F57" s="188">
        <f t="shared" si="14"/>
        <v>0.22171658376547781</v>
      </c>
      <c r="G57" s="191">
        <f>_xlfn.IFNA(VLOOKUP(A57,[3]折出同!$C$3:$H$362,4,0),-[4]整車!$B$22)</f>
        <v>1773882</v>
      </c>
      <c r="H57" s="24">
        <f t="shared" si="15"/>
        <v>0.27123573834315928</v>
      </c>
      <c r="I57" s="190">
        <f t="shared" si="16"/>
        <v>846.72171837708834</v>
      </c>
    </row>
    <row r="58" spans="1:10">
      <c r="A58" s="291" t="s">
        <v>385</v>
      </c>
      <c r="B58" s="191">
        <v>30</v>
      </c>
      <c r="C58" s="27">
        <v>28558</v>
      </c>
      <c r="D58" s="187">
        <f t="shared" si="13"/>
        <v>951.93333333333328</v>
      </c>
      <c r="E58" s="28">
        <f>VLOOKUP(A58,[10]進出口值表查詢結果!$A$10:$C$25,3,0)</f>
        <v>340</v>
      </c>
      <c r="F58" s="188">
        <f t="shared" si="14"/>
        <v>3.5982643665996399E-2</v>
      </c>
      <c r="G58" s="191">
        <f>_xlfn.IFNA(VLOOKUP(A58,[3]折出同!$C$3:$H$362,4,0),-[4]整車!$B$22)</f>
        <v>308636</v>
      </c>
      <c r="H58" s="24">
        <f t="shared" si="15"/>
        <v>4.7192041713755087E-2</v>
      </c>
      <c r="I58" s="190">
        <f t="shared" si="16"/>
        <v>907.75294117647059</v>
      </c>
    </row>
    <row r="59" spans="1:10">
      <c r="A59" s="453" t="s">
        <v>25</v>
      </c>
      <c r="B59" s="191">
        <f>_xlfn.IFNA(VLOOKUP(A59,[3]折!$C$3:$F$99,4,0),-[4]整車!$B$22)</f>
        <v>0</v>
      </c>
      <c r="C59" s="27">
        <f>_xlfn.IFNA(VLOOKUP(A59,[3]折!$C$3:$F$99,3,0),-[4]整車!$B$22)</f>
        <v>0</v>
      </c>
      <c r="D59" s="187">
        <f t="shared" si="13"/>
        <v>0</v>
      </c>
      <c r="E59" s="28">
        <f>VLOOKUP(A59,[10]進出口值表查詢結果!$A$10:$C$25,3,0)</f>
        <v>820</v>
      </c>
      <c r="F59" s="188">
        <f t="shared" si="14"/>
        <v>8.6781670017991322E-2</v>
      </c>
      <c r="G59" s="191">
        <f>_xlfn.IFNA(VLOOKUP(A59,[3]折出同!$C$3:$H$362,4,0),-[4]整車!$B$22)</f>
        <v>366327</v>
      </c>
      <c r="H59" s="24">
        <f t="shared" si="15"/>
        <v>5.6013294187569694E-2</v>
      </c>
      <c r="I59" s="190">
        <f t="shared" si="16"/>
        <v>446.74024390243903</v>
      </c>
    </row>
    <row r="60" spans="1:10">
      <c r="A60" s="453" t="s">
        <v>26</v>
      </c>
      <c r="B60" s="191">
        <f>_xlfn.IFNA(VLOOKUP(A60,[3]折!$C$3:$F$99,4,0),-[4]整車!$B$22)</f>
        <v>0</v>
      </c>
      <c r="C60" s="27">
        <f>_xlfn.IFNA(VLOOKUP(A60,[3]折!$C$3:$F$99,3,0),-[4]整車!$B$22)</f>
        <v>0</v>
      </c>
      <c r="D60" s="187">
        <f t="shared" si="13"/>
        <v>0</v>
      </c>
      <c r="E60" s="28">
        <v>0</v>
      </c>
      <c r="F60" s="188">
        <f t="shared" si="14"/>
        <v>0</v>
      </c>
      <c r="G60" s="191">
        <f>_xlfn.IFNA(VLOOKUP(A60,[3]折出同!$C$3:$H$362,4,0),-[4]整車!$B$22)</f>
        <v>0</v>
      </c>
      <c r="H60" s="24">
        <f t="shared" si="15"/>
        <v>0</v>
      </c>
      <c r="I60" s="190">
        <f t="shared" si="16"/>
        <v>0</v>
      </c>
    </row>
    <row r="61" spans="1:10">
      <c r="A61" s="453" t="s">
        <v>27</v>
      </c>
      <c r="B61" s="191">
        <f>_xlfn.IFNA(VLOOKUP(A61,[3]折!$C$3:$F$99,4,0),-[4]整車!$B$22)</f>
        <v>0</v>
      </c>
      <c r="C61" s="27">
        <f>_xlfn.IFNA(VLOOKUP(A61,[3]折!$C$3:$F$99,3,0),-[4]整車!$B$22)</f>
        <v>0</v>
      </c>
      <c r="D61" s="187">
        <f t="shared" si="13"/>
        <v>0</v>
      </c>
      <c r="E61" s="28">
        <v>0</v>
      </c>
      <c r="F61" s="188">
        <f t="shared" si="14"/>
        <v>0</v>
      </c>
      <c r="G61" s="191">
        <f>_xlfn.IFNA(VLOOKUP(A61,[3]折出同!$C$3:$H$362,4,0),-[4]整車!$B$22)</f>
        <v>0</v>
      </c>
      <c r="H61" s="24">
        <f t="shared" si="15"/>
        <v>0</v>
      </c>
      <c r="I61" s="190">
        <f t="shared" si="16"/>
        <v>0</v>
      </c>
    </row>
    <row r="62" spans="1:10">
      <c r="A62" s="291" t="s">
        <v>230</v>
      </c>
      <c r="B62" s="191">
        <f>_xlfn.IFNA(VLOOKUP(A62,[3]折!$C$3:$F$99,4,0),-[4]整車!$B$22)</f>
        <v>0</v>
      </c>
      <c r="C62" s="27">
        <f>_xlfn.IFNA(VLOOKUP(A62,[3]折!$C$3:$F$99,3,0),-[4]整車!$B$22)</f>
        <v>0</v>
      </c>
      <c r="D62" s="187">
        <f t="shared" si="13"/>
        <v>0</v>
      </c>
      <c r="E62" s="28">
        <v>0</v>
      </c>
      <c r="F62" s="188">
        <f t="shared" si="14"/>
        <v>0</v>
      </c>
      <c r="G62" s="191">
        <f>_xlfn.IFNA(VLOOKUP(A62,[3]折出同!$C$3:$H$362,4,0),-[4]整車!$B$22)</f>
        <v>0</v>
      </c>
      <c r="H62" s="24">
        <f t="shared" si="15"/>
        <v>0</v>
      </c>
      <c r="I62" s="190">
        <f t="shared" si="16"/>
        <v>0</v>
      </c>
    </row>
    <row r="63" spans="1:10">
      <c r="A63" s="453" t="s">
        <v>28</v>
      </c>
      <c r="B63" s="191">
        <f>_xlfn.IFNA(VLOOKUP(A63,[3]折!$C$3:$F$99,4,0),-[4]整車!$B$22)</f>
        <v>0</v>
      </c>
      <c r="C63" s="27">
        <f>_xlfn.IFNA(VLOOKUP(A63,[3]折!$C$3:$F$99,3,0),-[4]整車!$B$22)</f>
        <v>0</v>
      </c>
      <c r="D63" s="187">
        <f t="shared" si="13"/>
        <v>0</v>
      </c>
      <c r="E63" s="28">
        <v>0</v>
      </c>
      <c r="F63" s="188">
        <f t="shared" si="14"/>
        <v>0</v>
      </c>
      <c r="G63" s="191">
        <f>_xlfn.IFNA(VLOOKUP(A63,[3]折出同!$C$3:$H$362,4,0),-[4]整車!$B$22)</f>
        <v>0</v>
      </c>
      <c r="H63" s="24">
        <f t="shared" si="15"/>
        <v>0</v>
      </c>
      <c r="I63" s="190">
        <f t="shared" si="16"/>
        <v>0</v>
      </c>
    </row>
    <row r="64" spans="1:10" ht="15.75" customHeight="1">
      <c r="A64" s="291" t="s">
        <v>231</v>
      </c>
      <c r="B64" s="191">
        <f>_xlfn.IFNA(VLOOKUP(A64,[3]折!$C$3:$F$99,4,0),-[4]整車!$B$22)</f>
        <v>0</v>
      </c>
      <c r="C64" s="27">
        <f>_xlfn.IFNA(VLOOKUP(A64,[3]折!$C$3:$F$99,3,0),-[4]整車!$B$22)</f>
        <v>0</v>
      </c>
      <c r="D64" s="187">
        <f t="shared" si="13"/>
        <v>0</v>
      </c>
      <c r="E64" s="28">
        <v>0</v>
      </c>
      <c r="F64" s="188">
        <f t="shared" si="14"/>
        <v>0</v>
      </c>
      <c r="G64" s="191">
        <f>_xlfn.IFNA(VLOOKUP(A64,[3]折出同!$C$3:$H$362,4,0),-[4]整車!$B$22)</f>
        <v>0</v>
      </c>
      <c r="H64" s="24">
        <f t="shared" si="15"/>
        <v>0</v>
      </c>
      <c r="I64" s="190">
        <f t="shared" si="16"/>
        <v>0</v>
      </c>
    </row>
    <row r="65" spans="1:9">
      <c r="A65" s="453" t="s">
        <v>29</v>
      </c>
      <c r="B65" s="191">
        <f>_xlfn.IFNA(VLOOKUP(A65,[3]折!$C$3:$F$99,4,0),-[4]整車!$B$22)</f>
        <v>0</v>
      </c>
      <c r="C65" s="27">
        <f>_xlfn.IFNA(VLOOKUP(A65,[3]折!$C$3:$F$99,3,0),-[4]整車!$B$22)</f>
        <v>0</v>
      </c>
      <c r="D65" s="187">
        <f t="shared" si="13"/>
        <v>0</v>
      </c>
      <c r="E65" s="28">
        <v>0</v>
      </c>
      <c r="F65" s="188">
        <f t="shared" si="14"/>
        <v>0</v>
      </c>
      <c r="G65" s="191">
        <f>_xlfn.IFNA(VLOOKUP(A65,[3]折出同!$C$3:$H$362,4,0),-[4]整車!$B$22)</f>
        <v>0</v>
      </c>
      <c r="H65" s="24">
        <f t="shared" si="15"/>
        <v>0</v>
      </c>
      <c r="I65" s="190">
        <f t="shared" si="16"/>
        <v>0</v>
      </c>
    </row>
    <row r="66" spans="1:9">
      <c r="A66" s="291" t="s">
        <v>232</v>
      </c>
      <c r="B66" s="191">
        <f>_xlfn.IFNA(VLOOKUP(A66,[3]折!$C$3:$F$99,4,0),-[4]整車!$B$22)</f>
        <v>0</v>
      </c>
      <c r="C66" s="27">
        <f>_xlfn.IFNA(VLOOKUP(A66,[3]折!$C$3:$F$99,3,0),-[4]整車!$B$22)</f>
        <v>0</v>
      </c>
      <c r="D66" s="187">
        <f t="shared" si="13"/>
        <v>0</v>
      </c>
      <c r="E66" s="28">
        <f>VLOOKUP(A66,[10]進出口值表查詢結果!$A$10:$C$25,3,0)</f>
        <v>5</v>
      </c>
      <c r="F66" s="188">
        <f t="shared" si="14"/>
        <v>5.2915652449994708E-4</v>
      </c>
      <c r="G66" s="191">
        <f>_xlfn.IFNA(VLOOKUP(A66,[3]折出同!$C$3:$H$362,4,0),-[4]整車!$B$22)</f>
        <v>261</v>
      </c>
      <c r="H66" s="24">
        <f t="shared" si="15"/>
        <v>3.990825077855493E-5</v>
      </c>
      <c r="I66" s="190">
        <f t="shared" si="16"/>
        <v>52.2</v>
      </c>
    </row>
    <row r="67" spans="1:9">
      <c r="A67" s="30" t="s">
        <v>30</v>
      </c>
      <c r="B67" s="191">
        <f>B68-B7-B12-B41-B47</f>
        <v>0</v>
      </c>
      <c r="C67" s="27">
        <f>C68-C47-C41-C12-C7</f>
        <v>0</v>
      </c>
      <c r="D67" s="187">
        <f t="shared" si="0"/>
        <v>0</v>
      </c>
      <c r="E67" s="27">
        <f>E68-E47-E41-E12-E7</f>
        <v>9</v>
      </c>
      <c r="F67" s="188">
        <f t="shared" ref="F67:F68" si="17">E67/$E$68</f>
        <v>9.5248174409990477E-4</v>
      </c>
      <c r="G67" s="191">
        <f>G68-G47-G41-G12-G7</f>
        <v>3786</v>
      </c>
      <c r="H67" s="24">
        <f t="shared" ref="H67:H68" si="18">G67/$G$68</f>
        <v>5.788989940521416E-4</v>
      </c>
      <c r="I67" s="190">
        <f t="shared" si="1"/>
        <v>420.66666666666669</v>
      </c>
    </row>
    <row r="68" spans="1:9">
      <c r="A68" s="32" t="s">
        <v>403</v>
      </c>
      <c r="B68" s="193">
        <v>75</v>
      </c>
      <c r="C68" s="33">
        <v>68775</v>
      </c>
      <c r="D68" s="187">
        <f t="shared" ref="D68" si="19">C68/B68</f>
        <v>917</v>
      </c>
      <c r="E68" s="28">
        <f>VLOOKUP(A68,[10]進出口值表查詢結果!$A$10:$C$25,3,0)</f>
        <v>9449</v>
      </c>
      <c r="F68" s="188">
        <f t="shared" si="17"/>
        <v>1</v>
      </c>
      <c r="G68" s="193">
        <f>VLOOKUP(A68,[3]折出同!$B$2:$H$2,5,0)</f>
        <v>6540001</v>
      </c>
      <c r="H68" s="24">
        <f t="shared" si="18"/>
        <v>1</v>
      </c>
      <c r="I68" s="190">
        <f t="shared" ref="I68" si="20">G68/E68</f>
        <v>692.13683987723573</v>
      </c>
    </row>
    <row r="69" spans="1:9">
      <c r="A69" s="38"/>
      <c r="B69" s="194"/>
      <c r="C69" s="39"/>
      <c r="D69" s="195"/>
      <c r="E69" s="39"/>
      <c r="F69" s="196"/>
      <c r="G69" s="194"/>
      <c r="H69" s="41"/>
      <c r="I69" s="195"/>
    </row>
    <row r="70" spans="1:9">
      <c r="A70" s="54" t="s">
        <v>56</v>
      </c>
      <c r="B70" s="197"/>
      <c r="C70" s="39"/>
      <c r="D70" s="197"/>
      <c r="E70" s="13"/>
      <c r="F70" s="197"/>
      <c r="G70" s="197"/>
      <c r="H70" s="13"/>
      <c r="I70" s="197"/>
    </row>
    <row r="71" spans="1:9" s="13" customFormat="1">
      <c r="A71" s="5"/>
      <c r="B71" s="95"/>
      <c r="C71" s="39"/>
      <c r="D71" s="95"/>
      <c r="E71" s="5"/>
      <c r="F71" s="95"/>
      <c r="G71" s="95"/>
      <c r="H71" s="5"/>
      <c r="I71" s="95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8" customWidth="1"/>
    <col min="4" max="4" width="13.75" style="59" customWidth="1"/>
    <col min="5" max="5" width="13.5" style="529" customWidth="1"/>
    <col min="6" max="6" width="15.125" style="58" customWidth="1"/>
    <col min="7" max="7" width="12.25" style="59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476</v>
      </c>
      <c r="B1" s="1"/>
      <c r="C1" s="56"/>
      <c r="D1" s="57"/>
      <c r="E1" s="540"/>
      <c r="F1" s="56"/>
      <c r="G1" s="57"/>
    </row>
    <row r="2" spans="1:10" ht="7.5" customHeight="1"/>
    <row r="3" spans="1:10">
      <c r="A3" s="111" t="s">
        <v>154</v>
      </c>
      <c r="B3" s="62"/>
      <c r="C3" s="65"/>
      <c r="D3" s="64"/>
      <c r="E3" s="530"/>
      <c r="F3" s="65"/>
      <c r="G3" s="198"/>
      <c r="H3" s="199"/>
      <c r="I3" s="67"/>
      <c r="J3" s="68"/>
    </row>
    <row r="4" spans="1:10">
      <c r="A4" s="69" t="s">
        <v>471</v>
      </c>
      <c r="B4" s="8" t="s">
        <v>424</v>
      </c>
      <c r="C4" s="70" t="s">
        <v>425</v>
      </c>
      <c r="D4" s="71" t="s">
        <v>159</v>
      </c>
      <c r="E4" s="531" t="s">
        <v>424</v>
      </c>
      <c r="F4" s="70" t="s">
        <v>425</v>
      </c>
      <c r="G4" s="73" t="s">
        <v>160</v>
      </c>
      <c r="H4" s="8" t="s">
        <v>424</v>
      </c>
      <c r="I4" s="70" t="s">
        <v>425</v>
      </c>
      <c r="J4" s="200" t="s">
        <v>117</v>
      </c>
    </row>
    <row r="5" spans="1:10">
      <c r="A5" s="45"/>
      <c r="B5" s="76" t="s">
        <v>33</v>
      </c>
      <c r="C5" s="75" t="s">
        <v>33</v>
      </c>
      <c r="D5" s="201" t="s">
        <v>2</v>
      </c>
      <c r="E5" s="532" t="s">
        <v>34</v>
      </c>
      <c r="F5" s="75" t="s">
        <v>34</v>
      </c>
      <c r="G5" s="201" t="s">
        <v>2</v>
      </c>
      <c r="H5" s="77" t="s">
        <v>35</v>
      </c>
      <c r="I5" s="78" t="s">
        <v>118</v>
      </c>
      <c r="J5" s="201" t="s">
        <v>2</v>
      </c>
    </row>
    <row r="6" spans="1:10">
      <c r="A6" s="20" t="s">
        <v>5</v>
      </c>
      <c r="B6" s="202"/>
      <c r="C6" s="80"/>
      <c r="D6" s="203"/>
      <c r="E6" s="533"/>
      <c r="F6" s="80"/>
      <c r="G6" s="204"/>
      <c r="H6" s="205"/>
      <c r="I6" s="83"/>
      <c r="J6" s="204"/>
    </row>
    <row r="7" spans="1:10">
      <c r="A7" s="122" t="s">
        <v>6</v>
      </c>
      <c r="B7" s="206">
        <f>SUM(B8:B10)</f>
        <v>15</v>
      </c>
      <c r="C7" s="207">
        <f>SUM(C8:C10)</f>
        <v>425</v>
      </c>
      <c r="D7" s="515">
        <f>IF(C7,(B7-C7)/C7,0)</f>
        <v>-0.96470588235294119</v>
      </c>
      <c r="E7" s="534">
        <f>SUM(E8:E10)</f>
        <v>4852</v>
      </c>
      <c r="F7" s="207">
        <f>SUM(F8:F10)</f>
        <v>465588</v>
      </c>
      <c r="G7" s="515">
        <f>IF(F7,(E7-F7)/F7,0)</f>
        <v>-0.98957876921226495</v>
      </c>
      <c r="H7" s="86">
        <f>IF(B7,E7/B7,0)</f>
        <v>323.46666666666664</v>
      </c>
      <c r="I7" s="87">
        <f>IF(C7,F7/C7,0)</f>
        <v>1095.5011764705882</v>
      </c>
      <c r="J7" s="512">
        <f>IF(I7,(H7-I7)/I7,0)</f>
        <v>-0.7047317943475061</v>
      </c>
    </row>
    <row r="8" spans="1:10">
      <c r="A8" s="76" t="s">
        <v>383</v>
      </c>
      <c r="B8" s="208">
        <f>折疊車!E8</f>
        <v>14</v>
      </c>
      <c r="C8" s="209">
        <f>VLOOKUP(A8,[11]進出口值表查詢結果!$A$9:$C$29,3,0)</f>
        <v>403</v>
      </c>
      <c r="D8" s="515">
        <f t="shared" ref="D8:D68" si="0">IF(C8,(B8-C8)/C8,0)</f>
        <v>-0.9652605459057072</v>
      </c>
      <c r="E8" s="535">
        <f>折疊車!G8</f>
        <v>4261</v>
      </c>
      <c r="F8" s="209">
        <f>VLOOKUP(A8,[11]進出口值表查詢結果!$A$9:$C$29,2,0)</f>
        <v>455424</v>
      </c>
      <c r="G8" s="515">
        <f t="shared" ref="G8:G68" si="1">IF(F8,(E8-F8)/F8,0)</f>
        <v>-0.99064388350196741</v>
      </c>
      <c r="H8" s="86">
        <f t="shared" ref="H8:H10" si="2">IF(B8,E8/B8,0)</f>
        <v>304.35714285714283</v>
      </c>
      <c r="I8" s="87">
        <f t="shared" ref="I8:I10" si="3">IF(C8,F8/C8,0)</f>
        <v>1130.0843672456576</v>
      </c>
      <c r="J8" s="512">
        <f t="shared" ref="J8:J68" si="4">IF(I8,(H8-I8)/I8,0)</f>
        <v>-0.73067750366377582</v>
      </c>
    </row>
    <row r="9" spans="1:10">
      <c r="A9" s="30" t="s">
        <v>7</v>
      </c>
      <c r="B9" s="208">
        <f>折疊車!E9</f>
        <v>1</v>
      </c>
      <c r="C9" s="209">
        <f>VLOOKUP(A9,[11]進出口值表查詢結果!$A$9:$C$29,3,0)</f>
        <v>22</v>
      </c>
      <c r="D9" s="515">
        <f t="shared" si="0"/>
        <v>-0.95454545454545459</v>
      </c>
      <c r="E9" s="535">
        <f>折疊車!G9</f>
        <v>591</v>
      </c>
      <c r="F9" s="209">
        <f>VLOOKUP(A9,[11]進出口值表查詢結果!$A$9:$C$29,2,0)</f>
        <v>10164</v>
      </c>
      <c r="G9" s="515">
        <f t="shared" si="1"/>
        <v>-0.94185360094450998</v>
      </c>
      <c r="H9" s="86">
        <f t="shared" si="2"/>
        <v>591</v>
      </c>
      <c r="I9" s="87">
        <f t="shared" si="3"/>
        <v>462</v>
      </c>
      <c r="J9" s="512">
        <f t="shared" si="4"/>
        <v>0.2792207792207792</v>
      </c>
    </row>
    <row r="10" spans="1:10">
      <c r="A10" s="30" t="s">
        <v>8</v>
      </c>
      <c r="B10" s="208">
        <f>折疊車!E10</f>
        <v>0</v>
      </c>
      <c r="C10" s="209">
        <v>0</v>
      </c>
      <c r="D10" s="515">
        <f t="shared" si="0"/>
        <v>0</v>
      </c>
      <c r="E10" s="535">
        <f>折疊車!G10</f>
        <v>0</v>
      </c>
      <c r="F10" s="209">
        <f>_xlfn.IFNA(VLOOKUP(A10,[3]折出同!$C$3:$H$352,3,0),-[4]整車!$B$22)</f>
        <v>0</v>
      </c>
      <c r="G10" s="515">
        <f t="shared" si="1"/>
        <v>0</v>
      </c>
      <c r="H10" s="86">
        <f t="shared" si="2"/>
        <v>0</v>
      </c>
      <c r="I10" s="87">
        <f t="shared" si="3"/>
        <v>0</v>
      </c>
      <c r="J10" s="512">
        <f t="shared" si="4"/>
        <v>0</v>
      </c>
    </row>
    <row r="11" spans="1:10">
      <c r="A11" s="30"/>
      <c r="B11" s="27"/>
      <c r="C11" s="89"/>
      <c r="D11" s="515"/>
      <c r="E11" s="536"/>
      <c r="F11" s="89"/>
      <c r="G11" s="515"/>
      <c r="H11" s="86"/>
      <c r="I11" s="87"/>
      <c r="J11" s="512"/>
    </row>
    <row r="12" spans="1:10">
      <c r="A12" s="32" t="s">
        <v>9</v>
      </c>
      <c r="B12" s="33">
        <f>SUM(B13:B39)</f>
        <v>1694</v>
      </c>
      <c r="C12" s="90">
        <f>SUM(C13:C39)</f>
        <v>3562</v>
      </c>
      <c r="D12" s="515">
        <f t="shared" si="0"/>
        <v>-0.52442448062886016</v>
      </c>
      <c r="E12" s="537">
        <f>SUM(E13:E39)</f>
        <v>1053846</v>
      </c>
      <c r="F12" s="90">
        <f>SUM(F13:F39)</f>
        <v>1417349</v>
      </c>
      <c r="G12" s="515">
        <f t="shared" si="1"/>
        <v>-0.25646682644853175</v>
      </c>
      <c r="H12" s="86">
        <f t="shared" ref="H12:H67" si="5">IF(B12,E12/B12,0)</f>
        <v>622.10507674144037</v>
      </c>
      <c r="I12" s="87">
        <f t="shared" ref="I12:I67" si="6">IF(C12,F12/C12,0)</f>
        <v>397.90819764177428</v>
      </c>
      <c r="J12" s="512">
        <f t="shared" si="4"/>
        <v>0.56343870377233174</v>
      </c>
    </row>
    <row r="13" spans="1:10">
      <c r="A13" s="452" t="s">
        <v>202</v>
      </c>
      <c r="B13" s="208">
        <f>折疊車!E13</f>
        <v>33</v>
      </c>
      <c r="C13" s="209">
        <f>VLOOKUP(A13,[11]進出口值表查詢結果!$A$9:$C$29,3,0)</f>
        <v>329</v>
      </c>
      <c r="D13" s="515">
        <f t="shared" si="0"/>
        <v>-0.89969604863221886</v>
      </c>
      <c r="E13" s="536">
        <f>折疊車!G13</f>
        <v>14379</v>
      </c>
      <c r="F13" s="209">
        <f>VLOOKUP(A13,[11]進出口值表查詢結果!$A$9:$C$29,2,0)</f>
        <v>116902</v>
      </c>
      <c r="G13" s="515">
        <f t="shared" si="1"/>
        <v>-0.87699953807462661</v>
      </c>
      <c r="H13" s="86">
        <f t="shared" si="5"/>
        <v>435.72727272727275</v>
      </c>
      <c r="I13" s="87">
        <f t="shared" si="6"/>
        <v>355.32522796352583</v>
      </c>
      <c r="J13" s="512">
        <f t="shared" si="4"/>
        <v>0.22627733252872265</v>
      </c>
    </row>
    <row r="14" spans="1:10">
      <c r="A14" s="452" t="s">
        <v>203</v>
      </c>
      <c r="B14" s="208">
        <f>折疊車!E14</f>
        <v>0</v>
      </c>
      <c r="C14" s="209">
        <f>VLOOKUP(A14,[11]進出口值表查詢結果!$A$9:$C$29,3,0)</f>
        <v>703</v>
      </c>
      <c r="D14" s="515">
        <f>IF(C14,(B14-C14)/C14,0)</f>
        <v>-1</v>
      </c>
      <c r="E14" s="536">
        <f>折疊車!G14</f>
        <v>0</v>
      </c>
      <c r="F14" s="209">
        <f>VLOOKUP(A14,[11]進出口值表查詢結果!$A$9:$C$29,2,0)</f>
        <v>180089</v>
      </c>
      <c r="G14" s="515">
        <f t="shared" si="1"/>
        <v>-1</v>
      </c>
      <c r="H14" s="86">
        <f t="shared" si="5"/>
        <v>0</v>
      </c>
      <c r="I14" s="87">
        <f>IF(C14,F14/C14,0)</f>
        <v>256.17211948790896</v>
      </c>
      <c r="J14" s="512">
        <f t="shared" si="4"/>
        <v>-1</v>
      </c>
    </row>
    <row r="15" spans="1:10">
      <c r="A15" s="453" t="s">
        <v>10</v>
      </c>
      <c r="B15" s="208">
        <f>折疊車!E15</f>
        <v>48</v>
      </c>
      <c r="C15" s="209">
        <v>0</v>
      </c>
      <c r="D15" s="515">
        <f>IF(C15,(B15-C15)/C15,0)</f>
        <v>0</v>
      </c>
      <c r="E15" s="536">
        <f>折疊車!G15</f>
        <v>40131</v>
      </c>
      <c r="F15" s="209">
        <f>_xlfn.IFNA(VLOOKUP(A15,[3]折出同!$C$3:$H$355,3,0),-[4]整車!$B$22)</f>
        <v>0</v>
      </c>
      <c r="G15" s="515">
        <f t="shared" si="1"/>
        <v>0</v>
      </c>
      <c r="H15" s="86">
        <f t="shared" si="5"/>
        <v>836.0625</v>
      </c>
      <c r="I15" s="87">
        <f>IF(C15,F15/C15,0)</f>
        <v>0</v>
      </c>
      <c r="J15" s="512">
        <f t="shared" si="4"/>
        <v>0</v>
      </c>
    </row>
    <row r="16" spans="1:10">
      <c r="A16" s="452" t="s">
        <v>204</v>
      </c>
      <c r="B16" s="208">
        <f>折疊車!E16</f>
        <v>0</v>
      </c>
      <c r="C16" s="209">
        <v>0</v>
      </c>
      <c r="D16" s="515">
        <f t="shared" si="0"/>
        <v>0</v>
      </c>
      <c r="E16" s="536">
        <f>折疊車!G16</f>
        <v>0</v>
      </c>
      <c r="F16" s="209">
        <f>_xlfn.IFNA(VLOOKUP(A16,[3]折出同!$C$3:$H$355,3,0),-[4]整車!$B$22)</f>
        <v>0</v>
      </c>
      <c r="G16" s="515">
        <f t="shared" si="1"/>
        <v>0</v>
      </c>
      <c r="H16" s="86">
        <f t="shared" si="5"/>
        <v>0</v>
      </c>
      <c r="I16" s="87">
        <f t="shared" si="6"/>
        <v>0</v>
      </c>
      <c r="J16" s="512">
        <f t="shared" si="4"/>
        <v>0</v>
      </c>
    </row>
    <row r="17" spans="1:10">
      <c r="A17" s="453" t="s">
        <v>11</v>
      </c>
      <c r="B17" s="208">
        <f>折疊車!E17</f>
        <v>113</v>
      </c>
      <c r="C17" s="209">
        <v>0</v>
      </c>
      <c r="D17" s="515">
        <f t="shared" si="0"/>
        <v>0</v>
      </c>
      <c r="E17" s="536">
        <f>折疊車!G17</f>
        <v>115083</v>
      </c>
      <c r="F17" s="209">
        <f>_xlfn.IFNA(VLOOKUP(A17,[3]折出同!$C$3:$H$355,3,0),-[4]整車!$B$22)</f>
        <v>0</v>
      </c>
      <c r="G17" s="515">
        <f t="shared" si="1"/>
        <v>0</v>
      </c>
      <c r="H17" s="86">
        <f t="shared" si="5"/>
        <v>1018.4336283185841</v>
      </c>
      <c r="I17" s="87">
        <f t="shared" si="6"/>
        <v>0</v>
      </c>
      <c r="J17" s="512">
        <f t="shared" si="4"/>
        <v>0</v>
      </c>
    </row>
    <row r="18" spans="1:10">
      <c r="A18" s="453" t="s">
        <v>12</v>
      </c>
      <c r="B18" s="208">
        <f>折疊車!E18</f>
        <v>0</v>
      </c>
      <c r="C18" s="209">
        <v>0</v>
      </c>
      <c r="D18" s="515">
        <f t="shared" si="0"/>
        <v>0</v>
      </c>
      <c r="E18" s="536">
        <f>折疊車!G18</f>
        <v>0</v>
      </c>
      <c r="F18" s="209">
        <f>_xlfn.IFNA(VLOOKUP(A18,[3]折出同!$C$3:$H$355,3,0),-[4]整車!$B$22)</f>
        <v>0</v>
      </c>
      <c r="G18" s="515">
        <f t="shared" si="1"/>
        <v>0</v>
      </c>
      <c r="H18" s="86">
        <f t="shared" si="5"/>
        <v>0</v>
      </c>
      <c r="I18" s="87">
        <f t="shared" si="6"/>
        <v>0</v>
      </c>
      <c r="J18" s="512">
        <f t="shared" si="4"/>
        <v>0</v>
      </c>
    </row>
    <row r="19" spans="1:10">
      <c r="A19" s="452" t="s">
        <v>205</v>
      </c>
      <c r="B19" s="208">
        <f>折疊車!E19</f>
        <v>0</v>
      </c>
      <c r="C19" s="209">
        <v>0</v>
      </c>
      <c r="D19" s="515">
        <f t="shared" si="0"/>
        <v>0</v>
      </c>
      <c r="E19" s="536">
        <f>折疊車!G19</f>
        <v>0</v>
      </c>
      <c r="F19" s="209">
        <f>_xlfn.IFNA(VLOOKUP(A19,[3]折出同!$C$3:$H$355,3,0),-[4]整車!$B$22)</f>
        <v>0</v>
      </c>
      <c r="G19" s="515">
        <f t="shared" si="1"/>
        <v>0</v>
      </c>
      <c r="H19" s="86">
        <f t="shared" si="5"/>
        <v>0</v>
      </c>
      <c r="I19" s="87">
        <f t="shared" si="6"/>
        <v>0</v>
      </c>
      <c r="J19" s="512">
        <f t="shared" si="4"/>
        <v>0</v>
      </c>
    </row>
    <row r="20" spans="1:10">
      <c r="A20" s="453" t="s">
        <v>13</v>
      </c>
      <c r="B20" s="208">
        <f>折疊車!E20</f>
        <v>0</v>
      </c>
      <c r="C20" s="209">
        <v>0</v>
      </c>
      <c r="D20" s="515">
        <f t="shared" si="0"/>
        <v>0</v>
      </c>
      <c r="E20" s="536">
        <f>折疊車!G20</f>
        <v>0</v>
      </c>
      <c r="F20" s="209">
        <f>_xlfn.IFNA(VLOOKUP(A20,[3]折出同!$C$3:$H$355,3,0),-[4]整車!$B$22)</f>
        <v>0</v>
      </c>
      <c r="G20" s="515">
        <f t="shared" si="1"/>
        <v>0</v>
      </c>
      <c r="H20" s="86">
        <f t="shared" si="5"/>
        <v>0</v>
      </c>
      <c r="I20" s="87">
        <f t="shared" si="6"/>
        <v>0</v>
      </c>
      <c r="J20" s="512">
        <f t="shared" si="4"/>
        <v>0</v>
      </c>
    </row>
    <row r="21" spans="1:10">
      <c r="A21" s="452" t="s">
        <v>207</v>
      </c>
      <c r="B21" s="208">
        <f>折疊車!E21</f>
        <v>0</v>
      </c>
      <c r="C21" s="209">
        <v>0</v>
      </c>
      <c r="D21" s="515">
        <f t="shared" si="0"/>
        <v>0</v>
      </c>
      <c r="E21" s="536">
        <f>折疊車!G21</f>
        <v>0</v>
      </c>
      <c r="F21" s="209">
        <f>_xlfn.IFNA(VLOOKUP(A21,[3]折出同!$C$3:$H$355,3,0),-[4]整車!$B$22)</f>
        <v>0</v>
      </c>
      <c r="G21" s="515">
        <f t="shared" si="1"/>
        <v>0</v>
      </c>
      <c r="H21" s="86">
        <f t="shared" si="5"/>
        <v>0</v>
      </c>
      <c r="I21" s="87">
        <f t="shared" si="6"/>
        <v>0</v>
      </c>
      <c r="J21" s="512">
        <f t="shared" si="4"/>
        <v>0</v>
      </c>
    </row>
    <row r="22" spans="1:10">
      <c r="A22" s="453" t="s">
        <v>14</v>
      </c>
      <c r="B22" s="208">
        <f>折疊車!E22</f>
        <v>0</v>
      </c>
      <c r="C22" s="209">
        <v>0</v>
      </c>
      <c r="D22" s="515">
        <f t="shared" si="0"/>
        <v>0</v>
      </c>
      <c r="E22" s="536">
        <f>折疊車!G22</f>
        <v>0</v>
      </c>
      <c r="F22" s="209">
        <f>_xlfn.IFNA(VLOOKUP(A22,[3]折出同!$C$3:$H$355,3,0),-[4]整車!$B$22)</f>
        <v>0</v>
      </c>
      <c r="G22" s="515">
        <f t="shared" si="1"/>
        <v>0</v>
      </c>
      <c r="H22" s="86">
        <f t="shared" si="5"/>
        <v>0</v>
      </c>
      <c r="I22" s="87">
        <f t="shared" si="6"/>
        <v>0</v>
      </c>
      <c r="J22" s="512">
        <f t="shared" si="4"/>
        <v>0</v>
      </c>
    </row>
    <row r="23" spans="1:10">
      <c r="A23" s="453" t="s">
        <v>15</v>
      </c>
      <c r="B23" s="208">
        <f>折疊車!E23</f>
        <v>0</v>
      </c>
      <c r="C23" s="209">
        <v>0</v>
      </c>
      <c r="D23" s="515">
        <f t="shared" si="0"/>
        <v>0</v>
      </c>
      <c r="E23" s="536">
        <f>折疊車!G23</f>
        <v>0</v>
      </c>
      <c r="F23" s="209">
        <f>_xlfn.IFNA(VLOOKUP(A23,[3]折出同!$C$3:$H$355,3,0),-[4]整車!$B$22)</f>
        <v>0</v>
      </c>
      <c r="G23" s="515">
        <f t="shared" si="1"/>
        <v>0</v>
      </c>
      <c r="H23" s="86">
        <f t="shared" si="5"/>
        <v>0</v>
      </c>
      <c r="I23" s="87">
        <f t="shared" si="6"/>
        <v>0</v>
      </c>
      <c r="J23" s="512">
        <f t="shared" si="4"/>
        <v>0</v>
      </c>
    </row>
    <row r="24" spans="1:10">
      <c r="A24" s="453" t="s">
        <v>16</v>
      </c>
      <c r="B24" s="208">
        <f>折疊車!E24</f>
        <v>1500</v>
      </c>
      <c r="C24" s="209">
        <f>VLOOKUP(A24,[11]進出口值表查詢結果!$A$9:$C$29,3,0)</f>
        <v>1380</v>
      </c>
      <c r="D24" s="515">
        <f t="shared" si="0"/>
        <v>8.6956521739130432E-2</v>
      </c>
      <c r="E24" s="536">
        <f>折疊車!G24</f>
        <v>884253</v>
      </c>
      <c r="F24" s="209">
        <f>VLOOKUP(A24,[11]進出口值表查詢結果!$A$9:$C$29,2,0)</f>
        <v>892558</v>
      </c>
      <c r="G24" s="515">
        <f t="shared" si="1"/>
        <v>-9.304717452535298E-3</v>
      </c>
      <c r="H24" s="86">
        <f t="shared" si="5"/>
        <v>589.50199999999995</v>
      </c>
      <c r="I24" s="87">
        <f t="shared" si="6"/>
        <v>646.7811594202899</v>
      </c>
      <c r="J24" s="512">
        <f t="shared" si="4"/>
        <v>-8.8560340056332607E-2</v>
      </c>
    </row>
    <row r="25" spans="1:10">
      <c r="A25" s="452" t="s">
        <v>208</v>
      </c>
      <c r="B25" s="208">
        <f>折疊車!E25</f>
        <v>0</v>
      </c>
      <c r="C25" s="209">
        <v>0</v>
      </c>
      <c r="D25" s="515">
        <f t="shared" si="0"/>
        <v>0</v>
      </c>
      <c r="E25" s="536">
        <f>折疊車!G25</f>
        <v>0</v>
      </c>
      <c r="F25" s="209">
        <f>_xlfn.IFNA(VLOOKUP(A25,[3]折出同!$C$3:$H$355,3,0),-[4]整車!$B$22)</f>
        <v>0</v>
      </c>
      <c r="G25" s="515">
        <f t="shared" si="1"/>
        <v>0</v>
      </c>
      <c r="H25" s="86">
        <f t="shared" si="5"/>
        <v>0</v>
      </c>
      <c r="I25" s="87">
        <f t="shared" si="6"/>
        <v>0</v>
      </c>
      <c r="J25" s="512">
        <f t="shared" si="4"/>
        <v>0</v>
      </c>
    </row>
    <row r="26" spans="1:10">
      <c r="A26" s="452" t="s">
        <v>209</v>
      </c>
      <c r="B26" s="208">
        <f>折疊車!E26</f>
        <v>0</v>
      </c>
      <c r="C26" s="209">
        <v>0</v>
      </c>
      <c r="D26" s="515">
        <f t="shared" si="0"/>
        <v>0</v>
      </c>
      <c r="E26" s="536">
        <f>折疊車!G26</f>
        <v>0</v>
      </c>
      <c r="F26" s="209">
        <f>_xlfn.IFNA(VLOOKUP(A26,[3]折出同!$C$3:$H$355,3,0),-[4]整車!$B$22)</f>
        <v>0</v>
      </c>
      <c r="G26" s="515">
        <f t="shared" si="1"/>
        <v>0</v>
      </c>
      <c r="H26" s="86">
        <f t="shared" si="5"/>
        <v>0</v>
      </c>
      <c r="I26" s="87">
        <f t="shared" si="6"/>
        <v>0</v>
      </c>
      <c r="J26" s="512">
        <f t="shared" si="4"/>
        <v>0</v>
      </c>
    </row>
    <row r="27" spans="1:10">
      <c r="A27" s="291" t="s">
        <v>210</v>
      </c>
      <c r="B27" s="208">
        <f>折疊車!E27</f>
        <v>0</v>
      </c>
      <c r="C27" s="209">
        <v>0</v>
      </c>
      <c r="D27" s="515">
        <f t="shared" si="0"/>
        <v>0</v>
      </c>
      <c r="E27" s="536">
        <f>折疊車!G27</f>
        <v>0</v>
      </c>
      <c r="F27" s="209">
        <f>_xlfn.IFNA(VLOOKUP(A27,[3]折出同!$C$3:$H$355,3,0),-[4]整車!$B$22)</f>
        <v>0</v>
      </c>
      <c r="G27" s="515">
        <f t="shared" si="1"/>
        <v>0</v>
      </c>
      <c r="H27" s="86">
        <f t="shared" si="5"/>
        <v>0</v>
      </c>
      <c r="I27" s="87">
        <f t="shared" si="6"/>
        <v>0</v>
      </c>
      <c r="J27" s="512">
        <f t="shared" si="4"/>
        <v>0</v>
      </c>
    </row>
    <row r="28" spans="1:10">
      <c r="A28" s="291" t="s">
        <v>211</v>
      </c>
      <c r="B28" s="208">
        <f>折疊車!E28</f>
        <v>0</v>
      </c>
      <c r="C28" s="209">
        <f>VLOOKUP(A28,[11]進出口值表查詢結果!$A$9:$C$29,3,0)</f>
        <v>1150</v>
      </c>
      <c r="D28" s="515">
        <f t="shared" si="0"/>
        <v>-1</v>
      </c>
      <c r="E28" s="536">
        <f>折疊車!G28</f>
        <v>0</v>
      </c>
      <c r="F28" s="209">
        <f>VLOOKUP(A28,[11]進出口值表查詢結果!$A$9:$C$29,2,0)</f>
        <v>227800</v>
      </c>
      <c r="G28" s="515">
        <f t="shared" si="1"/>
        <v>-1</v>
      </c>
      <c r="H28" s="86">
        <f t="shared" si="5"/>
        <v>0</v>
      </c>
      <c r="I28" s="87">
        <f t="shared" si="6"/>
        <v>198.08695652173913</v>
      </c>
      <c r="J28" s="512">
        <f t="shared" si="4"/>
        <v>-1</v>
      </c>
    </row>
    <row r="29" spans="1:10">
      <c r="A29" s="453" t="s">
        <v>212</v>
      </c>
      <c r="B29" s="208">
        <f>折疊車!E29</f>
        <v>0</v>
      </c>
      <c r="C29" s="209">
        <v>0</v>
      </c>
      <c r="D29" s="515">
        <f t="shared" si="0"/>
        <v>0</v>
      </c>
      <c r="E29" s="536">
        <f>折疊車!G29</f>
        <v>0</v>
      </c>
      <c r="F29" s="209">
        <f>_xlfn.IFNA(VLOOKUP(A29,[3]折出同!$C$3:$H$355,3,0),-[4]整車!$B$22)</f>
        <v>0</v>
      </c>
      <c r="G29" s="515">
        <f t="shared" si="1"/>
        <v>0</v>
      </c>
      <c r="H29" s="86">
        <f t="shared" si="5"/>
        <v>0</v>
      </c>
      <c r="I29" s="87">
        <f t="shared" si="6"/>
        <v>0</v>
      </c>
      <c r="J29" s="512">
        <f t="shared" si="4"/>
        <v>0</v>
      </c>
    </row>
    <row r="30" spans="1:10">
      <c r="A30" s="453" t="s">
        <v>213</v>
      </c>
      <c r="B30" s="208">
        <f>折疊車!E30</f>
        <v>0</v>
      </c>
      <c r="C30" s="209">
        <v>0</v>
      </c>
      <c r="D30" s="515">
        <f t="shared" si="0"/>
        <v>0</v>
      </c>
      <c r="E30" s="536">
        <f>折疊車!G30</f>
        <v>0</v>
      </c>
      <c r="F30" s="209">
        <f>_xlfn.IFNA(VLOOKUP(A30,[3]折出同!$C$3:$H$355,3,0),-[4]整車!$B$22)</f>
        <v>0</v>
      </c>
      <c r="G30" s="515">
        <f t="shared" si="1"/>
        <v>0</v>
      </c>
      <c r="H30" s="86">
        <f t="shared" si="5"/>
        <v>0</v>
      </c>
      <c r="I30" s="87">
        <f t="shared" si="6"/>
        <v>0</v>
      </c>
      <c r="J30" s="512">
        <f t="shared" si="4"/>
        <v>0</v>
      </c>
    </row>
    <row r="31" spans="1:10">
      <c r="A31" s="453" t="s">
        <v>17</v>
      </c>
      <c r="B31" s="208">
        <f>折疊車!E31</f>
        <v>0</v>
      </c>
      <c r="C31" s="209">
        <v>0</v>
      </c>
      <c r="D31" s="515">
        <f t="shared" si="0"/>
        <v>0</v>
      </c>
      <c r="E31" s="536">
        <f>折疊車!G31</f>
        <v>0</v>
      </c>
      <c r="F31" s="209">
        <f>_xlfn.IFNA(VLOOKUP(A31,[3]折出同!$C$3:$H$355,3,0),-[4]整車!$B$22)</f>
        <v>0</v>
      </c>
      <c r="G31" s="515">
        <f t="shared" si="1"/>
        <v>0</v>
      </c>
      <c r="H31" s="86">
        <f t="shared" si="5"/>
        <v>0</v>
      </c>
      <c r="I31" s="87">
        <f t="shared" si="6"/>
        <v>0</v>
      </c>
      <c r="J31" s="512">
        <f t="shared" si="4"/>
        <v>0</v>
      </c>
    </row>
    <row r="32" spans="1:10">
      <c r="A32" s="453" t="s">
        <v>18</v>
      </c>
      <c r="B32" s="208">
        <f>折疊車!E32</f>
        <v>0</v>
      </c>
      <c r="C32" s="209">
        <v>0</v>
      </c>
      <c r="D32" s="515">
        <f t="shared" si="0"/>
        <v>0</v>
      </c>
      <c r="E32" s="536">
        <f>折疊車!G32</f>
        <v>0</v>
      </c>
      <c r="F32" s="209">
        <f>_xlfn.IFNA(VLOOKUP(A32,[3]折出同!$C$3:$H$355,3,0),-[4]整車!$B$22)</f>
        <v>0</v>
      </c>
      <c r="G32" s="515">
        <f t="shared" si="1"/>
        <v>0</v>
      </c>
      <c r="H32" s="86">
        <f t="shared" si="5"/>
        <v>0</v>
      </c>
      <c r="I32" s="87">
        <f t="shared" si="6"/>
        <v>0</v>
      </c>
      <c r="J32" s="512">
        <f t="shared" si="4"/>
        <v>0</v>
      </c>
    </row>
    <row r="33" spans="1:10">
      <c r="A33" s="453" t="s">
        <v>214</v>
      </c>
      <c r="B33" s="208">
        <f>折疊車!E33</f>
        <v>0</v>
      </c>
      <c r="C33" s="209">
        <v>0</v>
      </c>
      <c r="D33" s="515">
        <f t="shared" si="0"/>
        <v>0</v>
      </c>
      <c r="E33" s="536">
        <f>折疊車!G33</f>
        <v>0</v>
      </c>
      <c r="F33" s="209">
        <f>_xlfn.IFNA(VLOOKUP(A33,[3]折出同!$C$3:$H$355,3,0),-[4]整車!$B$22)</f>
        <v>0</v>
      </c>
      <c r="G33" s="515">
        <f t="shared" si="1"/>
        <v>0</v>
      </c>
      <c r="H33" s="86">
        <f t="shared" si="5"/>
        <v>0</v>
      </c>
      <c r="I33" s="87">
        <f t="shared" si="6"/>
        <v>0</v>
      </c>
      <c r="J33" s="512">
        <f t="shared" si="4"/>
        <v>0</v>
      </c>
    </row>
    <row r="34" spans="1:10">
      <c r="A34" s="453" t="s">
        <v>215</v>
      </c>
      <c r="B34" s="208">
        <f>折疊車!E34</f>
        <v>0</v>
      </c>
      <c r="C34" s="209">
        <v>0</v>
      </c>
      <c r="D34" s="515">
        <f t="shared" si="0"/>
        <v>0</v>
      </c>
      <c r="E34" s="536">
        <f>折疊車!G34</f>
        <v>0</v>
      </c>
      <c r="F34" s="209">
        <f>_xlfn.IFNA(VLOOKUP(A34,[3]折出同!$C$3:$H$355,3,0),-[4]整車!$B$22)</f>
        <v>0</v>
      </c>
      <c r="G34" s="515">
        <f t="shared" si="1"/>
        <v>0</v>
      </c>
      <c r="H34" s="86">
        <f t="shared" si="5"/>
        <v>0</v>
      </c>
      <c r="I34" s="87">
        <f t="shared" si="6"/>
        <v>0</v>
      </c>
      <c r="J34" s="512">
        <f t="shared" si="4"/>
        <v>0</v>
      </c>
    </row>
    <row r="35" spans="1:10">
      <c r="A35" s="453" t="s">
        <v>216</v>
      </c>
      <c r="B35" s="208">
        <f>折疊車!E35</f>
        <v>0</v>
      </c>
      <c r="C35" s="209">
        <v>0</v>
      </c>
      <c r="D35" s="515">
        <f t="shared" si="0"/>
        <v>0</v>
      </c>
      <c r="E35" s="536">
        <f>折疊車!G35</f>
        <v>0</v>
      </c>
      <c r="F35" s="209">
        <f>_xlfn.IFNA(VLOOKUP(A35,[3]折出同!$C$3:$H$355,3,0),-[4]整車!$B$22)</f>
        <v>0</v>
      </c>
      <c r="G35" s="515">
        <f t="shared" si="1"/>
        <v>0</v>
      </c>
      <c r="H35" s="86">
        <f t="shared" si="5"/>
        <v>0</v>
      </c>
      <c r="I35" s="87">
        <f t="shared" si="6"/>
        <v>0</v>
      </c>
      <c r="J35" s="512">
        <f t="shared" si="4"/>
        <v>0</v>
      </c>
    </row>
    <row r="36" spans="1:10">
      <c r="A36" s="453" t="s">
        <v>384</v>
      </c>
      <c r="B36" s="208">
        <f>折疊車!E36</f>
        <v>0</v>
      </c>
      <c r="C36" s="209">
        <v>0</v>
      </c>
      <c r="D36" s="515">
        <f t="shared" si="0"/>
        <v>0</v>
      </c>
      <c r="E36" s="536">
        <f>折疊車!G36</f>
        <v>0</v>
      </c>
      <c r="F36" s="209">
        <f>_xlfn.IFNA(VLOOKUP(A36,[3]折出同!$C$3:$H$355,3,0),-[4]整車!$B$22)</f>
        <v>0</v>
      </c>
      <c r="G36" s="515">
        <f t="shared" si="1"/>
        <v>0</v>
      </c>
      <c r="H36" s="86">
        <f t="shared" si="5"/>
        <v>0</v>
      </c>
      <c r="I36" s="87">
        <f t="shared" si="6"/>
        <v>0</v>
      </c>
      <c r="J36" s="512">
        <f t="shared" si="4"/>
        <v>0</v>
      </c>
    </row>
    <row r="37" spans="1:10">
      <c r="A37" s="453" t="s">
        <v>218</v>
      </c>
      <c r="B37" s="208">
        <f>折疊車!E37</f>
        <v>0</v>
      </c>
      <c r="C37" s="209">
        <v>0</v>
      </c>
      <c r="D37" s="515">
        <f t="shared" si="0"/>
        <v>0</v>
      </c>
      <c r="E37" s="536">
        <f>折疊車!G37</f>
        <v>0</v>
      </c>
      <c r="F37" s="209">
        <f>_xlfn.IFNA(VLOOKUP(A37,[3]折出同!$C$3:$H$355,3,0),-[4]整車!$B$22)</f>
        <v>0</v>
      </c>
      <c r="G37" s="515">
        <f t="shared" si="1"/>
        <v>0</v>
      </c>
      <c r="H37" s="86">
        <f t="shared" si="5"/>
        <v>0</v>
      </c>
      <c r="I37" s="87">
        <f t="shared" si="6"/>
        <v>0</v>
      </c>
      <c r="J37" s="512">
        <f t="shared" si="4"/>
        <v>0</v>
      </c>
    </row>
    <row r="38" spans="1:10">
      <c r="A38" s="453" t="s">
        <v>219</v>
      </c>
      <c r="B38" s="208">
        <f>折疊車!E38</f>
        <v>0</v>
      </c>
      <c r="C38" s="209">
        <v>0</v>
      </c>
      <c r="D38" s="515">
        <f t="shared" si="0"/>
        <v>0</v>
      </c>
      <c r="E38" s="536">
        <f>折疊車!G38</f>
        <v>0</v>
      </c>
      <c r="F38" s="209">
        <f>_xlfn.IFNA(VLOOKUP(A38,[3]折出同!$C$3:$H$355,3,0),-[4]整車!$B$22)</f>
        <v>0</v>
      </c>
      <c r="G38" s="515">
        <f t="shared" si="1"/>
        <v>0</v>
      </c>
      <c r="H38" s="86">
        <f t="shared" si="5"/>
        <v>0</v>
      </c>
      <c r="I38" s="87">
        <f t="shared" si="6"/>
        <v>0</v>
      </c>
      <c r="J38" s="512">
        <f t="shared" si="4"/>
        <v>0</v>
      </c>
    </row>
    <row r="39" spans="1:10">
      <c r="A39" s="453" t="s">
        <v>19</v>
      </c>
      <c r="B39" s="208">
        <f>折疊車!E39</f>
        <v>0</v>
      </c>
      <c r="C39" s="209">
        <v>0</v>
      </c>
      <c r="D39" s="515">
        <f t="shared" si="0"/>
        <v>0</v>
      </c>
      <c r="E39" s="536">
        <f>折疊車!G39</f>
        <v>0</v>
      </c>
      <c r="F39" s="209">
        <f>_xlfn.IFNA(VLOOKUP(A39,[3]折出同!$C$3:$H$355,3,0),-[4]整車!$B$22)</f>
        <v>0</v>
      </c>
      <c r="G39" s="515">
        <f t="shared" si="1"/>
        <v>0</v>
      </c>
      <c r="H39" s="86">
        <f t="shared" si="5"/>
        <v>0</v>
      </c>
      <c r="I39" s="87">
        <f t="shared" si="6"/>
        <v>0</v>
      </c>
      <c r="J39" s="512">
        <f t="shared" si="4"/>
        <v>0</v>
      </c>
    </row>
    <row r="40" spans="1:10">
      <c r="A40" s="30"/>
      <c r="B40" s="27"/>
      <c r="C40" s="89"/>
      <c r="D40" s="515"/>
      <c r="E40" s="536"/>
      <c r="F40" s="89"/>
      <c r="G40" s="515"/>
      <c r="H40" s="86"/>
      <c r="I40" s="87"/>
      <c r="J40" s="512"/>
    </row>
    <row r="41" spans="1:10" ht="16.149999999999999" customHeight="1">
      <c r="A41" s="36" t="s">
        <v>20</v>
      </c>
      <c r="B41" s="33">
        <f>SUM(B42:B45)</f>
        <v>0</v>
      </c>
      <c r="C41" s="90">
        <f>SUM(C42:C45)</f>
        <v>0</v>
      </c>
      <c r="D41" s="515">
        <f t="shared" si="0"/>
        <v>0</v>
      </c>
      <c r="E41" s="537">
        <f>SUM(E42:E45)</f>
        <v>0</v>
      </c>
      <c r="F41" s="90">
        <f>SUM(F42:F45)</f>
        <v>0</v>
      </c>
      <c r="G41" s="515">
        <f t="shared" si="1"/>
        <v>0</v>
      </c>
      <c r="H41" s="86">
        <f t="shared" si="5"/>
        <v>0</v>
      </c>
      <c r="I41" s="87">
        <f t="shared" si="6"/>
        <v>0</v>
      </c>
      <c r="J41" s="512">
        <f t="shared" si="4"/>
        <v>0</v>
      </c>
    </row>
    <row r="42" spans="1:10">
      <c r="A42" s="26" t="s">
        <v>220</v>
      </c>
      <c r="B42" s="27">
        <f>折疊車!E42</f>
        <v>0</v>
      </c>
      <c r="C42" s="89">
        <f>_xlfn.IFNA(VLOOKUP(A42,[3]折出同!$C$3:$H$326,5,0),-[4]整車!$B$22)</f>
        <v>0</v>
      </c>
      <c r="D42" s="515">
        <f t="shared" si="0"/>
        <v>0</v>
      </c>
      <c r="E42" s="536">
        <f>折疊車!G42</f>
        <v>0</v>
      </c>
      <c r="F42" s="209">
        <f>_xlfn.IFNA(VLOOKUP(A42,[3]折出同!$C$3:$H$325,3,0),-[4]整車!$B$22)</f>
        <v>0</v>
      </c>
      <c r="G42" s="515">
        <f t="shared" si="1"/>
        <v>0</v>
      </c>
      <c r="H42" s="86">
        <f t="shared" si="5"/>
        <v>0</v>
      </c>
      <c r="I42" s="87">
        <f t="shared" si="6"/>
        <v>0</v>
      </c>
      <c r="J42" s="512">
        <f t="shared" si="4"/>
        <v>0</v>
      </c>
    </row>
    <row r="43" spans="1:10">
      <c r="A43" s="26" t="s">
        <v>221</v>
      </c>
      <c r="B43" s="27">
        <f>折疊車!E43</f>
        <v>0</v>
      </c>
      <c r="C43" s="89">
        <f>_xlfn.IFNA(VLOOKUP(A43,[3]折出同!$C$3:$H$326,5,0),-[4]整車!$B$22)</f>
        <v>0</v>
      </c>
      <c r="D43" s="515">
        <f t="shared" si="0"/>
        <v>0</v>
      </c>
      <c r="E43" s="536">
        <f>折疊車!G43</f>
        <v>0</v>
      </c>
      <c r="F43" s="209">
        <f>_xlfn.IFNA(VLOOKUP(A43,[3]折出同!$C$3:$H$325,3,0),-[4]整車!$B$22)</f>
        <v>0</v>
      </c>
      <c r="G43" s="515">
        <f t="shared" si="1"/>
        <v>0</v>
      </c>
      <c r="H43" s="86">
        <f t="shared" si="5"/>
        <v>0</v>
      </c>
      <c r="I43" s="87">
        <f t="shared" si="6"/>
        <v>0</v>
      </c>
      <c r="J43" s="512">
        <f t="shared" si="4"/>
        <v>0</v>
      </c>
    </row>
    <row r="44" spans="1:10">
      <c r="A44" s="26" t="s">
        <v>222</v>
      </c>
      <c r="B44" s="27">
        <f>折疊車!E44</f>
        <v>0</v>
      </c>
      <c r="C44" s="89">
        <f>_xlfn.IFNA(VLOOKUP(A44,[3]折出同!$C$3:$H$326,5,0),-[4]整車!$B$22)</f>
        <v>0</v>
      </c>
      <c r="D44" s="515">
        <f t="shared" si="0"/>
        <v>0</v>
      </c>
      <c r="E44" s="536">
        <f>折疊車!G44</f>
        <v>0</v>
      </c>
      <c r="F44" s="209">
        <f>_xlfn.IFNA(VLOOKUP(A44,[3]折出同!$C$3:$H$325,3,0),-[4]整車!$B$22)</f>
        <v>0</v>
      </c>
      <c r="G44" s="515">
        <f t="shared" si="1"/>
        <v>0</v>
      </c>
      <c r="H44" s="86">
        <f t="shared" si="5"/>
        <v>0</v>
      </c>
      <c r="I44" s="87">
        <f t="shared" si="6"/>
        <v>0</v>
      </c>
      <c r="J44" s="512">
        <f t="shared" si="4"/>
        <v>0</v>
      </c>
    </row>
    <row r="45" spans="1:10">
      <c r="A45" s="30" t="s">
        <v>21</v>
      </c>
      <c r="B45" s="27">
        <f>折疊車!E45</f>
        <v>0</v>
      </c>
      <c r="C45" s="89">
        <f>_xlfn.IFNA(VLOOKUP(A45,[3]折出同!$C$3:$H$326,5,0),-[4]整車!$B$22)</f>
        <v>0</v>
      </c>
      <c r="D45" s="515">
        <f t="shared" si="0"/>
        <v>0</v>
      </c>
      <c r="E45" s="536">
        <f>折疊車!G45</f>
        <v>0</v>
      </c>
      <c r="F45" s="209">
        <f>_xlfn.IFNA(VLOOKUP(A45,[3]折出同!$C$3:$H$325,3,0),-[4]整車!$B$22)</f>
        <v>0</v>
      </c>
      <c r="G45" s="515">
        <f t="shared" si="1"/>
        <v>0</v>
      </c>
      <c r="H45" s="86">
        <f t="shared" si="5"/>
        <v>0</v>
      </c>
      <c r="I45" s="87">
        <f t="shared" si="6"/>
        <v>0</v>
      </c>
      <c r="J45" s="512">
        <f t="shared" si="4"/>
        <v>0</v>
      </c>
    </row>
    <row r="46" spans="1:10">
      <c r="A46" s="30"/>
      <c r="B46" s="27"/>
      <c r="C46" s="89"/>
      <c r="D46" s="515"/>
      <c r="E46" s="536"/>
      <c r="F46" s="89"/>
      <c r="G46" s="515"/>
      <c r="H46" s="86"/>
      <c r="I46" s="87"/>
      <c r="J46" s="512"/>
    </row>
    <row r="47" spans="1:10">
      <c r="A47" s="36" t="s">
        <v>22</v>
      </c>
      <c r="B47" s="33">
        <f>SUM(B48:B66)</f>
        <v>7731</v>
      </c>
      <c r="C47" s="90">
        <f>SUM(C48:C66)</f>
        <v>10478</v>
      </c>
      <c r="D47" s="515">
        <f t="shared" si="0"/>
        <v>-0.26216835273907235</v>
      </c>
      <c r="E47" s="537">
        <f>SUM(E48:E66)</f>
        <v>5477517</v>
      </c>
      <c r="F47" s="90">
        <f>SUM(F48:F66)</f>
        <v>8007038</v>
      </c>
      <c r="G47" s="515">
        <f t="shared" si="1"/>
        <v>-0.31591220124095826</v>
      </c>
      <c r="H47" s="86">
        <f t="shared" si="5"/>
        <v>708.51338766006984</v>
      </c>
      <c r="I47" s="87">
        <f t="shared" si="6"/>
        <v>764.17617866004957</v>
      </c>
      <c r="J47" s="512">
        <f t="shared" si="4"/>
        <v>-7.2840259294109463E-2</v>
      </c>
    </row>
    <row r="48" spans="1:10">
      <c r="A48" s="484" t="s">
        <v>163</v>
      </c>
      <c r="B48" s="27">
        <f>折疊車!E48</f>
        <v>0</v>
      </c>
      <c r="C48" s="209">
        <f>VLOOKUP(A48,[11]進出口值表查詢結果!$A$9:$C$29,3,0)</f>
        <v>1352</v>
      </c>
      <c r="D48" s="515">
        <f t="shared" si="0"/>
        <v>-1</v>
      </c>
      <c r="E48" s="536">
        <f>折疊車!G48</f>
        <v>0</v>
      </c>
      <c r="F48" s="209">
        <f>VLOOKUP(A48,[11]進出口值表查詢結果!$A$9:$C$29,2,0)</f>
        <v>302135</v>
      </c>
      <c r="G48" s="515">
        <f t="shared" si="1"/>
        <v>-1</v>
      </c>
      <c r="H48" s="86">
        <f t="shared" si="5"/>
        <v>0</v>
      </c>
      <c r="I48" s="87">
        <f t="shared" si="6"/>
        <v>223.47263313609469</v>
      </c>
      <c r="J48" s="512">
        <f t="shared" si="4"/>
        <v>-1</v>
      </c>
    </row>
    <row r="49" spans="1:10">
      <c r="A49" s="452" t="s">
        <v>223</v>
      </c>
      <c r="B49" s="27">
        <f>折疊車!E49</f>
        <v>1232</v>
      </c>
      <c r="C49" s="209">
        <f>VLOOKUP(A49,[11]進出口值表查詢結果!$A$9:$C$29,3,0)</f>
        <v>2246</v>
      </c>
      <c r="D49" s="515">
        <f t="shared" si="0"/>
        <v>-0.45146927871772041</v>
      </c>
      <c r="E49" s="536">
        <f>折疊車!G49</f>
        <v>942176</v>
      </c>
      <c r="F49" s="209">
        <f>VLOOKUP(A49,[11]進出口值表查詢結果!$A$9:$C$29,2,0)</f>
        <v>1446862</v>
      </c>
      <c r="G49" s="515">
        <f t="shared" si="1"/>
        <v>-0.34881419236941741</v>
      </c>
      <c r="H49" s="86">
        <f t="shared" si="5"/>
        <v>764.7532467532468</v>
      </c>
      <c r="I49" s="87">
        <f t="shared" si="6"/>
        <v>644.19501335707923</v>
      </c>
      <c r="J49" s="512">
        <f t="shared" si="4"/>
        <v>0.18714555514471481</v>
      </c>
    </row>
    <row r="50" spans="1:10">
      <c r="A50" s="288" t="s">
        <v>224</v>
      </c>
      <c r="B50" s="27">
        <f>折疊車!E50</f>
        <v>0</v>
      </c>
      <c r="C50" s="209">
        <v>0</v>
      </c>
      <c r="D50" s="515">
        <f t="shared" si="0"/>
        <v>0</v>
      </c>
      <c r="E50" s="536">
        <f>折疊車!G50</f>
        <v>0</v>
      </c>
      <c r="F50" s="209">
        <f>_xlfn.IFNA(VLOOKUP(A50,[3]折出同!$C$3:$H$532,3,0),-[4]整車!$B$22)</f>
        <v>0</v>
      </c>
      <c r="G50" s="515">
        <f t="shared" si="1"/>
        <v>0</v>
      </c>
      <c r="H50" s="86">
        <f t="shared" si="5"/>
        <v>0</v>
      </c>
      <c r="I50" s="87">
        <f t="shared" si="6"/>
        <v>0</v>
      </c>
      <c r="J50" s="512">
        <f t="shared" si="4"/>
        <v>0</v>
      </c>
    </row>
    <row r="51" spans="1:10">
      <c r="A51" s="452" t="s">
        <v>225</v>
      </c>
      <c r="B51" s="27">
        <f>折疊車!E51</f>
        <v>0</v>
      </c>
      <c r="C51" s="209">
        <v>0</v>
      </c>
      <c r="D51" s="515">
        <f t="shared" si="0"/>
        <v>0</v>
      </c>
      <c r="E51" s="536">
        <f>折疊車!G51</f>
        <v>0</v>
      </c>
      <c r="F51" s="209">
        <f>_xlfn.IFNA(VLOOKUP(A51,[3]折出同!$C$3:$H$532,3,0),-[4]整車!$B$22)</f>
        <v>0</v>
      </c>
      <c r="G51" s="515">
        <f t="shared" si="1"/>
        <v>0</v>
      </c>
      <c r="H51" s="86">
        <f t="shared" si="5"/>
        <v>0</v>
      </c>
      <c r="I51" s="87">
        <f t="shared" si="6"/>
        <v>0</v>
      </c>
      <c r="J51" s="512">
        <f t="shared" si="4"/>
        <v>0</v>
      </c>
    </row>
    <row r="52" spans="1:10">
      <c r="A52" s="453" t="s">
        <v>23</v>
      </c>
      <c r="B52" s="27">
        <f>折疊車!E52</f>
        <v>0</v>
      </c>
      <c r="C52" s="209">
        <v>0</v>
      </c>
      <c r="D52" s="515">
        <f t="shared" si="0"/>
        <v>0</v>
      </c>
      <c r="E52" s="536">
        <f>折疊車!G52</f>
        <v>0</v>
      </c>
      <c r="F52" s="209">
        <f>_xlfn.IFNA(VLOOKUP(A52,[3]折出同!$C$3:$H$532,3,0),-[4]整車!$B$22)</f>
        <v>0</v>
      </c>
      <c r="G52" s="515">
        <f t="shared" si="1"/>
        <v>0</v>
      </c>
      <c r="H52" s="86">
        <f t="shared" si="5"/>
        <v>0</v>
      </c>
      <c r="I52" s="87">
        <f t="shared" si="6"/>
        <v>0</v>
      </c>
      <c r="J52" s="512">
        <f t="shared" si="4"/>
        <v>0</v>
      </c>
    </row>
    <row r="53" spans="1:10">
      <c r="A53" s="452" t="s">
        <v>226</v>
      </c>
      <c r="B53" s="27">
        <f>折疊車!E53</f>
        <v>0</v>
      </c>
      <c r="C53" s="209">
        <v>0</v>
      </c>
      <c r="D53" s="515">
        <f t="shared" si="0"/>
        <v>0</v>
      </c>
      <c r="E53" s="536">
        <f>折疊車!G53</f>
        <v>0</v>
      </c>
      <c r="F53" s="209">
        <f>_xlfn.IFNA(VLOOKUP(A53,[3]折出同!$C$3:$H$532,3,0),-[4]整車!$B$22)</f>
        <v>0</v>
      </c>
      <c r="G53" s="515">
        <f t="shared" si="1"/>
        <v>0</v>
      </c>
      <c r="H53" s="86">
        <f t="shared" si="5"/>
        <v>0</v>
      </c>
      <c r="I53" s="87">
        <f t="shared" si="6"/>
        <v>0</v>
      </c>
      <c r="J53" s="512">
        <f t="shared" si="4"/>
        <v>0</v>
      </c>
    </row>
    <row r="54" spans="1:10">
      <c r="A54" s="453" t="s">
        <v>227</v>
      </c>
      <c r="B54" s="27">
        <f>折疊車!E54</f>
        <v>43</v>
      </c>
      <c r="C54" s="209">
        <f>VLOOKUP(A54,[11]進出口值表查詢結果!$A$9:$C$29,3,0)</f>
        <v>44</v>
      </c>
      <c r="D54" s="515">
        <f t="shared" si="0"/>
        <v>-2.2727272727272728E-2</v>
      </c>
      <c r="E54" s="536">
        <f>折疊車!G54</f>
        <v>29985</v>
      </c>
      <c r="F54" s="209">
        <f>VLOOKUP(A54,[11]進出口值表查詢結果!$A$9:$C$29,2,0)</f>
        <v>43493</v>
      </c>
      <c r="G54" s="515">
        <f t="shared" si="1"/>
        <v>-0.31057871381601637</v>
      </c>
      <c r="H54" s="86">
        <f t="shared" si="5"/>
        <v>697.32558139534888</v>
      </c>
      <c r="I54" s="87">
        <f t="shared" si="6"/>
        <v>988.47727272727275</v>
      </c>
      <c r="J54" s="512">
        <f t="shared" si="4"/>
        <v>-0.29454566064894694</v>
      </c>
    </row>
    <row r="55" spans="1:10">
      <c r="A55" s="453" t="s">
        <v>24</v>
      </c>
      <c r="B55" s="27">
        <f>折疊車!E55</f>
        <v>0</v>
      </c>
      <c r="C55" s="209">
        <v>0</v>
      </c>
      <c r="D55" s="515">
        <f t="shared" si="0"/>
        <v>0</v>
      </c>
      <c r="E55" s="536">
        <f>折疊車!G55</f>
        <v>0</v>
      </c>
      <c r="F55" s="209">
        <f>_xlfn.IFNA(VLOOKUP(A55,[3]折出同!$C$3:$H$532,3,0),-[4]整車!$B$22)</f>
        <v>0</v>
      </c>
      <c r="G55" s="515">
        <f t="shared" si="1"/>
        <v>0</v>
      </c>
      <c r="H55" s="86">
        <f t="shared" si="5"/>
        <v>0</v>
      </c>
      <c r="I55" s="87">
        <f t="shared" si="6"/>
        <v>0</v>
      </c>
      <c r="J55" s="512">
        <f t="shared" si="4"/>
        <v>0</v>
      </c>
    </row>
    <row r="56" spans="1:10">
      <c r="A56" s="453" t="s">
        <v>228</v>
      </c>
      <c r="B56" s="27">
        <f>折疊車!E56</f>
        <v>3196</v>
      </c>
      <c r="C56" s="209">
        <f>VLOOKUP(A56,[11]進出口值表查詢結果!$A$9:$C$29,3,0)</f>
        <v>2463</v>
      </c>
      <c r="D56" s="515">
        <f t="shared" si="0"/>
        <v>0.2976045473000406</v>
      </c>
      <c r="E56" s="536">
        <f>折疊車!G56</f>
        <v>2056250</v>
      </c>
      <c r="F56" s="209">
        <f>VLOOKUP(A56,[11]進出口值表查詢結果!$A$9:$C$29,2,0)</f>
        <v>2367086</v>
      </c>
      <c r="G56" s="515">
        <f t="shared" si="1"/>
        <v>-0.13131588797365198</v>
      </c>
      <c r="H56" s="86">
        <f t="shared" si="5"/>
        <v>643.38235294117646</v>
      </c>
      <c r="I56" s="87">
        <f t="shared" si="6"/>
        <v>961.0580592773041</v>
      </c>
      <c r="J56" s="512">
        <f t="shared" si="4"/>
        <v>-0.33054788237769239</v>
      </c>
    </row>
    <row r="57" spans="1:10">
      <c r="A57" s="455" t="s">
        <v>229</v>
      </c>
      <c r="B57" s="27">
        <f>折疊車!E57</f>
        <v>2095</v>
      </c>
      <c r="C57" s="209">
        <f>VLOOKUP(A57,[11]進出口值表查詢結果!$A$9:$C$29,3,0)</f>
        <v>3204</v>
      </c>
      <c r="D57" s="515">
        <f t="shared" si="0"/>
        <v>-0.34612983770287142</v>
      </c>
      <c r="E57" s="536">
        <f>折疊車!G57</f>
        <v>1773882</v>
      </c>
      <c r="F57" s="209">
        <f>VLOOKUP(A57,[11]進出口值表查詢結果!$A$9:$C$29,2,0)</f>
        <v>2978947</v>
      </c>
      <c r="G57" s="515">
        <f t="shared" si="1"/>
        <v>-0.40452717017120476</v>
      </c>
      <c r="H57" s="86">
        <f t="shared" si="5"/>
        <v>846.72171837708834</v>
      </c>
      <c r="I57" s="87">
        <f t="shared" si="6"/>
        <v>929.75873907615482</v>
      </c>
      <c r="J57" s="512">
        <f t="shared" si="4"/>
        <v>-8.9310287937250654E-2</v>
      </c>
    </row>
    <row r="58" spans="1:10">
      <c r="A58" s="291" t="s">
        <v>385</v>
      </c>
      <c r="B58" s="27">
        <f>折疊車!E58</f>
        <v>340</v>
      </c>
      <c r="C58" s="209">
        <f>VLOOKUP(A58,[11]進出口值表查詢結果!$A$9:$C$29,3,0)</f>
        <v>642</v>
      </c>
      <c r="D58" s="515">
        <f t="shared" si="0"/>
        <v>-0.47040498442367601</v>
      </c>
      <c r="E58" s="536">
        <f>折疊車!G58</f>
        <v>308636</v>
      </c>
      <c r="F58" s="209">
        <f>VLOOKUP(A58,[11]進出口值表查詢結果!$A$9:$C$29,2,0)</f>
        <v>625448</v>
      </c>
      <c r="G58" s="515">
        <f t="shared" si="1"/>
        <v>-0.50653611491283046</v>
      </c>
      <c r="H58" s="86">
        <f t="shared" si="5"/>
        <v>907.75294117647059</v>
      </c>
      <c r="I58" s="87">
        <f t="shared" si="6"/>
        <v>974.21806853582552</v>
      </c>
      <c r="J58" s="512">
        <f t="shared" si="4"/>
        <v>-6.8224075805991657E-2</v>
      </c>
    </row>
    <row r="59" spans="1:10">
      <c r="A59" s="453" t="s">
        <v>25</v>
      </c>
      <c r="B59" s="27">
        <f>折疊車!E59</f>
        <v>820</v>
      </c>
      <c r="C59" s="209">
        <f>VLOOKUP(A59,[11]進出口值表查詢結果!$A$9:$C$29,3,0)</f>
        <v>440</v>
      </c>
      <c r="D59" s="515">
        <f t="shared" si="0"/>
        <v>0.86363636363636365</v>
      </c>
      <c r="E59" s="536">
        <f>折疊車!G59</f>
        <v>366327</v>
      </c>
      <c r="F59" s="209">
        <f>VLOOKUP(A59,[11]進出口值表查詢結果!$A$9:$C$29,2,0)</f>
        <v>139662</v>
      </c>
      <c r="G59" s="515">
        <f t="shared" si="1"/>
        <v>1.6229539889160975</v>
      </c>
      <c r="H59" s="86">
        <f t="shared" si="5"/>
        <v>446.74024390243903</v>
      </c>
      <c r="I59" s="87">
        <f t="shared" si="6"/>
        <v>317.41363636363639</v>
      </c>
      <c r="J59" s="512">
        <f t="shared" si="4"/>
        <v>0.40743872575985707</v>
      </c>
    </row>
    <row r="60" spans="1:10">
      <c r="A60" s="453" t="s">
        <v>26</v>
      </c>
      <c r="B60" s="27">
        <f>折疊車!E60</f>
        <v>0</v>
      </c>
      <c r="C60" s="209">
        <v>0</v>
      </c>
      <c r="D60" s="515">
        <f t="shared" si="0"/>
        <v>0</v>
      </c>
      <c r="E60" s="536">
        <f>折疊車!G60</f>
        <v>0</v>
      </c>
      <c r="F60" s="209">
        <f>_xlfn.IFNA(VLOOKUP(A60,[3]折出同!$C$3:$H$532,3,0),-[4]整車!$B$22)</f>
        <v>0</v>
      </c>
      <c r="G60" s="515">
        <f t="shared" si="1"/>
        <v>0</v>
      </c>
      <c r="H60" s="86">
        <f t="shared" si="5"/>
        <v>0</v>
      </c>
      <c r="I60" s="87">
        <f t="shared" si="6"/>
        <v>0</v>
      </c>
      <c r="J60" s="512">
        <f t="shared" si="4"/>
        <v>0</v>
      </c>
    </row>
    <row r="61" spans="1:10">
      <c r="A61" s="453" t="s">
        <v>27</v>
      </c>
      <c r="B61" s="27">
        <f>折疊車!E61</f>
        <v>0</v>
      </c>
      <c r="C61" s="209">
        <v>0</v>
      </c>
      <c r="D61" s="515">
        <f t="shared" si="0"/>
        <v>0</v>
      </c>
      <c r="E61" s="536">
        <f>折疊車!G61</f>
        <v>0</v>
      </c>
      <c r="F61" s="209">
        <f>_xlfn.IFNA(VLOOKUP(A61,[3]折出同!$C$3:$H$532,3,0),-[4]整車!$B$22)</f>
        <v>0</v>
      </c>
      <c r="G61" s="515">
        <f t="shared" si="1"/>
        <v>0</v>
      </c>
      <c r="H61" s="86">
        <f t="shared" si="5"/>
        <v>0</v>
      </c>
      <c r="I61" s="87">
        <f t="shared" si="6"/>
        <v>0</v>
      </c>
      <c r="J61" s="512">
        <f t="shared" si="4"/>
        <v>0</v>
      </c>
    </row>
    <row r="62" spans="1:10">
      <c r="A62" s="291" t="s">
        <v>230</v>
      </c>
      <c r="B62" s="27">
        <f>折疊車!E62</f>
        <v>0</v>
      </c>
      <c r="C62" s="209">
        <v>0</v>
      </c>
      <c r="D62" s="515">
        <f t="shared" si="0"/>
        <v>0</v>
      </c>
      <c r="E62" s="536">
        <f>折疊車!G62</f>
        <v>0</v>
      </c>
      <c r="F62" s="209">
        <f>_xlfn.IFNA(VLOOKUP(A62,[3]折出同!$C$3:$H$532,3,0),-[4]整車!$B$22)</f>
        <v>0</v>
      </c>
      <c r="G62" s="515">
        <f t="shared" si="1"/>
        <v>0</v>
      </c>
      <c r="H62" s="86">
        <f t="shared" si="5"/>
        <v>0</v>
      </c>
      <c r="I62" s="87">
        <f t="shared" si="6"/>
        <v>0</v>
      </c>
      <c r="J62" s="512">
        <f t="shared" si="4"/>
        <v>0</v>
      </c>
    </row>
    <row r="63" spans="1:10">
      <c r="A63" s="453" t="s">
        <v>28</v>
      </c>
      <c r="B63" s="27">
        <f>折疊車!E63</f>
        <v>0</v>
      </c>
      <c r="C63" s="209">
        <v>0</v>
      </c>
      <c r="D63" s="515">
        <f t="shared" si="0"/>
        <v>0</v>
      </c>
      <c r="E63" s="536">
        <f>折疊車!G63</f>
        <v>0</v>
      </c>
      <c r="F63" s="209">
        <f>_xlfn.IFNA(VLOOKUP(A63,[3]折出同!$C$3:$H$532,3,0),-[4]整車!$B$22)</f>
        <v>0</v>
      </c>
      <c r="G63" s="515">
        <f t="shared" si="1"/>
        <v>0</v>
      </c>
      <c r="H63" s="86">
        <f t="shared" si="5"/>
        <v>0</v>
      </c>
      <c r="I63" s="87">
        <f t="shared" si="6"/>
        <v>0</v>
      </c>
      <c r="J63" s="512">
        <f t="shared" si="4"/>
        <v>0</v>
      </c>
    </row>
    <row r="64" spans="1:10">
      <c r="A64" s="291" t="s">
        <v>231</v>
      </c>
      <c r="B64" s="27">
        <f>折疊車!E64</f>
        <v>0</v>
      </c>
      <c r="C64" s="209">
        <v>0</v>
      </c>
      <c r="D64" s="515">
        <f t="shared" si="0"/>
        <v>0</v>
      </c>
      <c r="E64" s="536">
        <f>折疊車!G64</f>
        <v>0</v>
      </c>
      <c r="F64" s="209">
        <f>_xlfn.IFNA(VLOOKUP(A64,[3]折出同!$C$3:$H$532,3,0),-[4]整車!$B$22)</f>
        <v>0</v>
      </c>
      <c r="G64" s="515">
        <f t="shared" si="1"/>
        <v>0</v>
      </c>
      <c r="H64" s="86">
        <f t="shared" si="5"/>
        <v>0</v>
      </c>
      <c r="I64" s="87">
        <f t="shared" si="6"/>
        <v>0</v>
      </c>
      <c r="J64" s="512">
        <f t="shared" si="4"/>
        <v>0</v>
      </c>
    </row>
    <row r="65" spans="1:10">
      <c r="A65" s="453" t="s">
        <v>29</v>
      </c>
      <c r="B65" s="27">
        <f>折疊車!E65</f>
        <v>0</v>
      </c>
      <c r="C65" s="209">
        <f>VLOOKUP(A65,[11]進出口值表查詢結果!$A$9:$C$29,3,0)</f>
        <v>78</v>
      </c>
      <c r="D65" s="515">
        <f t="shared" si="0"/>
        <v>-1</v>
      </c>
      <c r="E65" s="536">
        <f>折疊車!G65</f>
        <v>0</v>
      </c>
      <c r="F65" s="209">
        <f>VLOOKUP(A65,[11]進出口值表查詢結果!$A$9:$C$29,2,0)</f>
        <v>99783</v>
      </c>
      <c r="G65" s="515">
        <f t="shared" si="1"/>
        <v>-1</v>
      </c>
      <c r="H65" s="86">
        <f t="shared" si="5"/>
        <v>0</v>
      </c>
      <c r="I65" s="87">
        <f t="shared" si="6"/>
        <v>1279.2692307692307</v>
      </c>
      <c r="J65" s="512">
        <f t="shared" si="4"/>
        <v>-1</v>
      </c>
    </row>
    <row r="66" spans="1:10">
      <c r="A66" s="291" t="s">
        <v>232</v>
      </c>
      <c r="B66" s="27">
        <f>折疊車!E66</f>
        <v>5</v>
      </c>
      <c r="C66" s="209">
        <f>VLOOKUP(A66,[11]進出口值表查詢結果!$A$9:$C$29,3,0)</f>
        <v>9</v>
      </c>
      <c r="D66" s="515">
        <f t="shared" si="0"/>
        <v>-0.44444444444444442</v>
      </c>
      <c r="E66" s="536">
        <f>折疊車!G66</f>
        <v>261</v>
      </c>
      <c r="F66" s="209">
        <f>VLOOKUP(A66,[11]進出口值表查詢結果!$A$9:$C$29,2,0)</f>
        <v>3622</v>
      </c>
      <c r="G66" s="515">
        <f t="shared" si="1"/>
        <v>-0.9279403644395362</v>
      </c>
      <c r="H66" s="86">
        <f t="shared" si="5"/>
        <v>52.2</v>
      </c>
      <c r="I66" s="87">
        <f t="shared" si="6"/>
        <v>402.44444444444446</v>
      </c>
      <c r="J66" s="512">
        <f t="shared" si="4"/>
        <v>-0.87029265599116512</v>
      </c>
    </row>
    <row r="67" spans="1:10">
      <c r="A67" s="30" t="s">
        <v>30</v>
      </c>
      <c r="B67" s="27">
        <f>B68-B47-B41-B12-B7</f>
        <v>9</v>
      </c>
      <c r="C67" s="89">
        <f>C68-C47-C41-C12-C7</f>
        <v>408</v>
      </c>
      <c r="D67" s="515">
        <f t="shared" si="0"/>
        <v>-0.9779411764705882</v>
      </c>
      <c r="E67" s="536">
        <f>E68-E47-E41-E12-E7</f>
        <v>3786</v>
      </c>
      <c r="F67" s="89">
        <f>F68-F47-F41-F12-F7</f>
        <v>253821</v>
      </c>
      <c r="G67" s="515">
        <f t="shared" si="1"/>
        <v>-0.98508397650312618</v>
      </c>
      <c r="H67" s="86">
        <f t="shared" si="5"/>
        <v>420.66666666666669</v>
      </c>
      <c r="I67" s="87">
        <f t="shared" si="6"/>
        <v>622.11029411764707</v>
      </c>
      <c r="J67" s="512">
        <f t="shared" si="4"/>
        <v>-0.32380693480838857</v>
      </c>
    </row>
    <row r="68" spans="1:10">
      <c r="A68" s="32" t="s">
        <v>403</v>
      </c>
      <c r="B68" s="33">
        <f>折疊車!E68</f>
        <v>9449</v>
      </c>
      <c r="C68" s="209">
        <f>VLOOKUP(A68,[11]進出口值表查詢結果!$A$9:$C$29,3,0)</f>
        <v>14873</v>
      </c>
      <c r="D68" s="515">
        <f t="shared" si="0"/>
        <v>-0.36468768910105559</v>
      </c>
      <c r="E68" s="537">
        <f>VLOOKUP(A68,[3]折出同!$B$2:$H$2,5,0)</f>
        <v>6540001</v>
      </c>
      <c r="F68" s="209">
        <f>VLOOKUP(A68,[11]進出口值表查詢結果!$A$9:$C$29,2,0)</f>
        <v>10143796</v>
      </c>
      <c r="G68" s="515">
        <f t="shared" si="1"/>
        <v>-0.35527084732382236</v>
      </c>
      <c r="H68" s="86">
        <f t="shared" ref="H68" si="7">E68/B68</f>
        <v>692.13683987723573</v>
      </c>
      <c r="I68" s="87">
        <f>F68/C68</f>
        <v>682.02756673166141</v>
      </c>
      <c r="J68" s="512">
        <f t="shared" si="4"/>
        <v>1.4822382024848179E-2</v>
      </c>
    </row>
    <row r="69" spans="1:10">
      <c r="A69" s="38"/>
      <c r="B69" s="39"/>
      <c r="C69" s="150"/>
      <c r="D69" s="210"/>
      <c r="E69" s="538"/>
      <c r="F69" s="150"/>
      <c r="G69" s="210"/>
    </row>
    <row r="70" spans="1:10" ht="12.75" customHeight="1">
      <c r="A70" s="54" t="s">
        <v>56</v>
      </c>
      <c r="B70" s="13"/>
      <c r="E70" s="539"/>
      <c r="G70" s="59" t="s">
        <v>119</v>
      </c>
    </row>
  </sheetData>
  <phoneticPr fontId="3" type="noConversion"/>
  <conditionalFormatting sqref="D4">
    <cfRule type="cellIs" dxfId="64" priority="3" operator="greaterThanOrEqual">
      <formula>0</formula>
    </cfRule>
    <cfRule type="cellIs" dxfId="63" priority="4" operator="lessThan">
      <formula>0</formula>
    </cfRule>
  </conditionalFormatting>
  <conditionalFormatting sqref="G4">
    <cfRule type="cellIs" dxfId="62" priority="1" operator="greaterThanOrEqual">
      <formula>0</formula>
    </cfRule>
    <cfRule type="cellIs" dxfId="61" priority="2" operator="lessThan">
      <formula>0</formula>
    </cfRule>
  </conditionalFormatting>
  <conditionalFormatting sqref="J1:J3 J6:J1048576">
    <cfRule type="cellIs" dxfId="60" priority="5" operator="greaterThanOrEqual">
      <formula>0</formula>
    </cfRule>
    <cfRule type="cellIs" dxfId="59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workbookViewId="0">
      <selection activeCell="A2" sqref="A2"/>
    </sheetView>
  </sheetViews>
  <sheetFormatPr defaultRowHeight="16.5"/>
  <cols>
    <col min="1" max="1" width="17.125" style="5" customWidth="1"/>
    <col min="2" max="2" width="16.125" style="5" customWidth="1"/>
    <col min="3" max="3" width="19.125" style="5" customWidth="1"/>
    <col min="4" max="4" width="13.875" style="5" customWidth="1"/>
    <col min="5" max="5" width="13.25" style="5" customWidth="1"/>
    <col min="6" max="6" width="10.25" style="5" customWidth="1"/>
    <col min="7" max="7" width="17.75" style="5" customWidth="1"/>
    <col min="8" max="8" width="10.875" style="5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477</v>
      </c>
      <c r="B1" s="1"/>
      <c r="C1" s="1"/>
      <c r="D1" s="1"/>
      <c r="E1" s="2"/>
      <c r="F1" s="2"/>
      <c r="G1" s="2"/>
      <c r="H1" s="2"/>
      <c r="I1" s="2"/>
    </row>
    <row r="2" spans="1:9" ht="9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5" customFormat="1" ht="17.25">
      <c r="A3" s="211" t="s">
        <v>157</v>
      </c>
      <c r="B3" s="212"/>
      <c r="C3" s="212"/>
      <c r="D3" s="212"/>
      <c r="E3" s="213"/>
      <c r="F3" s="213"/>
      <c r="G3" s="213"/>
      <c r="H3" s="213"/>
      <c r="I3" s="214"/>
    </row>
    <row r="4" spans="1:9" s="215" customFormat="1" ht="17.25">
      <c r="A4" s="216" t="s">
        <v>161</v>
      </c>
      <c r="B4" s="217"/>
      <c r="C4" s="217"/>
      <c r="D4" s="217"/>
      <c r="E4" s="218"/>
      <c r="F4" s="218"/>
      <c r="G4" s="218"/>
      <c r="H4" s="218"/>
      <c r="I4" s="219"/>
    </row>
    <row r="5" spans="1:9" s="223" customFormat="1">
      <c r="A5" s="8" t="s">
        <v>464</v>
      </c>
      <c r="B5" s="8" t="s">
        <v>465</v>
      </c>
      <c r="C5" s="8" t="s">
        <v>466</v>
      </c>
      <c r="D5" s="9" t="s">
        <v>1</v>
      </c>
      <c r="E5" s="10" t="s">
        <v>467</v>
      </c>
      <c r="F5" s="11" t="s">
        <v>2</v>
      </c>
      <c r="G5" s="8" t="s">
        <v>468</v>
      </c>
      <c r="H5" s="11" t="s">
        <v>2</v>
      </c>
      <c r="I5" s="12" t="s">
        <v>1</v>
      </c>
    </row>
    <row r="6" spans="1:9" s="223" customFormat="1">
      <c r="A6" s="224"/>
      <c r="B6" s="225" t="s">
        <v>3</v>
      </c>
      <c r="C6" s="226" t="s">
        <v>4</v>
      </c>
      <c r="D6" s="224" t="s">
        <v>4</v>
      </c>
      <c r="E6" s="222" t="s">
        <v>3</v>
      </c>
      <c r="F6" s="222"/>
      <c r="G6" s="220" t="s">
        <v>4</v>
      </c>
      <c r="H6" s="220"/>
      <c r="I6" s="221" t="s">
        <v>4</v>
      </c>
    </row>
    <row r="7" spans="1:9" s="223" customFormat="1">
      <c r="A7" s="227" t="s">
        <v>5</v>
      </c>
      <c r="B7" s="228"/>
      <c r="C7" s="229"/>
      <c r="D7" s="227"/>
      <c r="E7" s="230"/>
      <c r="F7" s="231"/>
      <c r="G7" s="231"/>
      <c r="H7" s="231"/>
      <c r="I7" s="232"/>
    </row>
    <row r="8" spans="1:9" s="223" customFormat="1">
      <c r="A8" s="233" t="s">
        <v>6</v>
      </c>
      <c r="B8" s="234">
        <f>SUM(B9:B11)</f>
        <v>10128</v>
      </c>
      <c r="C8" s="235">
        <f>SUM(C9:C11)</f>
        <v>25154103</v>
      </c>
      <c r="D8" s="236">
        <f>IF(B8,C8/B8,0)</f>
        <v>2483.6199644549765</v>
      </c>
      <c r="E8" s="237">
        <f xml:space="preserve"> SUM(E9:E11)</f>
        <v>149151</v>
      </c>
      <c r="F8" s="238">
        <f>E8/E64</f>
        <v>0.22983116036606319</v>
      </c>
      <c r="G8" s="239">
        <f>SUM(G9:G11)</f>
        <v>323160531</v>
      </c>
      <c r="H8" s="238">
        <f>G8/G64</f>
        <v>0.28467638055711753</v>
      </c>
      <c r="I8" s="240">
        <f>IF(E8,G8/E8,0)</f>
        <v>2166.6668745097249</v>
      </c>
    </row>
    <row r="9" spans="1:9" s="223" customFormat="1">
      <c r="A9" s="241" t="s">
        <v>164</v>
      </c>
      <c r="B9" s="242">
        <f>VLOOKUP(A9,[12]進出口值表查詢結果!$A$10:$C$37,3,0)</f>
        <v>8594</v>
      </c>
      <c r="C9" s="242">
        <f>VLOOKUP(A9,[12]進出口值表查詢結果!$A$10:$C$37,2,0)</f>
        <v>21946849</v>
      </c>
      <c r="D9" s="236">
        <f t="shared" ref="D9:D63" si="0">IF(B9,C9/B9,0)</f>
        <v>2553.74086572027</v>
      </c>
      <c r="E9" s="243">
        <f>VLOOKUP(A9,[13]進出口值表查詢結果!$A$10:$C$69,3,0)</f>
        <v>132353</v>
      </c>
      <c r="F9" s="238">
        <f>E9/E64</f>
        <v>0.20394662836943475</v>
      </c>
      <c r="G9" s="244">
        <f>VLOOKUP(A9,[13]進出口值表查詢結果!$A$10:$C$69,2,0)</f>
        <v>287183771</v>
      </c>
      <c r="H9" s="238">
        <f>G9/G64</f>
        <v>0.25298397743697265</v>
      </c>
      <c r="I9" s="240">
        <f t="shared" ref="I9:I63" si="1">IF(E9,G9/E9,0)</f>
        <v>2169.831972074679</v>
      </c>
    </row>
    <row r="10" spans="1:9" s="223" customFormat="1">
      <c r="A10" s="37" t="s">
        <v>7</v>
      </c>
      <c r="B10" s="242">
        <f>VLOOKUP(A10,[12]進出口值表查詢結果!$A$10:$C$37,3,0)</f>
        <v>1351</v>
      </c>
      <c r="C10" s="242">
        <f>VLOOKUP(A10,[12]進出口值表查詢結果!$A$10:$C$37,2,0)</f>
        <v>3026665</v>
      </c>
      <c r="D10" s="236">
        <f t="shared" si="0"/>
        <v>2240.3145817912659</v>
      </c>
      <c r="E10" s="243">
        <f>VLOOKUP(A10,[13]進出口值表查詢結果!$A$10:$C$69,3,0)</f>
        <v>15682</v>
      </c>
      <c r="F10" s="238">
        <f>E10/E64</f>
        <v>2.4164854790518352E-2</v>
      </c>
      <c r="G10" s="244">
        <f>VLOOKUP(A10,[13]進出口值表查詢結果!$A$10:$C$69,2,0)</f>
        <v>33723259</v>
      </c>
      <c r="H10" s="238">
        <f>G10/G64</f>
        <v>2.9707264321552435E-2</v>
      </c>
      <c r="I10" s="240">
        <f t="shared" si="1"/>
        <v>2150.4437571738299</v>
      </c>
    </row>
    <row r="11" spans="1:9" s="223" customFormat="1">
      <c r="A11" s="37" t="s">
        <v>8</v>
      </c>
      <c r="B11" s="242">
        <f>VLOOKUP(A11,[12]進出口值表查詢結果!$A$10:$C$37,3,0)</f>
        <v>183</v>
      </c>
      <c r="C11" s="242">
        <f>VLOOKUP(A11,[12]進出口值表查詢結果!$A$10:$C$37,2,0)</f>
        <v>180589</v>
      </c>
      <c r="D11" s="236">
        <f t="shared" si="0"/>
        <v>986.82513661202188</v>
      </c>
      <c r="E11" s="243">
        <f>VLOOKUP(A11,[13]進出口值表查詢結果!$A$10:$C$69,3,0)</f>
        <v>1116</v>
      </c>
      <c r="F11" s="238">
        <f>E11/E64</f>
        <v>1.7196772061100932E-3</v>
      </c>
      <c r="G11" s="244">
        <f>VLOOKUP(A11,[13]進出口值表查詢結果!$A$10:$C$69,2,0)</f>
        <v>2253501</v>
      </c>
      <c r="H11" s="238">
        <f>G11/G64</f>
        <v>1.9851387985924708E-3</v>
      </c>
      <c r="I11" s="240">
        <f t="shared" si="1"/>
        <v>2019.266129032258</v>
      </c>
    </row>
    <row r="12" spans="1:9" s="223" customFormat="1">
      <c r="A12" s="37"/>
      <c r="B12" s="34"/>
      <c r="C12" s="34"/>
      <c r="D12" s="236"/>
      <c r="E12" s="244"/>
      <c r="F12" s="245"/>
      <c r="G12" s="244"/>
      <c r="H12" s="245"/>
      <c r="I12" s="240"/>
    </row>
    <row r="13" spans="1:9" s="223" customFormat="1">
      <c r="A13" s="246" t="s">
        <v>9</v>
      </c>
      <c r="B13" s="247">
        <f>SUM(B14:B39)</f>
        <v>19855</v>
      </c>
      <c r="C13" s="247">
        <f>SUM(C14:C39)</f>
        <v>35627376</v>
      </c>
      <c r="D13" s="236">
        <f t="shared" si="0"/>
        <v>1794.3780407957693</v>
      </c>
      <c r="E13" s="248">
        <f>SUM(E14:E39)</f>
        <v>389972</v>
      </c>
      <c r="F13" s="238">
        <f>E13/E64</f>
        <v>0.60091931847774671</v>
      </c>
      <c r="G13" s="239">
        <f>SUM(G14:G39)</f>
        <v>612827783</v>
      </c>
      <c r="H13" s="238">
        <f>G13/G64</f>
        <v>0.53984808921261074</v>
      </c>
      <c r="I13" s="240">
        <f t="shared" si="1"/>
        <v>1571.4661129516992</v>
      </c>
    </row>
    <row r="14" spans="1:9" s="223" customFormat="1">
      <c r="A14" s="241" t="s">
        <v>249</v>
      </c>
      <c r="B14" s="242">
        <f>VLOOKUP(A14,[12]進出口值表查詢結果!$A$10:$C$37,3,0)</f>
        <v>9657</v>
      </c>
      <c r="C14" s="242">
        <f>VLOOKUP(A14,[12]進出口值表查詢結果!$A$10:$C$37,2,0)</f>
        <v>19886293</v>
      </c>
      <c r="D14" s="236">
        <f t="shared" si="0"/>
        <v>2059.2619861240551</v>
      </c>
      <c r="E14" s="243">
        <f>VLOOKUP(A14,[13]進出口值表查詢結果!$A$10:$C$69,3,0)</f>
        <v>230921</v>
      </c>
      <c r="F14" s="238">
        <f>E14/E64</f>
        <v>0.35583295708973911</v>
      </c>
      <c r="G14" s="244">
        <f>VLOOKUP(A14,[13]進出口值表查詢結果!$A$10:$C$69,2,0)</f>
        <v>384913681</v>
      </c>
      <c r="H14" s="238">
        <f>G14/G64</f>
        <v>0.3390755461222984</v>
      </c>
      <c r="I14" s="240">
        <f t="shared" si="1"/>
        <v>1666.8630440713491</v>
      </c>
    </row>
    <row r="15" spans="1:9" s="223" customFormat="1">
      <c r="A15" s="241" t="s">
        <v>250</v>
      </c>
      <c r="B15" s="242">
        <f>VLOOKUP(A15,[12]進出口值表查詢結果!$A$10:$C$37,3,0)</f>
        <v>6662</v>
      </c>
      <c r="C15" s="242">
        <f>VLOOKUP(A15,[12]進出口值表查詢結果!$A$10:$C$37,2,0)</f>
        <v>11101117</v>
      </c>
      <c r="D15" s="236">
        <f t="shared" si="0"/>
        <v>1666.3339837886519</v>
      </c>
      <c r="E15" s="243">
        <f>VLOOKUP(A15,[13]進出口值表查詢結果!$A$10:$C$69,3,0)</f>
        <v>68474</v>
      </c>
      <c r="F15" s="238">
        <f>E15/E64</f>
        <v>0.10551359947238577</v>
      </c>
      <c r="G15" s="244">
        <f>VLOOKUP(A15,[13]進出口值表查詢結果!$A$10:$C$69,2,0)</f>
        <v>78606931</v>
      </c>
      <c r="H15" s="238">
        <f>G15/G64</f>
        <v>6.9245883878632078E-2</v>
      </c>
      <c r="I15" s="240">
        <f t="shared" si="1"/>
        <v>1147.9821684142887</v>
      </c>
    </row>
    <row r="16" spans="1:9" s="223" customFormat="1">
      <c r="A16" s="37" t="s">
        <v>10</v>
      </c>
      <c r="B16" s="242">
        <f>VLOOKUP(A16,[12]進出口值表查詢結果!$A$10:$C$37,3,0)</f>
        <v>187</v>
      </c>
      <c r="C16" s="242">
        <f>VLOOKUP(A16,[12]進出口值表查詢結果!$A$10:$C$37,2,0)</f>
        <v>498015</v>
      </c>
      <c r="D16" s="236">
        <f t="shared" si="0"/>
        <v>2663.181818181818</v>
      </c>
      <c r="E16" s="243">
        <f>VLOOKUP(A16,[13]進出口值表查詢結果!$A$10:$C$69,3,0)</f>
        <v>8007</v>
      </c>
      <c r="F16" s="238">
        <f>E16/E64</f>
        <v>1.2338221675021072E-2</v>
      </c>
      <c r="G16" s="244">
        <f>VLOOKUP(A16,[13]進出口值表查詢結果!$A$10:$C$69,2,0)</f>
        <v>14647569</v>
      </c>
      <c r="H16" s="238">
        <f>G16/G64</f>
        <v>1.2903237019624274E-2</v>
      </c>
      <c r="I16" s="240">
        <f t="shared" si="1"/>
        <v>1829.3454477332334</v>
      </c>
    </row>
    <row r="17" spans="1:9" s="223" customFormat="1">
      <c r="A17" s="241" t="s">
        <v>251</v>
      </c>
      <c r="B17" s="242">
        <f>VLOOKUP(A17,[12]進出口值表查詢結果!$A$10:$C$37,3,0)</f>
        <v>226</v>
      </c>
      <c r="C17" s="242">
        <f>VLOOKUP(A17,[12]進出口值表查詢結果!$A$10:$C$37,2,0)</f>
        <v>370915</v>
      </c>
      <c r="D17" s="236">
        <f t="shared" si="0"/>
        <v>1641.216814159292</v>
      </c>
      <c r="E17" s="243">
        <f>VLOOKUP(A17,[13]進出口值表查詢結果!$A$10:$C$69,3,0)</f>
        <v>16871</v>
      </c>
      <c r="F17" s="238">
        <f>E17/E64</f>
        <v>2.5997019842547833E-2</v>
      </c>
      <c r="G17" s="244">
        <f>VLOOKUP(A17,[13]進出口值表查詢結果!$A$10:$C$69,2,0)</f>
        <v>22597245</v>
      </c>
      <c r="H17" s="238">
        <f>G17/G64</f>
        <v>1.9906211619519904E-2</v>
      </c>
      <c r="I17" s="240">
        <f t="shared" si="1"/>
        <v>1339.4134906051804</v>
      </c>
    </row>
    <row r="18" spans="1:9" s="223" customFormat="1">
      <c r="A18" s="37" t="s">
        <v>11</v>
      </c>
      <c r="B18" s="242">
        <f>VLOOKUP(A18,[12]進出口值表查詢結果!$A$10:$C$37,3,0)</f>
        <v>74</v>
      </c>
      <c r="C18" s="242">
        <f>VLOOKUP(A18,[12]進出口值表查詢結果!$A$10:$C$37,2,0)</f>
        <v>250853</v>
      </c>
      <c r="D18" s="236">
        <f t="shared" si="0"/>
        <v>3389.9054054054054</v>
      </c>
      <c r="E18" s="243">
        <f>VLOOKUP(A18,[13]進出口值表查詢結果!$A$10:$C$69,3,0)</f>
        <v>8172</v>
      </c>
      <c r="F18" s="238">
        <f>E18/E64</f>
        <v>1.2592475025386811E-2</v>
      </c>
      <c r="G18" s="244">
        <f>VLOOKUP(A18,[13]進出口值表查詢結果!$A$10:$C$69,2,0)</f>
        <v>18400415</v>
      </c>
      <c r="H18" s="238">
        <f>G18/G64</f>
        <v>1.6209168634361767E-2</v>
      </c>
      <c r="I18" s="240">
        <f t="shared" si="1"/>
        <v>2251.6415810083213</v>
      </c>
    </row>
    <row r="19" spans="1:9" s="223" customFormat="1">
      <c r="A19" s="37" t="s">
        <v>12</v>
      </c>
      <c r="B19" s="242">
        <f>VLOOKUP(A19,[12]進出口值表查詢結果!$A$10:$C$37,3,0)</f>
        <v>690</v>
      </c>
      <c r="C19" s="242">
        <f>VLOOKUP(A19,[12]進出口值表查詢結果!$A$10:$C$37,2,0)</f>
        <v>2067876</v>
      </c>
      <c r="D19" s="236">
        <f t="shared" si="0"/>
        <v>2996.9217391304346</v>
      </c>
      <c r="E19" s="243">
        <f>VLOOKUP(A19,[13]進出口值表查詢結果!$A$10:$C$69,3,0)</f>
        <v>10080</v>
      </c>
      <c r="F19" s="238">
        <f>E19/E64</f>
        <v>1.5532568313252455E-2</v>
      </c>
      <c r="G19" s="244">
        <f>VLOOKUP(A19,[13]進出口值表查詢結果!$A$10:$C$69,2,0)</f>
        <v>20754476</v>
      </c>
      <c r="H19" s="238">
        <f>G19/G64</f>
        <v>1.8282892065304729E-2</v>
      </c>
      <c r="I19" s="240">
        <f t="shared" si="1"/>
        <v>2058.9757936507935</v>
      </c>
    </row>
    <row r="20" spans="1:9" s="223" customFormat="1">
      <c r="A20" s="241" t="s">
        <v>253</v>
      </c>
      <c r="B20" s="242">
        <f>VLOOKUP(A20,[12]進出口值表查詢結果!$A$10:$C$37,3,0)</f>
        <v>47</v>
      </c>
      <c r="C20" s="242">
        <f>VLOOKUP(A20,[12]進出口值表查詢結果!$A$10:$C$37,2,0)</f>
        <v>108217</v>
      </c>
      <c r="D20" s="236">
        <f t="shared" si="0"/>
        <v>2302.4893617021276</v>
      </c>
      <c r="E20" s="243">
        <f>VLOOKUP(A20,[13]進出口值表查詢結果!$A$10:$C$69,3,0)</f>
        <v>7553</v>
      </c>
      <c r="F20" s="238">
        <f>E20/E64</f>
        <v>1.1638639729166249E-2</v>
      </c>
      <c r="G20" s="244">
        <f>VLOOKUP(A20,[13]進出口值表查詢結果!$A$10:$C$69,2,0)</f>
        <v>10441747</v>
      </c>
      <c r="H20" s="238">
        <f>G20/G64</f>
        <v>9.1982728628860321E-3</v>
      </c>
      <c r="I20" s="240">
        <f t="shared" si="1"/>
        <v>1382.4635244273798</v>
      </c>
    </row>
    <row r="21" spans="1:9" s="223" customFormat="1">
      <c r="A21" s="37" t="s">
        <v>13</v>
      </c>
      <c r="B21" s="242">
        <v>0</v>
      </c>
      <c r="C21" s="242">
        <f>_xlfn.IFNA(VLOOKUP(A21,[3]電出!$C$3:$F$537,3,0),-[4]整車!$B$22)</f>
        <v>0</v>
      </c>
      <c r="D21" s="236">
        <f t="shared" si="0"/>
        <v>0</v>
      </c>
      <c r="E21" s="243">
        <f>VLOOKUP(A21,[13]進出口值表查詢結果!$A$10:$C$69,3,0)</f>
        <v>93</v>
      </c>
      <c r="F21" s="238">
        <f>E21/E64</f>
        <v>1.4330643384250776E-4</v>
      </c>
      <c r="G21" s="244">
        <f>VLOOKUP(A21,[13]進出口值表查詢結果!$A$10:$C$69,2,0)</f>
        <v>154188</v>
      </c>
      <c r="H21" s="238">
        <f>G21/G64</f>
        <v>1.3582624595124472E-4</v>
      </c>
      <c r="I21" s="240">
        <f t="shared" si="1"/>
        <v>1657.9354838709678</v>
      </c>
    </row>
    <row r="22" spans="1:9" s="223" customFormat="1">
      <c r="A22" s="241" t="s">
        <v>254</v>
      </c>
      <c r="B22" s="242">
        <v>0</v>
      </c>
      <c r="C22" s="242">
        <f>_xlfn.IFNA(VLOOKUP(A22,[3]電出!$C$3:$F$537,3,0),-[4]整車!$B$22)</f>
        <v>0</v>
      </c>
      <c r="D22" s="236">
        <f t="shared" si="0"/>
        <v>0</v>
      </c>
      <c r="E22" s="243">
        <f>VLOOKUP(A22,[13]進出口值表查詢結果!$A$10:$C$69,3,0)</f>
        <v>16291</v>
      </c>
      <c r="F22" s="238">
        <f>E22/E64</f>
        <v>2.5103280792777356E-2</v>
      </c>
      <c r="G22" s="244">
        <f>VLOOKUP(A22,[13]進出口值表查詢結果!$A$10:$C$69,2,0)</f>
        <v>40089880</v>
      </c>
      <c r="H22" s="238">
        <f>G22/G64</f>
        <v>3.5315704860533155E-2</v>
      </c>
      <c r="I22" s="240">
        <f t="shared" si="1"/>
        <v>2460.8605978761279</v>
      </c>
    </row>
    <row r="23" spans="1:9" s="223" customFormat="1">
      <c r="A23" s="37" t="s">
        <v>14</v>
      </c>
      <c r="B23" s="242">
        <v>0</v>
      </c>
      <c r="C23" s="242">
        <f>_xlfn.IFNA(VLOOKUP(A23,[3]電出!$C$3:$F$537,3,0),-[4]整車!$B$22)</f>
        <v>0</v>
      </c>
      <c r="D23" s="236">
        <f t="shared" si="0"/>
        <v>0</v>
      </c>
      <c r="E23" s="243">
        <v>0</v>
      </c>
      <c r="F23" s="238">
        <f>E23/E64</f>
        <v>0</v>
      </c>
      <c r="G23" s="242">
        <f>_xlfn.IFNA(VLOOKUP(A23,[3]電出同!$C$3:$G$756,4,0),-[4]整車!$B$22)</f>
        <v>0</v>
      </c>
      <c r="H23" s="238">
        <f>G23/G64</f>
        <v>0</v>
      </c>
      <c r="I23" s="240">
        <f t="shared" si="1"/>
        <v>0</v>
      </c>
    </row>
    <row r="24" spans="1:9" s="223" customFormat="1">
      <c r="A24" s="37" t="s">
        <v>15</v>
      </c>
      <c r="B24" s="242">
        <v>0</v>
      </c>
      <c r="C24" s="242">
        <f>_xlfn.IFNA(VLOOKUP(A24,[3]電出!$C$3:$F$537,3,0),-[4]整車!$B$22)</f>
        <v>0</v>
      </c>
      <c r="D24" s="236">
        <f t="shared" si="0"/>
        <v>0</v>
      </c>
      <c r="E24" s="243">
        <v>0</v>
      </c>
      <c r="F24" s="238">
        <f>E24/E64</f>
        <v>0</v>
      </c>
      <c r="G24" s="242">
        <f>_xlfn.IFNA(VLOOKUP(A24,[3]電出同!$C$3:$G$756,4,0),-[4]整車!$B$22)</f>
        <v>0</v>
      </c>
      <c r="H24" s="238">
        <f>G24/G64</f>
        <v>0</v>
      </c>
      <c r="I24" s="240">
        <f t="shared" si="1"/>
        <v>0</v>
      </c>
    </row>
    <row r="25" spans="1:9" s="223" customFormat="1">
      <c r="A25" s="37" t="s">
        <v>16</v>
      </c>
      <c r="B25" s="242">
        <v>0</v>
      </c>
      <c r="C25" s="242">
        <f>_xlfn.IFNA(VLOOKUP(A25,[3]電出!$C$3:$F$537,3,0),-[4]整車!$B$22)</f>
        <v>0</v>
      </c>
      <c r="D25" s="236">
        <f t="shared" si="0"/>
        <v>0</v>
      </c>
      <c r="E25" s="243">
        <f>VLOOKUP(A25,[13]進出口值表查詢結果!$A$10:$C$69,3,0)</f>
        <v>2970</v>
      </c>
      <c r="F25" s="238">
        <f>E25/E64</f>
        <v>4.5765603065833129E-3</v>
      </c>
      <c r="G25" s="244">
        <f>VLOOKUP(A25,[13]進出口值表查詢結果!$A$10:$C$69,2,0)</f>
        <v>6027913</v>
      </c>
      <c r="H25" s="238">
        <f>G25/G64</f>
        <v>5.3100681876067229E-3</v>
      </c>
      <c r="I25" s="240">
        <f t="shared" si="1"/>
        <v>2029.6003367003368</v>
      </c>
    </row>
    <row r="26" spans="1:9" s="223" customFormat="1">
      <c r="A26" s="241" t="s">
        <v>257</v>
      </c>
      <c r="B26" s="242">
        <f>VLOOKUP(A26,[12]進出口值表查詢結果!$A$10:$C$37,3,0)</f>
        <v>1908</v>
      </c>
      <c r="C26" s="242">
        <f>VLOOKUP(A26,[12]進出口值表查詢結果!$A$10:$C$37,2,0)</f>
        <v>773363</v>
      </c>
      <c r="D26" s="236">
        <f t="shared" si="0"/>
        <v>405.32651991614256</v>
      </c>
      <c r="E26" s="243">
        <f>VLOOKUP(A26,[13]進出口值表查詢結果!$A$10:$C$69,3,0)</f>
        <v>8076</v>
      </c>
      <c r="F26" s="238">
        <f>E26/E64</f>
        <v>1.2444545803355836E-2</v>
      </c>
      <c r="G26" s="244">
        <f>VLOOKUP(A26,[13]進出口值表查詢結果!$A$10:$C$69,2,0)</f>
        <v>3695527</v>
      </c>
      <c r="H26" s="238">
        <f>G26/G64</f>
        <v>3.2554385504803586E-3</v>
      </c>
      <c r="I26" s="240">
        <f t="shared" si="1"/>
        <v>457.59373452204062</v>
      </c>
    </row>
    <row r="27" spans="1:9" s="223" customFormat="1">
      <c r="A27" s="241" t="s">
        <v>259</v>
      </c>
      <c r="B27" s="242">
        <f>VLOOKUP(A27,[12]進出口值表查詢結果!$A$10:$C$37,3,0)</f>
        <v>1</v>
      </c>
      <c r="C27" s="242">
        <f>VLOOKUP(A27,[12]進出口值表查詢結果!$A$10:$C$37,2,0)</f>
        <v>1829</v>
      </c>
      <c r="D27" s="236">
        <f t="shared" si="0"/>
        <v>1829</v>
      </c>
      <c r="E27" s="243">
        <f>VLOOKUP(A27,[13]進出口值表查詢結果!$A$10:$C$69,3,0)</f>
        <v>1343</v>
      </c>
      <c r="F27" s="238">
        <f>E27/E64</f>
        <v>2.0694681790375045E-3</v>
      </c>
      <c r="G27" s="244">
        <f>VLOOKUP(A27,[13]進出口值表查詢結果!$A$10:$C$69,2,0)</f>
        <v>1675180</v>
      </c>
      <c r="H27" s="238">
        <f>G27/G64</f>
        <v>1.4756881903429976E-3</v>
      </c>
      <c r="I27" s="240">
        <f t="shared" si="1"/>
        <v>1247.3417721518988</v>
      </c>
    </row>
    <row r="28" spans="1:9" s="223" customFormat="1">
      <c r="A28" s="250" t="s">
        <v>260</v>
      </c>
      <c r="B28" s="242">
        <f>VLOOKUP(A28,[12]進出口值表查詢結果!$A$10:$C$37,3,0)</f>
        <v>153</v>
      </c>
      <c r="C28" s="242">
        <f>VLOOKUP(A28,[12]進出口值表查詢結果!$A$10:$C$37,2,0)</f>
        <v>351286</v>
      </c>
      <c r="D28" s="236">
        <f t="shared" si="0"/>
        <v>2295.9869281045753</v>
      </c>
      <c r="E28" s="243">
        <f>VLOOKUP(A28,[13]進出口值表查詢結果!$A$10:$C$69,3,0)</f>
        <v>2900</v>
      </c>
      <c r="F28" s="238">
        <f>E28/E64</f>
        <v>4.4686952488523926E-3</v>
      </c>
      <c r="G28" s="244">
        <f>VLOOKUP(A28,[13]進出口值表查詢結果!$A$10:$C$69,2,0)</f>
        <v>5616085</v>
      </c>
      <c r="H28" s="238">
        <f>G28/G64</f>
        <v>4.9472834623517795E-3</v>
      </c>
      <c r="I28" s="240">
        <f t="shared" si="1"/>
        <v>1936.5810344827587</v>
      </c>
    </row>
    <row r="29" spans="1:9" s="223" customFormat="1">
      <c r="A29" s="250" t="s">
        <v>261</v>
      </c>
      <c r="B29" s="242">
        <f>VLOOKUP(A29,[12]進出口值表查詢結果!$A$10:$C$37,3,0)</f>
        <v>250</v>
      </c>
      <c r="C29" s="242">
        <f>VLOOKUP(A29,[12]進出口值表查詢結果!$A$10:$C$37,2,0)</f>
        <v>217612</v>
      </c>
      <c r="D29" s="236">
        <f t="shared" si="0"/>
        <v>870.44799999999998</v>
      </c>
      <c r="E29" s="243">
        <f>VLOOKUP(A29,[13]進出口值表查詢結果!$A$10:$C$69,3,0)</f>
        <v>7942</v>
      </c>
      <c r="F29" s="238">
        <f>E29/E64</f>
        <v>1.2238061264270933E-2</v>
      </c>
      <c r="G29" s="244">
        <f>VLOOKUP(A29,[13]進出口值表查詢結果!$A$10:$C$69,2,0)</f>
        <v>4773014</v>
      </c>
      <c r="H29" s="238">
        <f>G29/G64</f>
        <v>4.2046110818788384E-3</v>
      </c>
      <c r="I29" s="240">
        <f t="shared" si="1"/>
        <v>600.9838831528582</v>
      </c>
    </row>
    <row r="30" spans="1:9" s="223" customFormat="1">
      <c r="A30" s="250" t="s">
        <v>262</v>
      </c>
      <c r="B30" s="242">
        <v>0</v>
      </c>
      <c r="C30" s="242">
        <f>_xlfn.IFNA(VLOOKUP(A30,[3]電出!$C$3:$F$537,3,0),-[4]整車!$B$22)</f>
        <v>0</v>
      </c>
      <c r="D30" s="236">
        <f t="shared" si="0"/>
        <v>0</v>
      </c>
      <c r="E30" s="243">
        <f>VLOOKUP(A30,[13]進出口值表查詢結果!$A$10:$C$69,3,0)</f>
        <v>236</v>
      </c>
      <c r="F30" s="238">
        <f>E30/E64</f>
        <v>3.6365933749281544E-4</v>
      </c>
      <c r="G30" s="244">
        <f>VLOOKUP(A30,[13]進出口值表查詢結果!$A$10:$C$69,2,0)</f>
        <v>404514</v>
      </c>
      <c r="H30" s="238">
        <f>G30/G64</f>
        <v>3.5634172604042985E-4</v>
      </c>
      <c r="I30" s="240">
        <f t="shared" si="1"/>
        <v>1714.042372881356</v>
      </c>
    </row>
    <row r="31" spans="1:9" s="223" customFormat="1">
      <c r="A31" s="250" t="s">
        <v>263</v>
      </c>
      <c r="B31" s="242">
        <v>0</v>
      </c>
      <c r="C31" s="242">
        <f>_xlfn.IFNA(VLOOKUP(A31,[3]電出!$C$3:$F$537,3,0),-[4]整車!$B$22)</f>
        <v>0</v>
      </c>
      <c r="D31" s="236">
        <f t="shared" si="0"/>
        <v>0</v>
      </c>
      <c r="E31" s="243">
        <v>0</v>
      </c>
      <c r="F31" s="238">
        <f>E31/E64</f>
        <v>0</v>
      </c>
      <c r="G31" s="242">
        <f>_xlfn.IFNA(VLOOKUP(A31,[3]電出同!$C$3:$G$756,4,0),-[4]整車!$B$22)</f>
        <v>0</v>
      </c>
      <c r="H31" s="238">
        <f>G31/G64</f>
        <v>0</v>
      </c>
      <c r="I31" s="240">
        <f t="shared" si="1"/>
        <v>0</v>
      </c>
    </row>
    <row r="32" spans="1:9" s="223" customFormat="1">
      <c r="A32" s="30" t="s">
        <v>265</v>
      </c>
      <c r="B32" s="242">
        <v>0</v>
      </c>
      <c r="C32" s="242">
        <f>_xlfn.IFNA(VLOOKUP(A32,[3]電出!$C$3:$F$537,3,0),-[4]整車!$B$22)</f>
        <v>0</v>
      </c>
      <c r="D32" s="236">
        <f t="shared" si="0"/>
        <v>0</v>
      </c>
      <c r="E32" s="243">
        <f>VLOOKUP(A32,[13]進出口值表查詢結果!$A$10:$C$69,3,0)</f>
        <v>43</v>
      </c>
      <c r="F32" s="238">
        <f>E32/E64</f>
        <v>6.6259964034707887E-5</v>
      </c>
      <c r="G32" s="244">
        <f>VLOOKUP(A32,[13]進出口值表查詢結果!$A$10:$C$69,2,0)</f>
        <v>29418</v>
      </c>
      <c r="H32" s="238">
        <f>G32/G64</f>
        <v>2.5914704797998009E-5</v>
      </c>
      <c r="I32" s="240">
        <f t="shared" si="1"/>
        <v>684.1395348837209</v>
      </c>
    </row>
    <row r="33" spans="1:9" s="223" customFormat="1">
      <c r="A33" s="250" t="s">
        <v>267</v>
      </c>
      <c r="B33" s="242">
        <v>0</v>
      </c>
      <c r="C33" s="242">
        <f>_xlfn.IFNA(VLOOKUP(A33,[3]電出!$C$3:$F$537,3,0),-[4]整車!$B$22)</f>
        <v>0</v>
      </c>
      <c r="D33" s="236">
        <f t="shared" si="0"/>
        <v>0</v>
      </c>
      <c r="E33" s="243">
        <v>0</v>
      </c>
      <c r="F33" s="238">
        <f>E33/E64</f>
        <v>0</v>
      </c>
      <c r="G33" s="242">
        <f>_xlfn.IFNA(VLOOKUP(A33,[3]電出同!$C$3:$G$756,4,0),-[4]整車!$B$22)</f>
        <v>0</v>
      </c>
      <c r="H33" s="238">
        <f>G33/G64</f>
        <v>0</v>
      </c>
      <c r="I33" s="240">
        <f t="shared" si="1"/>
        <v>0</v>
      </c>
    </row>
    <row r="34" spans="1:9" s="223" customFormat="1">
      <c r="A34" s="250" t="s">
        <v>268</v>
      </c>
      <c r="B34" s="242">
        <v>0</v>
      </c>
      <c r="C34" s="242">
        <f>_xlfn.IFNA(VLOOKUP(A34,[3]電出!$C$3:$F$537,3,0),-[4]整車!$B$22)</f>
        <v>0</v>
      </c>
      <c r="D34" s="236">
        <f t="shared" si="0"/>
        <v>0</v>
      </c>
      <c r="E34" s="243">
        <v>0</v>
      </c>
      <c r="F34" s="238">
        <f>E34/E64</f>
        <v>0</v>
      </c>
      <c r="G34" s="242">
        <f>_xlfn.IFNA(VLOOKUP(A34,[3]電出同!$C$3:$G$756,4,0),-[4]整車!$B$22)</f>
        <v>0</v>
      </c>
      <c r="H34" s="238">
        <f>G34/G64</f>
        <v>0</v>
      </c>
      <c r="I34" s="240">
        <f t="shared" si="1"/>
        <v>0</v>
      </c>
    </row>
    <row r="35" spans="1:9" s="223" customFormat="1">
      <c r="A35" s="251" t="s">
        <v>386</v>
      </c>
      <c r="B35" s="242">
        <v>0</v>
      </c>
      <c r="C35" s="242">
        <f>_xlfn.IFNA(VLOOKUP(A35,[3]電出!$C$3:$F$537,3,0),-[4]整車!$B$22)</f>
        <v>0</v>
      </c>
      <c r="D35" s="236">
        <f t="shared" si="0"/>
        <v>0</v>
      </c>
      <c r="E35" s="243">
        <v>0</v>
      </c>
      <c r="F35" s="238">
        <f>E35/E64</f>
        <v>0</v>
      </c>
      <c r="G35" s="242">
        <f>_xlfn.IFNA(VLOOKUP(A35,[3]電出同!$C$3:$G$756,4,0),-[4]整車!$B$22)</f>
        <v>0</v>
      </c>
      <c r="H35" s="238">
        <f>G35/G64</f>
        <v>0</v>
      </c>
      <c r="I35" s="240">
        <f t="shared" si="1"/>
        <v>0</v>
      </c>
    </row>
    <row r="36" spans="1:9" s="223" customFormat="1">
      <c r="A36" s="250" t="s">
        <v>271</v>
      </c>
      <c r="B36" s="242">
        <v>0</v>
      </c>
      <c r="C36" s="242">
        <f>_xlfn.IFNA(VLOOKUP(A36,[3]電出!$C$3:$F$537,3,0),-[4]整車!$B$22)</f>
        <v>0</v>
      </c>
      <c r="D36" s="236">
        <f t="shared" si="0"/>
        <v>0</v>
      </c>
      <c r="E36" s="243">
        <v>0</v>
      </c>
      <c r="F36" s="238">
        <f>E36/E64</f>
        <v>0</v>
      </c>
      <c r="G36" s="242">
        <f>_xlfn.IFNA(VLOOKUP(A36,[3]電出同!$C$3:$G$756,4,0),-[4]整車!$B$22)</f>
        <v>0</v>
      </c>
      <c r="H36" s="238">
        <f>G36/G64</f>
        <v>0</v>
      </c>
      <c r="I36" s="240">
        <f t="shared" si="1"/>
        <v>0</v>
      </c>
    </row>
    <row r="37" spans="1:9" s="223" customFormat="1">
      <c r="A37" s="250" t="s">
        <v>387</v>
      </c>
      <c r="B37" s="242">
        <v>0</v>
      </c>
      <c r="C37" s="242">
        <f>_xlfn.IFNA(VLOOKUP(A37,[3]電出!$C$3:$F$537,3,0),-[4]整車!$B$22)</f>
        <v>0</v>
      </c>
      <c r="D37" s="236">
        <f t="shared" si="0"/>
        <v>0</v>
      </c>
      <c r="E37" s="243">
        <v>0</v>
      </c>
      <c r="F37" s="238">
        <f>E37/E64</f>
        <v>0</v>
      </c>
      <c r="G37" s="242">
        <f>_xlfn.IFNA(VLOOKUP(A37,[3]電出同!$C$3:$G$756,4,0),-[4]整車!$B$22)</f>
        <v>0</v>
      </c>
      <c r="H37" s="238">
        <f>G37/G64</f>
        <v>0</v>
      </c>
      <c r="I37" s="240">
        <f t="shared" si="1"/>
        <v>0</v>
      </c>
    </row>
    <row r="38" spans="1:9" s="223" customFormat="1">
      <c r="A38" s="250" t="s">
        <v>273</v>
      </c>
      <c r="B38" s="242">
        <v>0</v>
      </c>
      <c r="C38" s="242">
        <f>_xlfn.IFNA(VLOOKUP(A38,[3]電出!$C$3:$F$537,3,0),-[4]整車!$B$22)</f>
        <v>0</v>
      </c>
      <c r="D38" s="236">
        <f t="shared" si="0"/>
        <v>0</v>
      </c>
      <c r="E38" s="243">
        <v>0</v>
      </c>
      <c r="F38" s="238">
        <f>E38/E64</f>
        <v>0</v>
      </c>
      <c r="G38" s="242">
        <f>_xlfn.IFNA(VLOOKUP(A38,[3]電出同!$C$3:$G$756,4,0),-[4]整車!$B$22)</f>
        <v>0</v>
      </c>
      <c r="H38" s="238">
        <f>G38/G64</f>
        <v>0</v>
      </c>
      <c r="I38" s="240">
        <f t="shared" si="1"/>
        <v>0</v>
      </c>
    </row>
    <row r="39" spans="1:9" s="223" customFormat="1">
      <c r="A39" s="250" t="s">
        <v>274</v>
      </c>
      <c r="B39" s="242">
        <v>0</v>
      </c>
      <c r="C39" s="242">
        <f>_xlfn.IFNA(VLOOKUP(A39,[3]電出!$C$3:$F$537,3,0),-[4]整車!$B$22)</f>
        <v>0</v>
      </c>
      <c r="D39" s="236">
        <f t="shared" si="0"/>
        <v>0</v>
      </c>
      <c r="E39" s="243">
        <v>0</v>
      </c>
      <c r="F39" s="238">
        <f>E39/E64</f>
        <v>0</v>
      </c>
      <c r="G39" s="242">
        <f>_xlfn.IFNA(VLOOKUP(A39,[3]電出同!$C$3:$G$756,4,0),-[4]整車!$B$22)</f>
        <v>0</v>
      </c>
      <c r="H39" s="238">
        <f>G39/G64</f>
        <v>0</v>
      </c>
      <c r="I39" s="240">
        <f t="shared" si="1"/>
        <v>0</v>
      </c>
    </row>
    <row r="40" spans="1:9" s="223" customFormat="1">
      <c r="A40" s="30" t="s">
        <v>275</v>
      </c>
      <c r="B40" s="242">
        <v>0</v>
      </c>
      <c r="C40" s="242">
        <f>_xlfn.IFNA(VLOOKUP(A40,[3]電出!$C$3:$F$537,3,0),-[4]整車!$B$22)</f>
        <v>0</v>
      </c>
      <c r="D40" s="236">
        <f t="shared" si="0"/>
        <v>0</v>
      </c>
      <c r="E40" s="243">
        <v>0</v>
      </c>
      <c r="F40" s="238">
        <f>E40/E64</f>
        <v>0</v>
      </c>
      <c r="G40" s="242">
        <f>_xlfn.IFNA(VLOOKUP(A40,[3]電出同!$C$3:$G$756,4,0),-[4]整車!$B$22)</f>
        <v>0</v>
      </c>
      <c r="H40" s="238">
        <f>G40/G64</f>
        <v>0</v>
      </c>
      <c r="I40" s="240">
        <f t="shared" si="1"/>
        <v>0</v>
      </c>
    </row>
    <row r="41" spans="1:9" s="223" customFormat="1">
      <c r="A41" s="30"/>
      <c r="B41" s="34"/>
      <c r="C41" s="35"/>
      <c r="D41" s="236"/>
      <c r="E41" s="244"/>
      <c r="F41" s="245"/>
      <c r="G41" s="244"/>
      <c r="H41" s="245"/>
      <c r="I41" s="240"/>
    </row>
    <row r="42" spans="1:9" s="223" customFormat="1">
      <c r="A42" s="249" t="s">
        <v>20</v>
      </c>
      <c r="B42" s="247">
        <f>SUM(B43:B46)</f>
        <v>2970</v>
      </c>
      <c r="C42" s="247">
        <f>SUM(C43:C46)</f>
        <v>6437923</v>
      </c>
      <c r="D42" s="236">
        <f t="shared" si="0"/>
        <v>2167.6508417508417</v>
      </c>
      <c r="E42" s="247">
        <f>SUM(E43:E46)</f>
        <v>18330</v>
      </c>
      <c r="F42" s="238">
        <f>E42/E64</f>
        <v>2.8245235831539435E-2</v>
      </c>
      <c r="G42" s="247">
        <f>SUM(G43:G46)</f>
        <v>33762384</v>
      </c>
      <c r="H42" s="238">
        <f>G42/G64</f>
        <v>2.9741730050875353E-2</v>
      </c>
      <c r="I42" s="240">
        <f t="shared" si="1"/>
        <v>1841.9194762684124</v>
      </c>
    </row>
    <row r="43" spans="1:9" s="223" customFormat="1">
      <c r="A43" s="241" t="s">
        <v>184</v>
      </c>
      <c r="B43" s="242">
        <f>VLOOKUP(A43,[12]進出口值表查詢結果!$A$10:$C$37,3,0)</f>
        <v>2538</v>
      </c>
      <c r="C43" s="242">
        <f>VLOOKUP(A43,[12]進出口值表查詢結果!$A$10:$C$37,2,0)</f>
        <v>5788745</v>
      </c>
      <c r="D43" s="236">
        <f t="shared" si="0"/>
        <v>2280.8293932230104</v>
      </c>
      <c r="E43" s="243">
        <f>VLOOKUP(A43,[13]進出口值表查詢結果!$A$10:$C$69,3,0)</f>
        <v>12844</v>
      </c>
      <c r="F43" s="238">
        <f>E43/E64</f>
        <v>1.9791697164227632E-2</v>
      </c>
      <c r="G43" s="244">
        <f>VLOOKUP(A43,[13]進出口值表查詢結果!$A$10:$C$69,2,0)</f>
        <v>24861447</v>
      </c>
      <c r="H43" s="238">
        <f>G43/G64</f>
        <v>2.1900777070367569E-2</v>
      </c>
      <c r="I43" s="240">
        <f t="shared" si="1"/>
        <v>1935.6467611336031</v>
      </c>
    </row>
    <row r="44" spans="1:9" s="223" customFormat="1">
      <c r="A44" s="241" t="s">
        <v>277</v>
      </c>
      <c r="B44" s="242">
        <f>VLOOKUP(A44,[12]進出口值表查詢結果!$A$10:$C$37,3,0)</f>
        <v>432</v>
      </c>
      <c r="C44" s="242">
        <f>VLOOKUP(A44,[12]進出口值表查詢結果!$A$10:$C$37,2,0)</f>
        <v>649178</v>
      </c>
      <c r="D44" s="236">
        <f t="shared" si="0"/>
        <v>1502.726851851852</v>
      </c>
      <c r="E44" s="243">
        <f>VLOOKUP(A44,[13]進出口值表查詢結果!$A$10:$C$69,3,0)</f>
        <v>5451</v>
      </c>
      <c r="F44" s="238">
        <f>E44/E64</f>
        <v>8.3996061384463434E-3</v>
      </c>
      <c r="G44" s="244">
        <f>VLOOKUP(A44,[13]進出口值表查詢結果!$A$10:$C$69,2,0)</f>
        <v>8832224</v>
      </c>
      <c r="H44" s="238">
        <f>G44/G64</f>
        <v>7.7804227911412458E-3</v>
      </c>
      <c r="I44" s="240">
        <f t="shared" si="1"/>
        <v>1620.2942579343239</v>
      </c>
    </row>
    <row r="45" spans="1:9" s="223" customFormat="1">
      <c r="A45" s="241" t="s">
        <v>278</v>
      </c>
      <c r="B45" s="242">
        <v>0</v>
      </c>
      <c r="C45" s="242">
        <f>_xlfn.IFNA(VLOOKUP(A45,[3]電出!$C$3:$F$367,3,0),-[4]整車!$B$22)</f>
        <v>0</v>
      </c>
      <c r="D45" s="236">
        <f t="shared" si="0"/>
        <v>0</v>
      </c>
      <c r="E45" s="243">
        <f>VLOOKUP(A45,[13]進出口值表查詢結果!$A$10:$C$69,3,0)</f>
        <v>35</v>
      </c>
      <c r="F45" s="238">
        <f>E45/E64</f>
        <v>5.3932528865459914E-5</v>
      </c>
      <c r="G45" s="244">
        <f>VLOOKUP(A45,[13]進出口值表查詢結果!$A$10:$C$69,2,0)</f>
        <v>68713</v>
      </c>
      <c r="H45" s="238">
        <f>G45/G64</f>
        <v>6.0530189366538758E-5</v>
      </c>
      <c r="I45" s="240">
        <f t="shared" si="1"/>
        <v>1963.2285714285715</v>
      </c>
    </row>
    <row r="46" spans="1:9" s="223" customFormat="1">
      <c r="A46" s="37" t="s">
        <v>21</v>
      </c>
      <c r="B46" s="242">
        <v>0</v>
      </c>
      <c r="C46" s="242">
        <f>_xlfn.IFNA(VLOOKUP(A46,[3]電出!$C$3:$F$367,3,0),-[4]整車!$B$22)</f>
        <v>0</v>
      </c>
      <c r="D46" s="236">
        <f t="shared" si="0"/>
        <v>0</v>
      </c>
      <c r="E46" s="243">
        <v>0</v>
      </c>
      <c r="F46" s="238">
        <f>E46/E64</f>
        <v>0</v>
      </c>
      <c r="G46" s="242">
        <f>_xlfn.IFNA(VLOOKUP(A46,[3]電出同!$C$3:$G$556,4,0),-[4]整車!$B$22)</f>
        <v>0</v>
      </c>
      <c r="H46" s="238">
        <f>G46/G64</f>
        <v>0</v>
      </c>
      <c r="I46" s="240">
        <f t="shared" si="1"/>
        <v>0</v>
      </c>
    </row>
    <row r="47" spans="1:9" s="223" customFormat="1">
      <c r="A47" s="37"/>
      <c r="B47" s="242"/>
      <c r="C47" s="35"/>
      <c r="D47" s="236"/>
      <c r="E47" s="244"/>
      <c r="F47" s="245"/>
      <c r="G47" s="244"/>
      <c r="H47" s="245"/>
      <c r="I47" s="240"/>
    </row>
    <row r="48" spans="1:9" s="223" customFormat="1">
      <c r="A48" s="249" t="s">
        <v>22</v>
      </c>
      <c r="B48" s="247">
        <f>SUM(B49:B62)</f>
        <v>5167</v>
      </c>
      <c r="C48" s="247">
        <f>SUM(C49:C62)</f>
        <v>10434855</v>
      </c>
      <c r="D48" s="236">
        <f t="shared" si="0"/>
        <v>2019.5190632862395</v>
      </c>
      <c r="E48" s="247">
        <f>SUM(E49:E62)</f>
        <v>88692</v>
      </c>
      <c r="F48" s="238">
        <f>E48/E64</f>
        <v>0.13666811000386772</v>
      </c>
      <c r="G48" s="247">
        <f>SUM(G49:G62)</f>
        <v>157450903</v>
      </c>
      <c r="H48" s="238">
        <f>G48/G64</f>
        <v>0.1387005803053647</v>
      </c>
      <c r="I48" s="240">
        <f t="shared" si="1"/>
        <v>1775.254848238849</v>
      </c>
    </row>
    <row r="49" spans="1:9" s="223" customFormat="1">
      <c r="A49" s="249" t="s">
        <v>163</v>
      </c>
      <c r="B49" s="242">
        <f>VLOOKUP(A49,[12]進出口值表查詢結果!$A$10:$C$37,3,0)</f>
        <v>1293</v>
      </c>
      <c r="C49" s="242">
        <f>VLOOKUP(A49,[12]進出口值表查詢結果!$A$10:$C$37,2,0)</f>
        <v>1716652</v>
      </c>
      <c r="D49" s="236">
        <f t="shared" si="0"/>
        <v>1327.6504253673627</v>
      </c>
      <c r="E49" s="243">
        <f>VLOOKUP(A49,[13]進出口值表查詢結果!$A$10:$C$69,3,0)</f>
        <v>44702</v>
      </c>
      <c r="F49" s="238">
        <f>E49/E64</f>
        <v>6.8882625866965405E-2</v>
      </c>
      <c r="G49" s="244">
        <f>VLOOKUP(A49,[13]進出口值表查詢結果!$A$10:$C$69,2,0)</f>
        <v>65091651</v>
      </c>
      <c r="H49" s="238">
        <f>G49/G64</f>
        <v>5.7340095196115028E-2</v>
      </c>
      <c r="I49" s="240">
        <f t="shared" si="1"/>
        <v>1456.1239094447676</v>
      </c>
    </row>
    <row r="50" spans="1:9" s="223" customFormat="1">
      <c r="A50" s="241" t="s">
        <v>388</v>
      </c>
      <c r="B50" s="242">
        <f>VLOOKUP(A50,[12]進出口值表查詢結果!$A$10:$C$37,3,0)</f>
        <v>329</v>
      </c>
      <c r="C50" s="242">
        <f>VLOOKUP(A50,[12]進出口值表查詢結果!$A$10:$C$37,2,0)</f>
        <v>381054</v>
      </c>
      <c r="D50" s="236">
        <f t="shared" si="0"/>
        <v>1158.2188449848024</v>
      </c>
      <c r="E50" s="243">
        <f>VLOOKUP(A50,[13]進出口值表查詢結果!$A$10:$C$69,3,0)</f>
        <v>8854</v>
      </c>
      <c r="F50" s="238">
        <f>E50/E64</f>
        <v>1.3643388873565202E-2</v>
      </c>
      <c r="G50" s="244">
        <f>VLOOKUP(A50,[13]進出口值表查詢結果!$A$10:$C$69,2,0)</f>
        <v>10144781</v>
      </c>
      <c r="H50" s="238">
        <f>G50/G64</f>
        <v>8.9366715907042982E-3</v>
      </c>
      <c r="I50" s="240">
        <f t="shared" si="1"/>
        <v>1145.7850688954145</v>
      </c>
    </row>
    <row r="51" spans="1:9" s="223" customFormat="1">
      <c r="A51" s="241" t="s">
        <v>459</v>
      </c>
      <c r="B51" s="242">
        <v>0</v>
      </c>
      <c r="C51" s="242">
        <f>_xlfn.IFNA(VLOOKUP(A51,[3]電出!$C$3:$F$375,3,0),-[4]整車!$B$22)</f>
        <v>0</v>
      </c>
      <c r="D51" s="236">
        <f t="shared" si="0"/>
        <v>0</v>
      </c>
      <c r="E51" s="243">
        <f>VLOOKUP(A51,[13]進出口值表查詢結果!$A$10:$C$69,3,0)</f>
        <v>304</v>
      </c>
      <c r="F51" s="238">
        <f>E51/E64</f>
        <v>4.6844253643142327E-4</v>
      </c>
      <c r="G51" s="244">
        <f>VLOOKUP(A51,[13]進出口值表查詢結果!$A$10:$C$69,2,0)</f>
        <v>342593</v>
      </c>
      <c r="H51" s="238">
        <f>G51/G64</f>
        <v>3.0179469919302914E-4</v>
      </c>
      <c r="I51" s="240">
        <f t="shared" si="1"/>
        <v>1126.9506578947369</v>
      </c>
    </row>
    <row r="52" spans="1:9" s="223" customFormat="1">
      <c r="A52" s="241" t="s">
        <v>301</v>
      </c>
      <c r="B52" s="242">
        <v>0</v>
      </c>
      <c r="C52" s="242">
        <f>_xlfn.IFNA(VLOOKUP(A52,[3]電出!$C$3:$F$375,3,0),-[4]整車!$B$22)</f>
        <v>0</v>
      </c>
      <c r="D52" s="236">
        <f t="shared" si="0"/>
        <v>0</v>
      </c>
      <c r="E52" s="243">
        <f>VLOOKUP(A52,[13]進出口值表查詢結果!$A$10:$C$69,3,0)</f>
        <v>482</v>
      </c>
      <c r="F52" s="238">
        <f>E52/E64</f>
        <v>7.4272796894719081E-4</v>
      </c>
      <c r="G52" s="244">
        <f>VLOOKUP(A52,[13]進出口值表查詢結果!$A$10:$C$69,2,0)</f>
        <v>1300542</v>
      </c>
      <c r="H52" s="238">
        <f>G52/G64</f>
        <v>1.1456646273505311E-3</v>
      </c>
      <c r="I52" s="240">
        <f t="shared" si="1"/>
        <v>2698.2199170124481</v>
      </c>
    </row>
    <row r="53" spans="1:9" s="223" customFormat="1">
      <c r="A53" s="37" t="s">
        <v>23</v>
      </c>
      <c r="B53" s="242">
        <v>0</v>
      </c>
      <c r="C53" s="242">
        <f>_xlfn.IFNA(VLOOKUP(A53,[3]電出!$C$3:$F$375,3,0),-[4]整車!$B$22)</f>
        <v>0</v>
      </c>
      <c r="D53" s="236">
        <f t="shared" si="0"/>
        <v>0</v>
      </c>
      <c r="E53" s="243">
        <f>VLOOKUP(A53,[13]進出口值表查詢結果!$A$10:$C$69,3,0)</f>
        <v>31</v>
      </c>
      <c r="F53" s="238">
        <f>E53/E64</f>
        <v>4.7768811280835921E-5</v>
      </c>
      <c r="G53" s="244">
        <f>VLOOKUP(A53,[13]進出口值表查詢結果!$A$10:$C$69,2,0)</f>
        <v>89805</v>
      </c>
      <c r="H53" s="238">
        <f>G53/G64</f>
        <v>7.9110410781977396E-5</v>
      </c>
      <c r="I53" s="240">
        <f t="shared" si="1"/>
        <v>2896.9354838709678</v>
      </c>
    </row>
    <row r="54" spans="1:9" s="223" customFormat="1">
      <c r="A54" s="241" t="s">
        <v>307</v>
      </c>
      <c r="B54" s="242">
        <f>VLOOKUP(A54,[12]進出口值表查詢結果!$A$10:$C$37,3,0)</f>
        <v>69</v>
      </c>
      <c r="C54" s="242">
        <f>VLOOKUP(A54,[12]進出口值表查詢結果!$A$10:$C$37,2,0)</f>
        <v>244403</v>
      </c>
      <c r="D54" s="236">
        <f t="shared" si="0"/>
        <v>3542.072463768116</v>
      </c>
      <c r="E54" s="243">
        <f>VLOOKUP(A54,[13]進出口值表查詢結果!$A$10:$C$69,3,0)</f>
        <v>945</v>
      </c>
      <c r="F54" s="238">
        <f>E54/E64</f>
        <v>1.4561782793674177E-3</v>
      </c>
      <c r="G54" s="244">
        <f>VLOOKUP(A54,[13]進出口值表查詢結果!$A$10:$C$69,2,0)</f>
        <v>2582185</v>
      </c>
      <c r="H54" s="238">
        <f>G54/G64</f>
        <v>2.2746808759541264E-3</v>
      </c>
      <c r="I54" s="240">
        <f t="shared" si="1"/>
        <v>2732.4708994708994</v>
      </c>
    </row>
    <row r="55" spans="1:9" s="223" customFormat="1">
      <c r="A55" s="26" t="s">
        <v>389</v>
      </c>
      <c r="B55" s="242">
        <f>VLOOKUP(A55,[12]進出口值表查詢結果!$A$10:$C$37,3,0)</f>
        <v>2181</v>
      </c>
      <c r="C55" s="242">
        <f>VLOOKUP(A55,[12]進出口值表查詢結果!$A$10:$C$37,2,0)</f>
        <v>4712932</v>
      </c>
      <c r="D55" s="236">
        <f t="shared" si="0"/>
        <v>2160.9041723979826</v>
      </c>
      <c r="E55" s="243">
        <f>VLOOKUP(A55,[13]進出口值表查詢結果!$A$10:$C$69,3,0)</f>
        <v>15460</v>
      </c>
      <c r="F55" s="238">
        <f>E55/E64</f>
        <v>2.3822768464571722E-2</v>
      </c>
      <c r="G55" s="244">
        <f>VLOOKUP(A55,[13]進出口值表查詢結果!$A$10:$C$69,2,0)</f>
        <v>35333375</v>
      </c>
      <c r="H55" s="238">
        <f>G55/G64</f>
        <v>3.1125636774830472E-2</v>
      </c>
      <c r="I55" s="240">
        <f t="shared" si="1"/>
        <v>2285.4705692108669</v>
      </c>
    </row>
    <row r="56" spans="1:9" s="223" customFormat="1">
      <c r="A56" s="37" t="s">
        <v>24</v>
      </c>
      <c r="B56" s="242">
        <v>0</v>
      </c>
      <c r="C56" s="242">
        <f>_xlfn.IFNA(VLOOKUP(A56,[3]電出!$C$3:$F$375,3,0),-[4]整車!$B$22)</f>
        <v>0</v>
      </c>
      <c r="D56" s="236">
        <f t="shared" si="0"/>
        <v>0</v>
      </c>
      <c r="E56" s="243">
        <f>VLOOKUP(A56,[13]進出口值表查詢結果!$A$10:$C$69,3,0)</f>
        <v>237</v>
      </c>
      <c r="F56" s="238">
        <f>E56/E64</f>
        <v>3.6520026688897141E-4</v>
      </c>
      <c r="G56" s="244">
        <f>VLOOKUP(A56,[13]進出口值表查詢結果!$A$10:$C$69,2,0)</f>
        <v>711547</v>
      </c>
      <c r="H56" s="238">
        <f>G56/G64</f>
        <v>6.2681115150251844E-4</v>
      </c>
      <c r="I56" s="240">
        <f t="shared" si="1"/>
        <v>3002.3080168776373</v>
      </c>
    </row>
    <row r="57" spans="1:9" s="223" customFormat="1">
      <c r="A57" s="37" t="s">
        <v>243</v>
      </c>
      <c r="B57" s="242">
        <v>0</v>
      </c>
      <c r="C57" s="242">
        <f>_xlfn.IFNA(VLOOKUP(A57,[3]電出!$C$3:$F$375,3,0),-[4]整車!$B$22)</f>
        <v>0</v>
      </c>
      <c r="D57" s="236">
        <f t="shared" si="0"/>
        <v>0</v>
      </c>
      <c r="E57" s="243">
        <f>VLOOKUP(A57,[13]進出口值表查詢結果!$A$10:$C$69,3,0)</f>
        <v>261</v>
      </c>
      <c r="F57" s="238">
        <f>E57/E64</f>
        <v>4.0218257239671537E-4</v>
      </c>
      <c r="G57" s="244">
        <f>VLOOKUP(A57,[13]進出口值表查詢結果!$A$10:$C$69,2,0)</f>
        <v>424751</v>
      </c>
      <c r="H57" s="238">
        <f>G57/G64</f>
        <v>3.7416876666171905E-4</v>
      </c>
      <c r="I57" s="240">
        <f t="shared" si="1"/>
        <v>1627.3984674329502</v>
      </c>
    </row>
    <row r="58" spans="1:9" s="223" customFormat="1">
      <c r="A58" s="37" t="s">
        <v>236</v>
      </c>
      <c r="B58" s="242">
        <f>VLOOKUP(A58,[12]進出口值表查詢結果!$A$10:$C$37,3,0)</f>
        <v>85</v>
      </c>
      <c r="C58" s="242">
        <f>VLOOKUP(A58,[12]進出口值表查詢結果!$A$10:$C$37,2,0)</f>
        <v>261458</v>
      </c>
      <c r="D58" s="236">
        <f t="shared" si="0"/>
        <v>3075.9764705882353</v>
      </c>
      <c r="E58" s="243">
        <f>VLOOKUP(A58,[13]進出口值表查詢結果!$A$10:$C$69,3,0)</f>
        <v>2610</v>
      </c>
      <c r="F58" s="238">
        <f>E58/E64</f>
        <v>4.0218257239671533E-3</v>
      </c>
      <c r="G58" s="244">
        <f>VLOOKUP(A58,[13]進出口值表查詢結果!$A$10:$C$69,2,0)</f>
        <v>5883919</v>
      </c>
      <c r="H58" s="238">
        <f>G58/G64</f>
        <v>5.1832219709134425E-3</v>
      </c>
      <c r="I58" s="240">
        <f t="shared" si="1"/>
        <v>2254.3750957854404</v>
      </c>
    </row>
    <row r="59" spans="1:9" s="223" customFormat="1">
      <c r="A59" s="37" t="s">
        <v>281</v>
      </c>
      <c r="B59" s="242">
        <v>0</v>
      </c>
      <c r="C59" s="242">
        <f>_xlfn.IFNA(VLOOKUP(A59,[3]電出!$C$3:$F$375,3,0),-[4]整車!$B$22)</f>
        <v>0</v>
      </c>
      <c r="D59" s="236">
        <f t="shared" si="0"/>
        <v>0</v>
      </c>
      <c r="E59" s="243">
        <f>VLOOKUP(A59,[13]進出口值表查詢結果!$A$10:$C$69,3,0)</f>
        <v>88</v>
      </c>
      <c r="F59" s="238">
        <f>E59/E64</f>
        <v>1.3560178686172777E-4</v>
      </c>
      <c r="G59" s="244">
        <f>VLOOKUP(A59,[13]進出口值表查詢結果!$A$10:$C$69,2,0)</f>
        <v>129938</v>
      </c>
      <c r="H59" s="238">
        <f>G59/G64</f>
        <v>1.1446410062010556E-4</v>
      </c>
      <c r="I59" s="240">
        <f t="shared" si="1"/>
        <v>1476.5681818181818</v>
      </c>
    </row>
    <row r="60" spans="1:9" s="223" customFormat="1">
      <c r="A60" s="37" t="s">
        <v>286</v>
      </c>
      <c r="B60" s="242">
        <v>0</v>
      </c>
      <c r="C60" s="242">
        <f>_xlfn.IFNA(VLOOKUP(A60,[3]電出!$C$3:$F$375,3,0),-[4]整車!$B$22)</f>
        <v>0</v>
      </c>
      <c r="D60" s="236">
        <f t="shared" si="0"/>
        <v>0</v>
      </c>
      <c r="E60" s="243">
        <v>0</v>
      </c>
      <c r="F60" s="238">
        <f>E60/E64</f>
        <v>0</v>
      </c>
      <c r="G60" s="242">
        <f>_xlfn.IFNA(VLOOKUP(A60,[3]電出同!$C$3:$G$766,4,0),-[4]整車!$B$22)</f>
        <v>0</v>
      </c>
      <c r="H60" s="238">
        <f>G60/G64</f>
        <v>0</v>
      </c>
      <c r="I60" s="240">
        <f t="shared" si="1"/>
        <v>0</v>
      </c>
    </row>
    <row r="61" spans="1:9" s="223" customFormat="1">
      <c r="A61" s="37" t="s">
        <v>292</v>
      </c>
      <c r="B61" s="242">
        <f>VLOOKUP(A61,[12]進出口值表查詢結果!$A$10:$C$37,3,0)</f>
        <v>946</v>
      </c>
      <c r="C61" s="242">
        <f>VLOOKUP(A61,[12]進出口值表查詢結果!$A$10:$C$37,2,0)</f>
        <v>2365798</v>
      </c>
      <c r="D61" s="236">
        <f t="shared" si="0"/>
        <v>2500.8435517970402</v>
      </c>
      <c r="E61" s="243">
        <f>VLOOKUP(A61,[13]進出口值表查詢結果!$A$10:$C$69,3,0)</f>
        <v>11717</v>
      </c>
      <c r="F61" s="238">
        <f>E61/E64</f>
        <v>1.8055069734759822E-2</v>
      </c>
      <c r="G61" s="244">
        <f>VLOOKUP(A61,[13]進出口值表查詢結果!$A$10:$C$69,2,0)</f>
        <v>27421643</v>
      </c>
      <c r="H61" s="238">
        <f>G61/G64</f>
        <v>2.4156087545757307E-2</v>
      </c>
      <c r="I61" s="240">
        <f t="shared" si="1"/>
        <v>2340.3296919006571</v>
      </c>
    </row>
    <row r="62" spans="1:9" s="223" customFormat="1">
      <c r="A62" s="37" t="s">
        <v>340</v>
      </c>
      <c r="B62" s="242">
        <f>VLOOKUP(A62,[12]進出口值表查詢結果!$A$10:$C$37,3,0)</f>
        <v>264</v>
      </c>
      <c r="C62" s="242">
        <f>VLOOKUP(A62,[12]進出口值表查詢結果!$A$10:$C$37,2,0)</f>
        <v>752558</v>
      </c>
      <c r="D62" s="236">
        <f t="shared" si="0"/>
        <v>2850.598484848485</v>
      </c>
      <c r="E62" s="243">
        <f>VLOOKUP(A62,[13]進出口值表查詢結果!$A$10:$C$69,3,0)</f>
        <v>3001</v>
      </c>
      <c r="F62" s="238">
        <f>E62/E64</f>
        <v>4.6243291178641489E-3</v>
      </c>
      <c r="G62" s="244">
        <f>VLOOKUP(A62,[13]進出口值表查詢結果!$A$10:$C$69,2,0)</f>
        <v>7994173</v>
      </c>
      <c r="H62" s="238">
        <f>G62/G64</f>
        <v>7.0421725949801521E-3</v>
      </c>
      <c r="I62" s="240">
        <f t="shared" si="1"/>
        <v>2663.8363878707096</v>
      </c>
    </row>
    <row r="63" spans="1:9" s="223" customFormat="1">
      <c r="A63" s="37" t="s">
        <v>30</v>
      </c>
      <c r="B63" s="34">
        <f>B64-B48-B42-B13-B8</f>
        <v>127</v>
      </c>
      <c r="C63" s="34">
        <f>C64-C48-C42-C13-C8</f>
        <v>395319</v>
      </c>
      <c r="D63" s="236">
        <f t="shared" si="0"/>
        <v>3112.748031496063</v>
      </c>
      <c r="E63" s="244">
        <f>E64-E48-E42-E13-E8</f>
        <v>2814</v>
      </c>
      <c r="F63" s="245">
        <f>E63/$E$64</f>
        <v>4.3361753207829768E-3</v>
      </c>
      <c r="G63" s="244">
        <f>G64-G48-G42-G13-G8</f>
        <v>7984010</v>
      </c>
      <c r="H63" s="245">
        <f>G63/$G$64</f>
        <v>7.0332198740316841E-3</v>
      </c>
      <c r="I63" s="240">
        <f t="shared" si="1"/>
        <v>2837.2459132906893</v>
      </c>
    </row>
    <row r="64" spans="1:9" s="223" customFormat="1">
      <c r="A64" s="246" t="s">
        <v>404</v>
      </c>
      <c r="B64" s="242">
        <f>VLOOKUP(A64,[12]進出口值表查詢結果!$A$10:$C$37,3,0)</f>
        <v>38247</v>
      </c>
      <c r="C64" s="242">
        <f>VLOOKUP(A64,[12]進出口值表查詢結果!$A$10:$C$37,2,0)</f>
        <v>78049576</v>
      </c>
      <c r="D64" s="522">
        <f t="shared" ref="D64" si="2">C64/B64</f>
        <v>2040.6718435432845</v>
      </c>
      <c r="E64" s="243">
        <f>VLOOKUP(A64,[13]進出口值表查詢結果!$A$10:$C$69,3,0)</f>
        <v>648959</v>
      </c>
      <c r="F64" s="523">
        <f>E64/$E$64</f>
        <v>1</v>
      </c>
      <c r="G64" s="244">
        <f>VLOOKUP(A64,[13]進出口值表查詢結果!$A$10:$C$69,2,0)</f>
        <v>1135185611</v>
      </c>
      <c r="H64" s="238">
        <f>G64/$G$64</f>
        <v>1</v>
      </c>
      <c r="I64" s="240">
        <f>G64/E64</f>
        <v>1749.240878083207</v>
      </c>
    </row>
    <row r="65" spans="1:9" s="223" customFormat="1">
      <c r="A65" s="252"/>
      <c r="B65" s="253"/>
      <c r="C65" s="254"/>
      <c r="D65" s="255"/>
      <c r="E65" s="256"/>
      <c r="F65" s="257"/>
      <c r="G65" s="254"/>
      <c r="H65" s="257"/>
      <c r="I65" s="258"/>
    </row>
    <row r="66" spans="1:9" s="223" customFormat="1" ht="15" customHeight="1">
      <c r="A66" s="259" t="s">
        <v>120</v>
      </c>
      <c r="B66" s="260"/>
      <c r="C66" s="260"/>
      <c r="D66" s="260"/>
    </row>
    <row r="67" spans="1:9" s="223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整車進口</vt:lpstr>
      <vt:lpstr>整車比較</vt:lpstr>
      <vt:lpstr>整車同期比較</vt:lpstr>
      <vt:lpstr>整車出口全球總表更新至8月(記得隱藏)</vt:lpstr>
      <vt:lpstr>出口地區</vt:lpstr>
      <vt:lpstr>折疊車</vt:lpstr>
      <vt:lpstr>折疊車比較</vt:lpstr>
      <vt:lpstr>電輔車</vt:lpstr>
      <vt:lpstr>電輔車比較</vt:lpstr>
      <vt:lpstr>電動折疊同期比較 </vt:lpstr>
      <vt:lpstr>零件</vt:lpstr>
      <vt:lpstr>零件出口比較</vt:lpstr>
      <vt:lpstr>零件進口比較</vt:lpstr>
      <vt:lpstr>零件出進口國別 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Yu-mei</cp:lastModifiedBy>
  <cp:lastPrinted>2021-03-02T01:57:04Z</cp:lastPrinted>
  <dcterms:created xsi:type="dcterms:W3CDTF">2018-05-28T02:49:39Z</dcterms:created>
  <dcterms:modified xsi:type="dcterms:W3CDTF">2024-01-25T01:33:07Z</dcterms:modified>
  <cp:contentStatus/>
</cp:coreProperties>
</file>