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TBA\Emily\各年統計\2023統計\2023統計正本\"/>
    </mc:Choice>
  </mc:AlternateContent>
  <xr:revisionPtr revIDLastSave="0" documentId="13_ncr:1_{917D80D1-3511-4D07-A921-E0B0822F42F2}" xr6:coauthVersionLast="47" xr6:coauthVersionMax="47" xr10:uidLastSave="{00000000-0000-0000-0000-000000000000}"/>
  <bookViews>
    <workbookView xWindow="6825" yWindow="0" windowWidth="13635" windowHeight="10860" tabRatio="771" xr2:uid="{00000000-000D-0000-FFFF-FFFF00000000}"/>
  </bookViews>
  <sheets>
    <sheet name="整車出口" sheetId="1" r:id="rId1"/>
    <sheet name="整車同期比較" sheetId="27" r:id="rId2"/>
    <sheet name="整車出口全球總表更新至8月(記得隱藏)" sheetId="18" state="hidden" r:id="rId3"/>
    <sheet name="整車出口比較" sheetId="2" r:id="rId4"/>
    <sheet name="出口地區" sheetId="28" r:id="rId5"/>
    <sheet name="整車進口" sheetId="5" r:id="rId6"/>
    <sheet name="電動輔助自行車" sheetId="11" r:id="rId7"/>
    <sheet name="電動輔助自行車比較" sheetId="12" r:id="rId8"/>
    <sheet name="折疊車" sheetId="9" r:id="rId9"/>
    <sheet name="折疊車比較" sheetId="10" r:id="rId10"/>
    <sheet name="電輔折疊同期比較 " sheetId="26" r:id="rId11"/>
    <sheet name="零件進出口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4">出口地區!$A$1:$J$34</definedName>
    <definedName name="_xlnm.Print_Area" localSheetId="10">'電輔折疊同期比較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2" l="1"/>
  <c r="L16" i="22"/>
  <c r="M58" i="22"/>
  <c r="M55" i="22"/>
  <c r="M52" i="22"/>
  <c r="M50" i="22"/>
  <c r="M48" i="22"/>
  <c r="M45" i="22"/>
  <c r="M39" i="22"/>
  <c r="M37" i="22"/>
  <c r="M35" i="22"/>
  <c r="M32" i="22"/>
  <c r="M29" i="22"/>
  <c r="M27" i="22"/>
  <c r="M23" i="22"/>
  <c r="M21" i="22"/>
  <c r="M18" i="22"/>
  <c r="M15" i="22"/>
  <c r="L58" i="22"/>
  <c r="L48" i="22"/>
  <c r="L50" i="22"/>
  <c r="L52" i="22"/>
  <c r="L55" i="22"/>
  <c r="L45" i="22"/>
  <c r="L39" i="22"/>
  <c r="L37" i="22"/>
  <c r="L35" i="22"/>
  <c r="L32" i="22"/>
  <c r="L29" i="22"/>
  <c r="L27" i="22"/>
  <c r="L23" i="22"/>
  <c r="L21" i="22"/>
  <c r="L18" i="22"/>
  <c r="L15" i="22"/>
  <c r="M12" i="22"/>
  <c r="L12" i="22"/>
  <c r="I19" i="22"/>
  <c r="I16" i="22"/>
  <c r="J58" i="22"/>
  <c r="J55" i="22"/>
  <c r="J52" i="22"/>
  <c r="J50" i="22"/>
  <c r="J48" i="22"/>
  <c r="J45" i="22"/>
  <c r="J39" i="22"/>
  <c r="J37" i="22"/>
  <c r="J35" i="22"/>
  <c r="J32" i="22"/>
  <c r="J29" i="22"/>
  <c r="J27" i="22"/>
  <c r="J23" i="22"/>
  <c r="J21" i="22"/>
  <c r="J18" i="22"/>
  <c r="J15" i="22"/>
  <c r="J12" i="22"/>
  <c r="I58" i="22"/>
  <c r="I55" i="22"/>
  <c r="I52" i="22"/>
  <c r="I50" i="22"/>
  <c r="I48" i="22"/>
  <c r="I45" i="22"/>
  <c r="I39" i="22"/>
  <c r="I37" i="22"/>
  <c r="I35" i="22"/>
  <c r="I32" i="22"/>
  <c r="I29" i="22"/>
  <c r="I27" i="22"/>
  <c r="I23" i="22"/>
  <c r="I21" i="22"/>
  <c r="I18" i="22"/>
  <c r="I15" i="22"/>
  <c r="I12" i="22"/>
  <c r="F19" i="22"/>
  <c r="F16" i="22"/>
  <c r="G58" i="22"/>
  <c r="G55" i="22"/>
  <c r="G52" i="22"/>
  <c r="G50" i="22"/>
  <c r="G48" i="22"/>
  <c r="G45" i="22"/>
  <c r="G39" i="22"/>
  <c r="G37" i="22"/>
  <c r="G35" i="22"/>
  <c r="G32" i="22"/>
  <c r="G29" i="22"/>
  <c r="G27" i="22"/>
  <c r="G23" i="22"/>
  <c r="G21" i="22"/>
  <c r="G18" i="22"/>
  <c r="G15" i="22"/>
  <c r="G12" i="22"/>
  <c r="F12" i="22"/>
  <c r="F58" i="22"/>
  <c r="F55" i="22"/>
  <c r="F52" i="22"/>
  <c r="F50" i="22"/>
  <c r="F48" i="22"/>
  <c r="F45" i="22"/>
  <c r="F39" i="22"/>
  <c r="F37" i="22"/>
  <c r="F35" i="22"/>
  <c r="F32" i="22"/>
  <c r="F29" i="22"/>
  <c r="F27" i="22"/>
  <c r="F23" i="22"/>
  <c r="F21" i="22"/>
  <c r="F18" i="22"/>
  <c r="F15" i="22"/>
  <c r="C19" i="22"/>
  <c r="C16" i="22"/>
  <c r="D58" i="22"/>
  <c r="D55" i="22"/>
  <c r="D52" i="22"/>
  <c r="D50" i="22"/>
  <c r="D48" i="22"/>
  <c r="D45" i="22"/>
  <c r="D39" i="22"/>
  <c r="D37" i="22"/>
  <c r="D35" i="22"/>
  <c r="D32" i="22"/>
  <c r="D29" i="22"/>
  <c r="D27" i="22"/>
  <c r="D23" i="22"/>
  <c r="D21" i="22"/>
  <c r="D18" i="22"/>
  <c r="D15" i="22"/>
  <c r="D12" i="22"/>
  <c r="C58" i="22"/>
  <c r="C48" i="22"/>
  <c r="C50" i="22"/>
  <c r="C52" i="22"/>
  <c r="C55" i="22"/>
  <c r="C45" i="22"/>
  <c r="C39" i="22"/>
  <c r="C37" i="22"/>
  <c r="C35" i="22"/>
  <c r="C32" i="22"/>
  <c r="C29" i="22"/>
  <c r="C27" i="22"/>
  <c r="C23" i="22"/>
  <c r="C21" i="22"/>
  <c r="C18" i="22"/>
  <c r="C15" i="22"/>
  <c r="C12" i="22"/>
  <c r="G68" i="9"/>
  <c r="G66" i="9"/>
  <c r="G59" i="9"/>
  <c r="G58" i="9"/>
  <c r="G57" i="9"/>
  <c r="G56" i="9"/>
  <c r="G54" i="9"/>
  <c r="G49" i="9"/>
  <c r="G24" i="9"/>
  <c r="G15" i="9"/>
  <c r="G13" i="9"/>
  <c r="G9" i="9"/>
  <c r="G8" i="9"/>
  <c r="E68" i="9"/>
  <c r="E49" i="9"/>
  <c r="E54" i="9"/>
  <c r="E56" i="9"/>
  <c r="E57" i="9"/>
  <c r="E58" i="9"/>
  <c r="E59" i="9"/>
  <c r="E66" i="9"/>
  <c r="E15" i="9"/>
  <c r="E24" i="9"/>
  <c r="E13" i="9"/>
  <c r="E9" i="9"/>
  <c r="E8" i="9"/>
  <c r="C64" i="11" l="1"/>
  <c r="C50" i="11"/>
  <c r="C52" i="11"/>
  <c r="C54" i="11"/>
  <c r="C55" i="11"/>
  <c r="C56" i="11"/>
  <c r="C57" i="11"/>
  <c r="C58" i="11"/>
  <c r="C61" i="11"/>
  <c r="C62" i="11"/>
  <c r="C49" i="11"/>
  <c r="C44" i="11"/>
  <c r="C45" i="11"/>
  <c r="C43" i="11"/>
  <c r="C15" i="11"/>
  <c r="C16" i="11"/>
  <c r="C17" i="11"/>
  <c r="C18" i="11"/>
  <c r="C19" i="11"/>
  <c r="C20" i="11"/>
  <c r="C22" i="11"/>
  <c r="C25" i="11"/>
  <c r="C26" i="11"/>
  <c r="C27" i="11"/>
  <c r="C28" i="11"/>
  <c r="C29" i="11"/>
  <c r="C14" i="11"/>
  <c r="C10" i="11"/>
  <c r="C11" i="11"/>
  <c r="C9" i="11"/>
  <c r="B64" i="11"/>
  <c r="B50" i="11"/>
  <c r="B52" i="11"/>
  <c r="B54" i="11"/>
  <c r="B55" i="11"/>
  <c r="B56" i="11"/>
  <c r="B57" i="11"/>
  <c r="B58" i="11"/>
  <c r="B61" i="11"/>
  <c r="B62" i="11"/>
  <c r="B49" i="11"/>
  <c r="B44" i="11"/>
  <c r="B45" i="11"/>
  <c r="B43" i="11"/>
  <c r="B15" i="11"/>
  <c r="B16" i="11"/>
  <c r="B17" i="11"/>
  <c r="B18" i="11"/>
  <c r="B19" i="11"/>
  <c r="B20" i="11"/>
  <c r="B22" i="11"/>
  <c r="B25" i="11"/>
  <c r="B26" i="11"/>
  <c r="B27" i="11"/>
  <c r="B28" i="11"/>
  <c r="B29" i="11"/>
  <c r="B14" i="11"/>
  <c r="B10" i="11"/>
  <c r="B11" i="11"/>
  <c r="B9" i="11"/>
  <c r="G64" i="11"/>
  <c r="G62" i="11"/>
  <c r="G61" i="11"/>
  <c r="G58" i="11"/>
  <c r="G59" i="11"/>
  <c r="G50" i="11"/>
  <c r="G51" i="11"/>
  <c r="G52" i="11"/>
  <c r="G53" i="11"/>
  <c r="G54" i="11"/>
  <c r="G55" i="11"/>
  <c r="G56" i="11"/>
  <c r="G57" i="11"/>
  <c r="G49" i="11"/>
  <c r="G44" i="11"/>
  <c r="G45" i="11"/>
  <c r="G43" i="11"/>
  <c r="G15" i="11"/>
  <c r="G16" i="11"/>
  <c r="G17" i="11"/>
  <c r="G18" i="11"/>
  <c r="G19" i="11"/>
  <c r="G20" i="11"/>
  <c r="G21" i="11"/>
  <c r="G22" i="11"/>
  <c r="G25" i="11"/>
  <c r="G26" i="11"/>
  <c r="G27" i="11"/>
  <c r="G28" i="11"/>
  <c r="G29" i="11"/>
  <c r="G30" i="11"/>
  <c r="G32" i="11"/>
  <c r="G14" i="11"/>
  <c r="G10" i="11"/>
  <c r="G11" i="11"/>
  <c r="G9" i="11"/>
  <c r="E64" i="11"/>
  <c r="E50" i="11"/>
  <c r="E51" i="11"/>
  <c r="E52" i="11"/>
  <c r="E53" i="11"/>
  <c r="E54" i="11"/>
  <c r="E55" i="11"/>
  <c r="E56" i="11"/>
  <c r="E57" i="11"/>
  <c r="E58" i="11"/>
  <c r="E59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2" i="11"/>
  <c r="E25" i="11"/>
  <c r="E26" i="11"/>
  <c r="E27" i="11"/>
  <c r="E28" i="11"/>
  <c r="E29" i="11"/>
  <c r="E30" i="11"/>
  <c r="E32" i="11"/>
  <c r="E14" i="11"/>
  <c r="E10" i="11"/>
  <c r="E11" i="11"/>
  <c r="E9" i="11"/>
  <c r="B19" i="28"/>
  <c r="B20" i="28"/>
  <c r="G66" i="5"/>
  <c r="G61" i="5"/>
  <c r="G59" i="5"/>
  <c r="G58" i="5"/>
  <c r="G56" i="5"/>
  <c r="G54" i="5"/>
  <c r="G49" i="5"/>
  <c r="G48" i="5"/>
  <c r="G42" i="5"/>
  <c r="G32" i="5"/>
  <c r="G28" i="5"/>
  <c r="G20" i="5"/>
  <c r="G15" i="5"/>
  <c r="G16" i="5"/>
  <c r="G17" i="5"/>
  <c r="G18" i="5"/>
  <c r="G14" i="5"/>
  <c r="G8" i="5"/>
  <c r="E66" i="5"/>
  <c r="E49" i="5"/>
  <c r="E54" i="5"/>
  <c r="E56" i="5"/>
  <c r="E58" i="5"/>
  <c r="E59" i="5"/>
  <c r="E61" i="5"/>
  <c r="E48" i="5"/>
  <c r="E42" i="5"/>
  <c r="E15" i="5"/>
  <c r="E16" i="5"/>
  <c r="E17" i="5"/>
  <c r="E18" i="5"/>
  <c r="E20" i="5"/>
  <c r="E28" i="5"/>
  <c r="E32" i="5"/>
  <c r="E14" i="5"/>
  <c r="E8" i="5"/>
  <c r="C66" i="5"/>
  <c r="C61" i="5"/>
  <c r="C58" i="5"/>
  <c r="C49" i="5"/>
  <c r="C48" i="5"/>
  <c r="C28" i="5"/>
  <c r="C20" i="5"/>
  <c r="C17" i="5"/>
  <c r="C16" i="5"/>
  <c r="C14" i="5"/>
  <c r="C8" i="5"/>
  <c r="B66" i="5"/>
  <c r="B49" i="5"/>
  <c r="B58" i="5"/>
  <c r="B61" i="5"/>
  <c r="B48" i="5"/>
  <c r="B16" i="5"/>
  <c r="B17" i="5"/>
  <c r="B20" i="5"/>
  <c r="B28" i="5"/>
  <c r="B14" i="5"/>
  <c r="B8" i="5"/>
  <c r="G67" i="1" l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3" i="1"/>
  <c r="G44" i="1"/>
  <c r="G42" i="1"/>
  <c r="G38" i="1"/>
  <c r="G39" i="1"/>
  <c r="G37" i="1"/>
  <c r="G32" i="1"/>
  <c r="G33" i="1"/>
  <c r="G34" i="1"/>
  <c r="G35" i="1"/>
  <c r="G31" i="1"/>
  <c r="G24" i="1"/>
  <c r="G25" i="1"/>
  <c r="G26" i="1"/>
  <c r="G27" i="1"/>
  <c r="G28" i="1"/>
  <c r="G29" i="1"/>
  <c r="G23" i="1"/>
  <c r="G14" i="1"/>
  <c r="G15" i="1"/>
  <c r="G16" i="1"/>
  <c r="G17" i="1"/>
  <c r="G18" i="1"/>
  <c r="G19" i="1"/>
  <c r="G20" i="1"/>
  <c r="G21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1" i="1"/>
  <c r="E32" i="1"/>
  <c r="E33" i="1"/>
  <c r="E34" i="1"/>
  <c r="E35" i="1"/>
  <c r="E37" i="1"/>
  <c r="E38" i="1"/>
  <c r="E39" i="1"/>
  <c r="E13" i="1"/>
  <c r="E9" i="1"/>
  <c r="E10" i="1"/>
  <c r="E8" i="1"/>
  <c r="C67" i="1"/>
  <c r="C65" i="1"/>
  <c r="C64" i="1"/>
  <c r="C63" i="1"/>
  <c r="C61" i="1"/>
  <c r="C60" i="1"/>
  <c r="C57" i="1"/>
  <c r="C56" i="1"/>
  <c r="C55" i="1"/>
  <c r="C54" i="1"/>
  <c r="C53" i="1"/>
  <c r="C51" i="1"/>
  <c r="C50" i="1"/>
  <c r="C49" i="1"/>
  <c r="C48" i="1"/>
  <c r="C44" i="1"/>
  <c r="C43" i="1"/>
  <c r="C42" i="1"/>
  <c r="C39" i="1"/>
  <c r="C38" i="1"/>
  <c r="C37" i="1"/>
  <c r="C33" i="1"/>
  <c r="C31" i="1"/>
  <c r="C24" i="1"/>
  <c r="C25" i="1"/>
  <c r="C26" i="1"/>
  <c r="C27" i="1"/>
  <c r="C28" i="1"/>
  <c r="C29" i="1"/>
  <c r="C23" i="1"/>
  <c r="C14" i="1"/>
  <c r="C15" i="1"/>
  <c r="C16" i="1"/>
  <c r="C17" i="1"/>
  <c r="C18" i="1"/>
  <c r="C19" i="1"/>
  <c r="C20" i="1"/>
  <c r="C13" i="1"/>
  <c r="C9" i="1"/>
  <c r="C10" i="1"/>
  <c r="C8" i="1"/>
  <c r="B67" i="1"/>
  <c r="B49" i="1"/>
  <c r="B50" i="1"/>
  <c r="B51" i="1"/>
  <c r="B53" i="1"/>
  <c r="B54" i="1"/>
  <c r="B55" i="1"/>
  <c r="B56" i="1"/>
  <c r="B57" i="1"/>
  <c r="B60" i="1"/>
  <c r="B61" i="1"/>
  <c r="B63" i="1"/>
  <c r="B64" i="1"/>
  <c r="B65" i="1"/>
  <c r="B48" i="1"/>
  <c r="B43" i="1"/>
  <c r="B44" i="1"/>
  <c r="B42" i="1"/>
  <c r="B14" i="1"/>
  <c r="B15" i="1"/>
  <c r="B16" i="1"/>
  <c r="B17" i="1"/>
  <c r="B18" i="1"/>
  <c r="B19" i="1"/>
  <c r="B20" i="1"/>
  <c r="B23" i="1"/>
  <c r="B24" i="1"/>
  <c r="B25" i="1"/>
  <c r="B26" i="1"/>
  <c r="B27" i="1"/>
  <c r="B28" i="1"/>
  <c r="B29" i="1"/>
  <c r="B31" i="1"/>
  <c r="B33" i="1"/>
  <c r="B37" i="1"/>
  <c r="B38" i="1"/>
  <c r="B39" i="1"/>
  <c r="B13" i="1"/>
  <c r="B9" i="1"/>
  <c r="B10" i="1"/>
  <c r="B8" i="1"/>
  <c r="G34" i="26"/>
  <c r="D34" i="26"/>
  <c r="G13" i="26"/>
  <c r="D13" i="26"/>
  <c r="B18" i="28" l="1"/>
  <c r="F9" i="5"/>
  <c r="F10" i="5"/>
  <c r="E11" i="27"/>
  <c r="D33" i="26" l="1"/>
  <c r="G33" i="26"/>
  <c r="G12" i="26"/>
  <c r="D12" i="26"/>
  <c r="B17" i="28"/>
  <c r="G32" i="26" l="1"/>
  <c r="D32" i="26"/>
  <c r="G11" i="26"/>
  <c r="D11" i="26"/>
  <c r="D71" i="5"/>
  <c r="D66" i="5"/>
  <c r="B12" i="5"/>
  <c r="B16" i="28"/>
  <c r="B15" i="28"/>
  <c r="B13" i="11" l="1"/>
  <c r="B7" i="28" l="1"/>
  <c r="B8" i="28"/>
  <c r="B9" i="28"/>
  <c r="B10" i="28"/>
  <c r="B13" i="28" l="1"/>
  <c r="B14" i="28"/>
  <c r="I72" i="1"/>
  <c r="E67" i="2"/>
  <c r="E54" i="2"/>
  <c r="G54" i="2" s="1"/>
  <c r="E55" i="2"/>
  <c r="G55" i="2" s="1"/>
  <c r="E60" i="2"/>
  <c r="G60" i="2" s="1"/>
  <c r="E61" i="2"/>
  <c r="E62" i="2"/>
  <c r="E48" i="2"/>
  <c r="E43" i="2"/>
  <c r="G43" i="2" s="1"/>
  <c r="E44" i="2"/>
  <c r="E42" i="2"/>
  <c r="E18" i="2"/>
  <c r="G18" i="2" s="1"/>
  <c r="E19" i="2"/>
  <c r="G19" i="2" s="1"/>
  <c r="E24" i="2"/>
  <c r="G24" i="2" s="1"/>
  <c r="E25" i="2"/>
  <c r="E31" i="2"/>
  <c r="G31" i="2" s="1"/>
  <c r="E33" i="2"/>
  <c r="E37" i="2"/>
  <c r="G37" i="2" s="1"/>
  <c r="E13" i="2"/>
  <c r="G13" i="2" s="1"/>
  <c r="E9" i="2"/>
  <c r="E6" i="23"/>
  <c r="G6" i="23" s="1"/>
  <c r="G31" i="26"/>
  <c r="D31" i="26"/>
  <c r="G10" i="26"/>
  <c r="D10" i="26"/>
  <c r="I72" i="2"/>
  <c r="I67" i="2"/>
  <c r="I13" i="2"/>
  <c r="I19" i="2"/>
  <c r="G20" i="2"/>
  <c r="G22" i="2"/>
  <c r="I39" i="2"/>
  <c r="I43" i="2"/>
  <c r="I52" i="2"/>
  <c r="I25" i="2"/>
  <c r="I31" i="2"/>
  <c r="I61" i="2"/>
  <c r="I34" i="2"/>
  <c r="I55" i="2"/>
  <c r="I64" i="2"/>
  <c r="I58" i="2"/>
  <c r="G45" i="2"/>
  <c r="D20" i="2"/>
  <c r="I23" i="2"/>
  <c r="I45" i="2"/>
  <c r="J45" i="2" s="1"/>
  <c r="I10" i="2"/>
  <c r="I63" i="2"/>
  <c r="I8" i="2"/>
  <c r="D45" i="2"/>
  <c r="E8" i="2"/>
  <c r="G8" i="2" s="1"/>
  <c r="E10" i="2"/>
  <c r="E14" i="2"/>
  <c r="E15" i="2"/>
  <c r="G15" i="2" s="1"/>
  <c r="E16" i="2"/>
  <c r="G16" i="2" s="1"/>
  <c r="I16" i="2"/>
  <c r="E17" i="2"/>
  <c r="G17" i="2" s="1"/>
  <c r="E20" i="2"/>
  <c r="E21" i="2"/>
  <c r="G21" i="2" s="1"/>
  <c r="D22" i="2"/>
  <c r="E22" i="2"/>
  <c r="I22" i="2"/>
  <c r="J22" i="2" s="1"/>
  <c r="E23" i="2"/>
  <c r="G23" i="2" s="1"/>
  <c r="E26" i="2"/>
  <c r="E27" i="2"/>
  <c r="G27" i="2" s="1"/>
  <c r="E28" i="2"/>
  <c r="E29" i="2"/>
  <c r="G29" i="2" s="1"/>
  <c r="E30" i="2"/>
  <c r="G30" i="2" s="1"/>
  <c r="E32" i="2"/>
  <c r="G32" i="2" s="1"/>
  <c r="E34" i="2"/>
  <c r="G34" i="2" s="1"/>
  <c r="E35" i="2"/>
  <c r="G35" i="2" s="1"/>
  <c r="E36" i="2"/>
  <c r="G36" i="2" s="1"/>
  <c r="I37" i="2"/>
  <c r="E38" i="2"/>
  <c r="G38" i="2" s="1"/>
  <c r="E39" i="2"/>
  <c r="E45" i="2"/>
  <c r="E49" i="2"/>
  <c r="G49" i="2" s="1"/>
  <c r="E50" i="2"/>
  <c r="E51" i="2"/>
  <c r="G51" i="2" s="1"/>
  <c r="E52" i="2"/>
  <c r="E53" i="2"/>
  <c r="G53" i="2" s="1"/>
  <c r="E56" i="2"/>
  <c r="E57" i="2"/>
  <c r="G57" i="2" s="1"/>
  <c r="E58" i="2"/>
  <c r="G58" i="2" s="1"/>
  <c r="E59" i="2"/>
  <c r="G59" i="2" s="1"/>
  <c r="E63" i="2"/>
  <c r="E64" i="2"/>
  <c r="E65" i="2"/>
  <c r="G65" i="2" s="1"/>
  <c r="E72" i="2"/>
  <c r="G72" i="2" s="1"/>
  <c r="G67" i="2" l="1"/>
  <c r="G64" i="2"/>
  <c r="G63" i="2"/>
  <c r="E47" i="2"/>
  <c r="G47" i="2" s="1"/>
  <c r="G62" i="2"/>
  <c r="G56" i="2"/>
  <c r="G50" i="2"/>
  <c r="G61" i="2"/>
  <c r="G48" i="2"/>
  <c r="E41" i="2"/>
  <c r="G41" i="2" s="1"/>
  <c r="G44" i="2"/>
  <c r="G42" i="2"/>
  <c r="G33" i="2"/>
  <c r="G26" i="2"/>
  <c r="G14" i="2"/>
  <c r="G25" i="2"/>
  <c r="G28" i="2"/>
  <c r="E12" i="2"/>
  <c r="G12" i="2" s="1"/>
  <c r="G10" i="2"/>
  <c r="G9" i="2"/>
  <c r="E7" i="2"/>
  <c r="G7" i="2" s="1"/>
  <c r="I44" i="2"/>
  <c r="G39" i="2"/>
  <c r="I28" i="2"/>
  <c r="G52" i="2"/>
  <c r="I33" i="2"/>
  <c r="I27" i="2"/>
  <c r="I21" i="2"/>
  <c r="I15" i="2"/>
  <c r="I9" i="2"/>
  <c r="I50" i="2"/>
  <c r="I29" i="2"/>
  <c r="I49" i="2"/>
  <c r="I62" i="2"/>
  <c r="I26" i="2"/>
  <c r="I35" i="2"/>
  <c r="I18" i="2"/>
  <c r="I60" i="2"/>
  <c r="I54" i="2"/>
  <c r="I48" i="2"/>
  <c r="I36" i="2"/>
  <c r="I30" i="2"/>
  <c r="I24" i="2"/>
  <c r="I59" i="2"/>
  <c r="I38" i="2"/>
  <c r="I14" i="2"/>
  <c r="I42" i="2"/>
  <c r="I51" i="2"/>
  <c r="I65" i="2"/>
  <c r="I53" i="2"/>
  <c r="I17" i="2"/>
  <c r="I12" i="2"/>
  <c r="I57" i="2"/>
  <c r="I56" i="2"/>
  <c r="I32" i="2"/>
  <c r="I20" i="2"/>
  <c r="J20" i="2" s="1"/>
  <c r="I47" i="2"/>
  <c r="I7" i="2"/>
  <c r="E66" i="2" l="1"/>
  <c r="G66" i="2" s="1"/>
  <c r="I41" i="2"/>
  <c r="I66" i="2"/>
  <c r="B12" i="28" l="1"/>
  <c r="I57" i="10"/>
  <c r="I66" i="10"/>
  <c r="E68" i="10"/>
  <c r="B11" i="28"/>
  <c r="J30" i="31" l="1"/>
  <c r="E12" i="25"/>
  <c r="B12" i="25"/>
  <c r="G30" i="26"/>
  <c r="D30" i="26"/>
  <c r="G9" i="26"/>
  <c r="D9" i="26"/>
  <c r="I64" i="12"/>
  <c r="I64" i="11"/>
  <c r="D15" i="10"/>
  <c r="I71" i="5"/>
  <c r="I66" i="5"/>
  <c r="D72" i="1"/>
  <c r="I67" i="1"/>
  <c r="D67" i="1"/>
  <c r="F48" i="5" l="1"/>
  <c r="J150" i="31"/>
  <c r="J75" i="31"/>
  <c r="E60" i="31"/>
  <c r="H30" i="31" l="1"/>
  <c r="E90" i="31"/>
  <c r="J135" i="31"/>
  <c r="C150" i="31"/>
  <c r="J165" i="31"/>
  <c r="J45" i="31"/>
  <c r="E135" i="31"/>
  <c r="E150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2" i="23"/>
  <c r="F13" i="22"/>
  <c r="C13" i="22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J57" i="10" s="1"/>
  <c r="E56" i="10"/>
  <c r="G56" i="10" s="1"/>
  <c r="B50" i="10"/>
  <c r="H50" i="10" s="1"/>
  <c r="B49" i="10"/>
  <c r="H49" i="10" s="1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D56" i="10"/>
  <c r="H54" i="10"/>
  <c r="J54" i="10" s="1"/>
  <c r="D54" i="10"/>
  <c r="D66" i="10"/>
  <c r="D59" i="10"/>
  <c r="D64" i="10"/>
  <c r="D62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21" i="12"/>
  <c r="D21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9" i="12" l="1"/>
  <c r="I11" i="12"/>
  <c r="I15" i="12"/>
  <c r="I17" i="12"/>
  <c r="I19" i="12"/>
  <c r="I21" i="12"/>
  <c r="J21" i="12" s="1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6" i="25"/>
  <c r="D6" i="25" s="1"/>
  <c r="E6" i="25"/>
  <c r="G6" i="25" s="1"/>
  <c r="B9" i="25"/>
  <c r="D9" i="25" s="1"/>
  <c r="E9" i="25"/>
  <c r="G9" i="25" s="1"/>
  <c r="B41" i="25"/>
  <c r="D41" i="25" s="1"/>
  <c r="E41" i="25"/>
  <c r="G41" i="25" s="1"/>
  <c r="B59" i="25"/>
  <c r="D59" i="25" s="1"/>
  <c r="E59" i="25"/>
  <c r="G59" i="25" s="1"/>
  <c r="B62" i="25"/>
  <c r="D62" i="25" s="1"/>
  <c r="E62" i="25"/>
  <c r="G62" i="25" s="1"/>
  <c r="B6" i="23"/>
  <c r="D6" i="23" s="1"/>
  <c r="B9" i="23"/>
  <c r="D9" i="23" s="1"/>
  <c r="E9" i="23"/>
  <c r="G9" i="23" s="1"/>
  <c r="B15" i="23"/>
  <c r="D15" i="23" s="1"/>
  <c r="B41" i="23"/>
  <c r="D41" i="23" s="1"/>
  <c r="E41" i="23"/>
  <c r="G41" i="23" s="1"/>
  <c r="B59" i="23"/>
  <c r="D59" i="23" s="1"/>
  <c r="E59" i="23"/>
  <c r="G59" i="23" s="1"/>
  <c r="E62" i="23"/>
  <c r="G62" i="23" s="1"/>
  <c r="B12" i="23"/>
  <c r="D12" i="23" s="1"/>
  <c r="E12" i="23"/>
  <c r="E15" i="23"/>
  <c r="B18" i="23"/>
  <c r="D18" i="23" s="1"/>
  <c r="E18" i="23"/>
  <c r="B18" i="25"/>
  <c r="D18" i="25" s="1"/>
  <c r="E18" i="25"/>
  <c r="F66" i="22"/>
  <c r="E21" i="22"/>
  <c r="B21" i="23"/>
  <c r="D21" i="23" s="1"/>
  <c r="E21" i="23"/>
  <c r="G21" i="23" s="1"/>
  <c r="B21" i="25"/>
  <c r="D21" i="25" s="1"/>
  <c r="E21" i="25"/>
  <c r="B23" i="23"/>
  <c r="D23" i="23" s="1"/>
  <c r="E23" i="23"/>
  <c r="B23" i="25"/>
  <c r="E23" i="25"/>
  <c r="G23" i="25" s="1"/>
  <c r="B26" i="23"/>
  <c r="E26" i="23"/>
  <c r="B26" i="25"/>
  <c r="E26" i="25"/>
  <c r="B28" i="23"/>
  <c r="D28" i="23" s="1"/>
  <c r="E28" i="23"/>
  <c r="G28" i="23" s="1"/>
  <c r="B28" i="25"/>
  <c r="E28" i="25"/>
  <c r="B31" i="23"/>
  <c r="D31" i="23" s="1"/>
  <c r="E31" i="23"/>
  <c r="G31" i="23" s="1"/>
  <c r="B31" i="25"/>
  <c r="E31" i="25"/>
  <c r="G31" i="25" s="1"/>
  <c r="B34" i="23"/>
  <c r="D34" i="23" s="1"/>
  <c r="E34" i="23"/>
  <c r="B34" i="25"/>
  <c r="E34" i="25"/>
  <c r="G34" i="25" s="1"/>
  <c r="B36" i="23"/>
  <c r="D36" i="23" s="1"/>
  <c r="E36" i="23"/>
  <c r="B36" i="25"/>
  <c r="D36" i="25" s="1"/>
  <c r="E36" i="25"/>
  <c r="B38" i="23"/>
  <c r="D38" i="23" s="1"/>
  <c r="E38" i="23"/>
  <c r="G38" i="23" s="1"/>
  <c r="B38" i="25"/>
  <c r="E38" i="25"/>
  <c r="B44" i="23"/>
  <c r="D44" i="23" s="1"/>
  <c r="E44" i="23"/>
  <c r="B44" i="25"/>
  <c r="E44" i="25"/>
  <c r="G44" i="25" s="1"/>
  <c r="B47" i="23"/>
  <c r="E47" i="23"/>
  <c r="B47" i="25"/>
  <c r="E47" i="25"/>
  <c r="B49" i="23"/>
  <c r="D49" i="23" s="1"/>
  <c r="E49" i="23"/>
  <c r="G49" i="23" s="1"/>
  <c r="B49" i="25"/>
  <c r="D49" i="25" s="1"/>
  <c r="E49" i="25"/>
  <c r="G49" i="25" s="1"/>
  <c r="B51" i="23"/>
  <c r="D51" i="23" s="1"/>
  <c r="E51" i="23"/>
  <c r="B51" i="25"/>
  <c r="D51" i="25" s="1"/>
  <c r="E51" i="25"/>
  <c r="G51" i="25" s="1"/>
  <c r="B54" i="23"/>
  <c r="D54" i="23" s="1"/>
  <c r="E54" i="23"/>
  <c r="G54" i="23" s="1"/>
  <c r="B54" i="25"/>
  <c r="D54" i="25" s="1"/>
  <c r="E54" i="25"/>
  <c r="B57" i="23"/>
  <c r="D57" i="23" s="1"/>
  <c r="E57" i="23"/>
  <c r="G57" i="23" s="1"/>
  <c r="B57" i="25"/>
  <c r="E57" i="25"/>
  <c r="C47" i="5"/>
  <c r="B47" i="5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H49" i="2" l="1"/>
  <c r="J49" i="2" s="1"/>
  <c r="D49" i="2"/>
  <c r="D47" i="1"/>
  <c r="H48" i="10"/>
  <c r="J48" i="10" s="1"/>
  <c r="H49" i="12"/>
  <c r="J49" i="12" s="1"/>
  <c r="D47" i="5"/>
  <c r="E47" i="9"/>
  <c r="C48" i="11"/>
  <c r="G18" i="25"/>
  <c r="X38" i="18"/>
  <c r="G47" i="1"/>
  <c r="I47" i="1" s="1"/>
  <c r="B47" i="9"/>
  <c r="G47" i="9"/>
  <c r="E48" i="11"/>
  <c r="E47" i="5"/>
  <c r="G47" i="5"/>
  <c r="C47" i="9"/>
  <c r="G48" i="11"/>
  <c r="D44" i="25"/>
  <c r="D34" i="25"/>
  <c r="G12" i="23"/>
  <c r="Y38" i="18"/>
  <c r="Y189" i="18"/>
  <c r="G36" i="23"/>
  <c r="Y11" i="18"/>
  <c r="Y151" i="18"/>
  <c r="D31" i="25"/>
  <c r="D23" i="25"/>
  <c r="G15" i="23"/>
  <c r="B48" i="2"/>
  <c r="B48" i="11"/>
  <c r="G51" i="23"/>
  <c r="G36" i="25"/>
  <c r="G34" i="23"/>
  <c r="G28" i="25"/>
  <c r="X85" i="18"/>
  <c r="Y102" i="18"/>
  <c r="Y85" i="18"/>
  <c r="Y75" i="18"/>
  <c r="X189" i="18"/>
  <c r="X151" i="18"/>
  <c r="X136" i="18"/>
  <c r="X102" i="18"/>
  <c r="X97" i="18"/>
  <c r="X75" i="18"/>
  <c r="X11" i="18"/>
  <c r="G57" i="25"/>
  <c r="G38" i="25"/>
  <c r="C66" i="22"/>
  <c r="G21" i="25"/>
  <c r="D57" i="25"/>
  <c r="D38" i="25"/>
  <c r="G18" i="23"/>
  <c r="G23" i="23"/>
  <c r="G54" i="25"/>
  <c r="G44" i="23"/>
  <c r="D28" i="25"/>
  <c r="D66" i="22"/>
  <c r="J66" i="22"/>
  <c r="G12" i="25"/>
  <c r="D12" i="25"/>
  <c r="M66" i="22"/>
  <c r="L66" i="22"/>
  <c r="I66" i="22"/>
  <c r="B15" i="25"/>
  <c r="D15" i="25" s="1"/>
  <c r="B64" i="23"/>
  <c r="G66" i="22"/>
  <c r="E15" i="25"/>
  <c r="G15" i="25" s="1"/>
  <c r="E64" i="23"/>
  <c r="G64" i="23" s="1"/>
  <c r="H48" i="5"/>
  <c r="H48" i="1"/>
  <c r="F48" i="1"/>
  <c r="H48" i="9"/>
  <c r="F48" i="9"/>
  <c r="H48" i="2" l="1"/>
  <c r="J48" i="2" s="1"/>
  <c r="D48" i="2"/>
  <c r="D48" i="11"/>
  <c r="D64" i="23"/>
  <c r="I47" i="5"/>
  <c r="I48" i="12"/>
  <c r="D47" i="9"/>
  <c r="I48" i="11"/>
  <c r="I47" i="10"/>
  <c r="I47" i="9"/>
  <c r="Y36" i="18"/>
  <c r="Y9" i="18" s="1"/>
  <c r="X36" i="18"/>
  <c r="X9" i="18" s="1"/>
  <c r="E64" i="25"/>
  <c r="G64" i="25" s="1"/>
  <c r="B64" i="25"/>
  <c r="D64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B8" i="2"/>
  <c r="B9" i="2"/>
  <c r="B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10" i="2" l="1"/>
  <c r="H10" i="2"/>
  <c r="J10" i="2" s="1"/>
  <c r="H9" i="2"/>
  <c r="J9" i="2" s="1"/>
  <c r="D9" i="2"/>
  <c r="H8" i="2"/>
  <c r="J8" i="2" s="1"/>
  <c r="D8" i="2"/>
  <c r="H14" i="1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N36" i="18" s="1"/>
  <c r="M38" i="18"/>
  <c r="M36" i="18" s="1"/>
  <c r="L38" i="18"/>
  <c r="K38" i="18"/>
  <c r="J38" i="18"/>
  <c r="J36" i="18" s="1"/>
  <c r="I38" i="18"/>
  <c r="H38" i="18"/>
  <c r="H36" i="18" s="1"/>
  <c r="G38" i="18"/>
  <c r="F38" i="18"/>
  <c r="F36" i="18" s="1"/>
  <c r="E38" i="18"/>
  <c r="D38" i="18"/>
  <c r="C38" i="18"/>
  <c r="B38" i="18"/>
  <c r="B36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J9" i="18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B72" i="2"/>
  <c r="H72" i="2" s="1"/>
  <c r="B14" i="2"/>
  <c r="B15" i="2"/>
  <c r="B16" i="2"/>
  <c r="B17" i="2"/>
  <c r="B18" i="2"/>
  <c r="B19" i="2"/>
  <c r="B20" i="2"/>
  <c r="H20" i="2" s="1"/>
  <c r="B21" i="2"/>
  <c r="B22" i="2"/>
  <c r="H22" i="2" s="1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3" i="2"/>
  <c r="B67" i="2"/>
  <c r="H67" i="2" s="1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3" i="2"/>
  <c r="B44" i="2"/>
  <c r="B45" i="2"/>
  <c r="H45" i="2" s="1"/>
  <c r="B42" i="2"/>
  <c r="F39" i="1"/>
  <c r="F44" i="1"/>
  <c r="H23" i="2" l="1"/>
  <c r="J23" i="2" s="1"/>
  <c r="D23" i="2"/>
  <c r="D72" i="2"/>
  <c r="J72" i="2"/>
  <c r="J67" i="2"/>
  <c r="D67" i="2"/>
  <c r="H60" i="2"/>
  <c r="J60" i="2" s="1"/>
  <c r="D60" i="2"/>
  <c r="H57" i="2"/>
  <c r="J57" i="2" s="1"/>
  <c r="D57" i="2"/>
  <c r="D65" i="2"/>
  <c r="H65" i="2"/>
  <c r="J65" i="2" s="1"/>
  <c r="D53" i="2"/>
  <c r="H53" i="2"/>
  <c r="J53" i="2" s="1"/>
  <c r="H50" i="2"/>
  <c r="J50" i="2" s="1"/>
  <c r="D50" i="2"/>
  <c r="H54" i="2"/>
  <c r="J54" i="2" s="1"/>
  <c r="D54" i="2"/>
  <c r="H59" i="2"/>
  <c r="J59" i="2" s="1"/>
  <c r="D59" i="2"/>
  <c r="H64" i="2"/>
  <c r="J64" i="2" s="1"/>
  <c r="D64" i="2"/>
  <c r="D58" i="2"/>
  <c r="H58" i="2"/>
  <c r="J58" i="2" s="1"/>
  <c r="D52" i="2"/>
  <c r="H52" i="2"/>
  <c r="J52" i="2" s="1"/>
  <c r="H63" i="2"/>
  <c r="J63" i="2" s="1"/>
  <c r="D63" i="2"/>
  <c r="H51" i="2"/>
  <c r="J51" i="2" s="1"/>
  <c r="D51" i="2"/>
  <c r="H62" i="2"/>
  <c r="J62" i="2" s="1"/>
  <c r="D62" i="2"/>
  <c r="H56" i="2"/>
  <c r="J56" i="2" s="1"/>
  <c r="D56" i="2"/>
  <c r="H61" i="2"/>
  <c r="J61" i="2" s="1"/>
  <c r="D61" i="2"/>
  <c r="H55" i="2"/>
  <c r="J55" i="2" s="1"/>
  <c r="D55" i="2"/>
  <c r="H43" i="2"/>
  <c r="J43" i="2" s="1"/>
  <c r="D43" i="2"/>
  <c r="H44" i="2"/>
  <c r="J44" i="2" s="1"/>
  <c r="D44" i="2"/>
  <c r="H42" i="2"/>
  <c r="J42" i="2" s="1"/>
  <c r="D42" i="2"/>
  <c r="D16" i="2"/>
  <c r="H16" i="2"/>
  <c r="J16" i="2" s="1"/>
  <c r="H15" i="2"/>
  <c r="J15" i="2" s="1"/>
  <c r="D15" i="2"/>
  <c r="H39" i="2"/>
  <c r="J39" i="2" s="1"/>
  <c r="D39" i="2"/>
  <c r="H38" i="2"/>
  <c r="J38" i="2" s="1"/>
  <c r="D38" i="2"/>
  <c r="H14" i="2"/>
  <c r="J14" i="2" s="1"/>
  <c r="D14" i="2"/>
  <c r="H34" i="2"/>
  <c r="J34" i="2" s="1"/>
  <c r="D34" i="2"/>
  <c r="H27" i="2"/>
  <c r="J27" i="2" s="1"/>
  <c r="D27" i="2"/>
  <c r="H32" i="2"/>
  <c r="J32" i="2" s="1"/>
  <c r="D32" i="2"/>
  <c r="H25" i="2"/>
  <c r="J25" i="2" s="1"/>
  <c r="D25" i="2"/>
  <c r="H19" i="2"/>
  <c r="J19" i="2" s="1"/>
  <c r="D19" i="2"/>
  <c r="H26" i="2"/>
  <c r="J26" i="2" s="1"/>
  <c r="D26" i="2"/>
  <c r="H37" i="2"/>
  <c r="J37" i="2" s="1"/>
  <c r="D37" i="2"/>
  <c r="H30" i="2"/>
  <c r="J30" i="2" s="1"/>
  <c r="D30" i="2"/>
  <c r="H24" i="2"/>
  <c r="J24" i="2" s="1"/>
  <c r="D24" i="2"/>
  <c r="H18" i="2"/>
  <c r="J18" i="2" s="1"/>
  <c r="D18" i="2"/>
  <c r="H28" i="2"/>
  <c r="J28" i="2" s="1"/>
  <c r="D28" i="2"/>
  <c r="H33" i="2"/>
  <c r="J33" i="2" s="1"/>
  <c r="D33" i="2"/>
  <c r="H21" i="2"/>
  <c r="J21" i="2" s="1"/>
  <c r="D21" i="2"/>
  <c r="H31" i="2"/>
  <c r="J31" i="2" s="1"/>
  <c r="D31" i="2"/>
  <c r="H36" i="2"/>
  <c r="J36" i="2" s="1"/>
  <c r="D36" i="2"/>
  <c r="D35" i="2"/>
  <c r="H35" i="2"/>
  <c r="J35" i="2" s="1"/>
  <c r="H29" i="2"/>
  <c r="J29" i="2" s="1"/>
  <c r="D29" i="2"/>
  <c r="D17" i="2"/>
  <c r="H17" i="2"/>
  <c r="J17" i="2" s="1"/>
  <c r="H13" i="2"/>
  <c r="J13" i="2" s="1"/>
  <c r="D13" i="2"/>
  <c r="B47" i="2"/>
  <c r="F13" i="5"/>
  <c r="H47" i="2" l="1"/>
  <c r="J47" i="2" s="1"/>
  <c r="D47" i="2"/>
  <c r="G41" i="5"/>
  <c r="I41" i="5" s="1"/>
  <c r="H53" i="11" l="1"/>
  <c r="H32" i="11"/>
  <c r="H28" i="11"/>
  <c r="H27" i="11"/>
  <c r="H20" i="11"/>
  <c r="G8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C7" i="5"/>
  <c r="B7" i="5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41" i="5" l="1"/>
  <c r="B65" i="5"/>
  <c r="D12" i="5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H43" i="11"/>
  <c r="E41" i="1"/>
  <c r="B12" i="9"/>
  <c r="G12" i="9"/>
  <c r="H12" i="9" s="1"/>
  <c r="E7" i="5"/>
  <c r="F44" i="5"/>
  <c r="F38" i="5"/>
  <c r="F37" i="5"/>
  <c r="F39" i="5"/>
  <c r="G12" i="1"/>
  <c r="H12" i="1" s="1"/>
  <c r="B12" i="1"/>
  <c r="C41" i="1"/>
  <c r="D41" i="1" s="1"/>
  <c r="F58" i="1"/>
  <c r="F8" i="5"/>
  <c r="F18" i="5"/>
  <c r="F27" i="5"/>
  <c r="F30" i="5"/>
  <c r="F34" i="5"/>
  <c r="F42" i="5"/>
  <c r="F50" i="5"/>
  <c r="F53" i="5"/>
  <c r="F61" i="5"/>
  <c r="F66" i="5"/>
  <c r="E12" i="9"/>
  <c r="H18" i="11"/>
  <c r="E8" i="11"/>
  <c r="C42" i="11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E12" i="5"/>
  <c r="F17" i="5"/>
  <c r="F51" i="5"/>
  <c r="F55" i="5"/>
  <c r="F59" i="5"/>
  <c r="C7" i="9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G13" i="11"/>
  <c r="H29" i="11"/>
  <c r="E42" i="11"/>
  <c r="H52" i="11"/>
  <c r="H8" i="11"/>
  <c r="H15" i="11"/>
  <c r="H16" i="11"/>
  <c r="H17" i="11"/>
  <c r="E12" i="10"/>
  <c r="H7" i="9"/>
  <c r="F47" i="9"/>
  <c r="E7" i="9"/>
  <c r="G12" i="5"/>
  <c r="F16" i="5"/>
  <c r="H17" i="5"/>
  <c r="F19" i="5"/>
  <c r="H24" i="5"/>
  <c r="F47" i="5"/>
  <c r="H62" i="5"/>
  <c r="B12" i="2"/>
  <c r="B7" i="2"/>
  <c r="H7" i="1"/>
  <c r="H49" i="1"/>
  <c r="H50" i="1"/>
  <c r="H51" i="1"/>
  <c r="H52" i="1"/>
  <c r="H53" i="1"/>
  <c r="H54" i="1"/>
  <c r="H55" i="1"/>
  <c r="H56" i="1"/>
  <c r="H57" i="1"/>
  <c r="H58" i="1"/>
  <c r="C12" i="1"/>
  <c r="E12" i="1"/>
  <c r="G41" i="1"/>
  <c r="F67" i="1"/>
  <c r="D7" i="9" l="1"/>
  <c r="H41" i="2"/>
  <c r="J41" i="2" s="1"/>
  <c r="D41" i="2"/>
  <c r="D12" i="2"/>
  <c r="H12" i="2"/>
  <c r="J12" i="2" s="1"/>
  <c r="H7" i="2"/>
  <c r="J7" i="2" s="1"/>
  <c r="D7" i="2"/>
  <c r="G8" i="12"/>
  <c r="D12" i="10"/>
  <c r="G42" i="12"/>
  <c r="H41" i="10"/>
  <c r="B67" i="10"/>
  <c r="G12" i="10"/>
  <c r="D13" i="12"/>
  <c r="H7" i="10"/>
  <c r="G13" i="12"/>
  <c r="D41" i="10"/>
  <c r="G7" i="10"/>
  <c r="H13" i="12"/>
  <c r="D12" i="9"/>
  <c r="H42" i="12"/>
  <c r="D42" i="11"/>
  <c r="I12" i="10"/>
  <c r="I12" i="5"/>
  <c r="I41" i="10"/>
  <c r="J41" i="10" s="1"/>
  <c r="F42" i="11"/>
  <c r="I42" i="11"/>
  <c r="H8" i="12"/>
  <c r="I13" i="12"/>
  <c r="F12" i="9"/>
  <c r="I12" i="9"/>
  <c r="I42" i="12"/>
  <c r="F7" i="9"/>
  <c r="I7" i="9"/>
  <c r="H12" i="10"/>
  <c r="F13" i="11"/>
  <c r="I13" i="11"/>
  <c r="F7" i="5"/>
  <c r="I7" i="5"/>
  <c r="D13" i="11"/>
  <c r="D8" i="12"/>
  <c r="I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F12" i="5"/>
  <c r="E63" i="12"/>
  <c r="G66" i="1"/>
  <c r="H66" i="1" s="1"/>
  <c r="C67" i="9"/>
  <c r="B67" i="9"/>
  <c r="C66" i="1"/>
  <c r="B63" i="11"/>
  <c r="G63" i="11"/>
  <c r="C63" i="11"/>
  <c r="E67" i="9"/>
  <c r="E65" i="5"/>
  <c r="B66" i="2"/>
  <c r="B63" i="12"/>
  <c r="H13" i="11"/>
  <c r="E63" i="11"/>
  <c r="F48" i="11"/>
  <c r="H12" i="5"/>
  <c r="G65" i="5"/>
  <c r="F47" i="1"/>
  <c r="E66" i="1"/>
  <c r="H41" i="1"/>
  <c r="H66" i="2" l="1"/>
  <c r="J66" i="2" s="1"/>
  <c r="D66" i="2"/>
  <c r="J7" i="10"/>
  <c r="D63" i="12"/>
  <c r="G63" i="12"/>
  <c r="J42" i="12"/>
  <c r="J12" i="10"/>
  <c r="D67" i="10"/>
  <c r="J13" i="12"/>
  <c r="H63" i="12"/>
  <c r="J8" i="12"/>
  <c r="D63" i="11"/>
  <c r="I67" i="10"/>
  <c r="F65" i="5"/>
  <c r="I65" i="5"/>
  <c r="I63" i="12"/>
  <c r="F67" i="9"/>
  <c r="I63" i="11"/>
  <c r="D67" i="9"/>
  <c r="F66" i="1"/>
  <c r="I66" i="1"/>
  <c r="D66" i="1"/>
  <c r="F63" i="11"/>
  <c r="H63" i="11"/>
  <c r="H65" i="5"/>
  <c r="J63" i="12" l="1"/>
  <c r="E47" i="10"/>
  <c r="G47" i="10" s="1"/>
  <c r="G67" i="9"/>
  <c r="H47" i="9"/>
  <c r="I67" i="9" l="1"/>
  <c r="E67" i="10"/>
  <c r="G67" i="10" s="1"/>
  <c r="H47" i="10"/>
  <c r="J4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<sst xmlns="http://schemas.openxmlformats.org/spreadsheetml/2006/main" count="1809" uniqueCount="523">
  <si>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</si>
  <si>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</si>
  <si>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</si>
  <si>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</si>
  <si>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</si>
  <si>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</si>
  <si>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</si>
  <si>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</si>
  <si>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</si>
  <si>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</si>
  <si>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</si>
  <si>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</si>
  <si>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</si>
  <si>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</si>
  <si>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</si>
  <si>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</si>
  <si>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</si>
  <si>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</si>
  <si>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</si>
  <si>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</si>
  <si>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</si>
  <si>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</si>
  <si>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</si>
  <si>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</si>
  <si>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</si>
  <si>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</si>
  <si>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</si>
  <si>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</si>
  <si>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</si>
  <si>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</si>
  <si>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</si>
  <si>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</si>
  <si>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</si>
  <si>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</si>
  <si>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</si>
  <si>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</si>
  <si>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</si>
  <si>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</si>
  <si>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</si>
  <si>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</si>
  <si>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</si>
  <si>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</si>
  <si>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</si>
  <si>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</si>
  <si>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</si>
  <si>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</si>
  <si>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</si>
  <si>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</si>
  <si>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</si>
  <si>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</si>
  <si>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</si>
  <si>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</si>
  <si>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</si>
  <si>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</si>
  <si>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</si>
  <si>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</si>
  <si>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</si>
  <si>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</si>
  <si>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</si>
  <si>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</si>
  <si>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</si>
  <si>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</si>
  <si>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</si>
  <si>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</si>
  <si>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</si>
  <si>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</si>
  <si>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</si>
  <si>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</si>
  <si>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</si>
  <si>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</si>
  <si>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</si>
  <si>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</si>
  <si>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</si>
  <si>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</si>
  <si>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</si>
  <si>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</si>
  <si>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</si>
  <si>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</si>
  <si>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</si>
  <si>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</si>
  <si>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</si>
  <si>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</si>
  <si>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</si>
  <si>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</si>
  <si>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</si>
  <si>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</si>
  <si>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</si>
  <si>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</si>
  <si>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</si>
  <si>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</si>
  <si>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</si>
  <si>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</si>
  <si>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</si>
  <si>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</si>
  <si>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</si>
  <si>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</si>
  <si>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</si>
  <si>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</si>
  <si>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</si>
  <si>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</si>
  <si>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</si>
  <si>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</si>
  <si>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</si>
  <si>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</si>
  <si>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</si>
  <si>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</si>
  <si>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</si>
  <si>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</si>
  <si>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</si>
  <si>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</si>
  <si>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</si>
  <si>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</si>
  <si>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</si>
  <si>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</si>
  <si>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</si>
  <si>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</si>
  <si>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</si>
  <si>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</si>
  <si>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</si>
  <si>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</si>
  <si>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</si>
  <si>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</si>
  <si>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</si>
  <si>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</si>
  <si>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</si>
  <si>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</si>
  <si>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</si>
  <si>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</si>
  <si>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</si>
  <si>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</si>
  <si>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</si>
  <si>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</si>
  <si>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</si>
  <si>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</si>
  <si>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</si>
  <si>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</si>
  <si>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</si>
  <si>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</si>
  <si>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</si>
  <si>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</si>
  <si>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</si>
  <si>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</si>
  <si>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</si>
  <si>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</si>
  <si>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</si>
  <si>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</si>
  <si>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</si>
  <si>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</si>
  <si>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</si>
  <si>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</si>
  <si>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</si>
  <si>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</si>
  <si>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</si>
  <si>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</si>
  <si>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</si>
  <si>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</si>
  <si>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</si>
  <si>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</si>
  <si>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</si>
  <si>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</si>
  <si>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</si>
  <si>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</si>
  <si>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</si>
  <si>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</si>
  <si>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</si>
  <si>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</si>
  <si>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</si>
  <si>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</si>
  <si>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</si>
  <si>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</si>
  <si>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</si>
  <si>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</si>
  <si>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</si>
  <si>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</si>
  <si>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</si>
  <si>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</si>
  <si>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</si>
  <si>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</si>
  <si>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</si>
  <si>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</si>
  <si>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</si>
  <si>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</si>
  <si>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</si>
  <si>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</si>
  <si>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</si>
  <si>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</si>
  <si>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</si>
  <si>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</si>
  <si>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</si>
  <si>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</si>
  <si>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</si>
  <si>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</si>
  <si>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</si>
  <si>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</si>
  <si>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</si>
  <si>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</si>
  <si>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</si>
  <si>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</si>
  <si>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</si>
  <si>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</si>
  <si>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</si>
  <si>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</si>
  <si>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</si>
  <si>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</si>
  <si>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</si>
  <si>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</si>
  <si>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</si>
  <si>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</si>
  <si>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</si>
  <si>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</si>
  <si>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</si>
  <si>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</si>
  <si>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</si>
  <si>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</si>
  <si>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</si>
  <si>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</si>
  <si>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</si>
  <si>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</si>
  <si>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</si>
  <si>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</si>
  <si>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</si>
  <si>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</si>
  <si>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</si>
  <si>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</si>
  <si>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</si>
  <si>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</si>
  <si>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</si>
  <si>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</si>
  <si>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</si>
  <si>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</si>
  <si>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</si>
  <si>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</si>
  <si>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</si>
  <si>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</si>
  <si>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</si>
  <si>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</si>
  <si>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</si>
  <si>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</si>
  <si>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</si>
  <si>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</si>
  <si>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</si>
  <si>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</si>
  <si>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</si>
  <si>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</si>
  <si>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</si>
  <si>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</si>
  <si>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</si>
  <si>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</si>
  <si>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</si>
  <si>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</si>
  <si>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</si>
  <si>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</si>
  <si>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</si>
  <si>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</si>
  <si>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</si>
  <si>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</si>
  <si>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</si>
  <si>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</si>
  <si>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</si>
  <si>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</si>
  <si>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</si>
  <si>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</si>
  <si>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</si>
  <si>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</si>
  <si>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</si>
  <si>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</si>
  <si>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</si>
  <si>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</si>
  <si>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</si>
  <si>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</si>
  <si>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</si>
  <si>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</si>
  <si>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</si>
  <si>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</si>
  <si>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</si>
  <si>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</si>
  <si>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</si>
  <si>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</si>
  <si>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</si>
  <si>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</si>
  <si>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</si>
  <si>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</si>
  <si>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</si>
  <si>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</si>
  <si>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</si>
  <si>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</si>
  <si>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</si>
  <si>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</si>
  <si>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</si>
  <si>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</si>
  <si>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</si>
  <si>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</si>
  <si>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</si>
  <si>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</si>
  <si>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</si>
  <si>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</si>
  <si>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</si>
  <si>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</si>
  <si>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</si>
  <si>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</si>
  <si>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</si>
  <si>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</si>
  <si>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</si>
  <si>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</si>
  <si>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</si>
  <si>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</si>
  <si>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</si>
  <si>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</si>
  <si>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</si>
  <si>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</si>
  <si>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</si>
  <si>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</si>
  <si>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</si>
  <si>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</si>
  <si>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</si>
  <si>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</si>
  <si>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</si>
  <si>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</si>
  <si>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</si>
  <si>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</si>
  <si>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</si>
  <si>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</si>
  <si>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</si>
  <si>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</si>
  <si>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</si>
  <si>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</si>
  <si>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</si>
  <si>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</si>
  <si>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</si>
  <si>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</si>
  <si>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</si>
  <si>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</si>
  <si>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</si>
  <si>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</si>
  <si>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</si>
  <si>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</si>
  <si>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</si>
  <si>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</si>
  <si>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</si>
  <si>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</si>
  <si>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</si>
  <si>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</si>
  <si>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</si>
  <si>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</si>
  <si>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</si>
  <si>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</si>
  <si>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</si>
  <si>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</si>
  <si>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</si>
  <si>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</si>
  <si>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</si>
  <si>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</si>
  <si>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</si>
  <si>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</si>
  <si>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</si>
  <si>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</si>
  <si>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</si>
  <si>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</si>
  <si>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</si>
  <si>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</si>
  <si>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</si>
  <si>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</si>
  <si>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</si>
  <si>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</si>
  <si>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</si>
  <si>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</si>
  <si>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</si>
  <si>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</si>
  <si>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</si>
  <si>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</si>
  <si>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</si>
  <si>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</si>
  <si>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</si>
  <si>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</si>
  <si>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</si>
  <si>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</si>
  <si>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</si>
  <si>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</si>
  <si>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</si>
  <si>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</si>
  <si>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</si>
  <si>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</si>
  <si>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</si>
  <si>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</si>
  <si>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</si>
  <si>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</si>
  <si>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</si>
  <si>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</si>
  <si>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</si>
  <si>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</si>
  <si>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</si>
  <si>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</si>
  <si>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</si>
  <si>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</si>
  <si>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</si>
  <si>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</si>
  <si>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</si>
  <si>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</si>
  <si>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</si>
  <si>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</si>
  <si>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</si>
  <si>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</si>
  <si>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</si>
  <si>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</si>
  <si>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</si>
  <si>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</si>
  <si>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</si>
  <si>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</si>
  <si>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</si>
  <si>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</si>
  <si>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</si>
  <si>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</si>
  <si>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</si>
  <si>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</si>
  <si>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</si>
  <si>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</si>
  <si>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</si>
  <si>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</si>
  <si>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</si>
  <si>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</si>
  <si>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</si>
  <si>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</si>
  <si>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</si>
  <si>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</si>
  <si>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</si>
  <si>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</si>
  <si>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</si>
  <si>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</si>
  <si>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</si>
  <si>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</si>
  <si>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</si>
  <si>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</si>
  <si>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</si>
  <si>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</si>
  <si>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</si>
  <si>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</si>
  <si>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</si>
  <si>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</si>
  <si>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</si>
  <si>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</si>
  <si>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</si>
  <si>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</si>
  <si>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</si>
  <si>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</si>
  <si>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</si>
  <si>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</si>
  <si>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</si>
  <si>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</si>
  <si>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</si>
  <si>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</si>
  <si>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</si>
  <si>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</si>
  <si>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</si>
  <si>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</si>
  <si>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</si>
  <si>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t>南韓</t>
    <phoneticPr fontId="10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</si>
  <si>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</si>
  <si>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</si>
  <si>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2023</t>
    </r>
    <r>
      <rPr>
        <sz val="12"/>
        <rFont val="新細明體"/>
        <family val="1"/>
        <charset val="136"/>
      </rPr>
      <t>年</t>
    </r>
    <phoneticPr fontId="4" type="noConversion"/>
  </si>
  <si>
    <t>南韓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</si>
  <si>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2023 -2022</t>
    </r>
    <r>
      <rPr>
        <sz val="12"/>
        <rFont val="新細明體"/>
        <family val="1"/>
        <charset val="136"/>
      </rPr>
      <t>年同期比較</t>
    </r>
    <phoneticPr fontId="3" type="noConversion"/>
  </si>
  <si>
    <t>美國</t>
  </si>
  <si>
    <t>越南</t>
  </si>
  <si>
    <t>英國</t>
  </si>
  <si>
    <t>柬埔寨</t>
  </si>
  <si>
    <t>中華民國</t>
  </si>
  <si>
    <t>瑞士</t>
  </si>
  <si>
    <t>馬來西亞</t>
  </si>
  <si>
    <t>緬甸</t>
  </si>
  <si>
    <t>泰國</t>
  </si>
  <si>
    <t>印尼</t>
  </si>
  <si>
    <t>菲律賓</t>
  </si>
  <si>
    <t>新加坡</t>
  </si>
  <si>
    <r>
      <t>2022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</si>
  <si>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t>數量: Kg</t>
  </si>
  <si>
    <t>金額: US$</t>
  </si>
  <si>
    <t>2022年</t>
  </si>
  <si>
    <r>
      <t>2022</t>
    </r>
    <r>
      <rPr>
        <sz val="12"/>
        <color indexed="12"/>
        <rFont val="華康仿宋體"/>
        <family val="3"/>
        <charset val="136"/>
      </rPr>
      <t>年</t>
    </r>
    <phoneticPr fontId="3" type="noConversion"/>
  </si>
  <si>
    <r>
      <t>2023</t>
    </r>
    <r>
      <rPr>
        <sz val="12"/>
        <rFont val="華康仿宋體"/>
        <family val="3"/>
        <charset val="136"/>
      </rPr>
      <t>年</t>
    </r>
    <phoneticPr fontId="3" type="noConversion"/>
  </si>
  <si>
    <t xml:space="preserve">                   87119030900 (  Other cycles fitted with other auxiliary motor )</t>
    <phoneticPr fontId="10" type="noConversion"/>
  </si>
  <si>
    <t>韓國</t>
  </si>
  <si>
    <t>哥倫比亞</t>
  </si>
  <si>
    <t>義大利</t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</si>
  <si>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</si>
  <si>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2023</t>
    </r>
    <r>
      <rPr>
        <sz val="12"/>
        <rFont val="新細明體"/>
        <family val="1"/>
        <charset val="136"/>
      </rPr>
      <t>年7月</t>
    </r>
    <phoneticPr fontId="4" type="noConversion"/>
  </si>
  <si>
    <r>
      <t>7</t>
    </r>
    <r>
      <rPr>
        <sz val="12"/>
        <rFont val="新細明體"/>
        <family val="1"/>
        <charset val="136"/>
      </rPr>
      <t>月數量</t>
    </r>
    <phoneticPr fontId="4" type="noConversion"/>
  </si>
  <si>
    <r>
      <t>7</t>
    </r>
    <r>
      <rPr>
        <sz val="12"/>
        <rFont val="Microsoft JhengHei UI"/>
        <family val="3"/>
        <charset val="136"/>
      </rPr>
      <t>月金額</t>
    </r>
    <phoneticPr fontId="4" type="noConversion"/>
  </si>
  <si>
    <r>
      <t>1-7</t>
    </r>
    <r>
      <rPr>
        <sz val="12"/>
        <rFont val="新細明體"/>
        <family val="1"/>
        <charset val="136"/>
      </rPr>
      <t>月數量</t>
    </r>
    <phoneticPr fontId="4" type="noConversion"/>
  </si>
  <si>
    <r>
      <t>1-7</t>
    </r>
    <r>
      <rPr>
        <sz val="12"/>
        <rFont val="新細明體"/>
        <family val="1"/>
        <charset val="136"/>
      </rPr>
      <t>月金額</t>
    </r>
    <phoneticPr fontId="4" type="noConversion"/>
  </si>
  <si>
    <r>
      <t>7</t>
    </r>
    <r>
      <rPr>
        <sz val="12"/>
        <rFont val="新細明體"/>
        <family val="1"/>
        <charset val="136"/>
      </rPr>
      <t>月金額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</si>
  <si>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</si>
  <si>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</si>
  <si>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</si>
  <si>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1-7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</si>
  <si>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</si>
  <si>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</t>
    </r>
    <r>
      <rPr>
        <sz val="12"/>
        <rFont val="Microsoft JhengHei UI"/>
        <family val="3"/>
        <charset val="136"/>
      </rPr>
      <t>年7</t>
    </r>
    <r>
      <rPr>
        <sz val="12"/>
        <rFont val="新細明體"/>
        <family val="1"/>
        <charset val="136"/>
      </rPr>
      <t>月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</si>
  <si>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</si>
  <si>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2023/2022年1-7月台灣電動自行車主要出口國家比較        </t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</si>
  <si>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月台灣折疊式自行車主要出口國家統計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</si>
  <si>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華康仿宋體"/>
        <family val="1"/>
      </rPr>
      <t>1-7</t>
    </r>
    <r>
      <rPr>
        <sz val="10"/>
        <rFont val="新細明體"/>
        <family val="1"/>
        <charset val="136"/>
      </rPr>
      <t>月</t>
    </r>
    <phoneticPr fontId="3" type="noConversion"/>
  </si>
  <si>
    <r>
      <t xml:space="preserve">     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</si>
  <si>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2022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</si>
  <si>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</si>
  <si>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</si>
  <si>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7月出口量</t>
    <phoneticPr fontId="4" type="noConversion"/>
  </si>
  <si>
    <t>7月出口金額</t>
    <phoneticPr fontId="4" type="noConversion"/>
  </si>
  <si>
    <r>
      <t>1-7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</si>
  <si>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1-7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</si>
  <si>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7月進口量</t>
    <phoneticPr fontId="4" type="noConversion"/>
  </si>
  <si>
    <t>7月進口金額</t>
    <phoneticPr fontId="4" type="noConversion"/>
  </si>
  <si>
    <r>
      <t>1-7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</si>
  <si>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1-7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</si>
  <si>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1-7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</si>
  <si>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1-7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</si>
  <si>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2023</t>
    </r>
    <r>
      <rPr>
        <sz val="16"/>
        <rFont val="新細明體"/>
        <family val="1"/>
        <charset val="136"/>
      </rPr>
      <t>年7月台灣自行車主要零件進出口統計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</si>
  <si>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年7月台灣自行車出口地區別統計</t>
    </r>
    <phoneticPr fontId="3" type="noConversion"/>
  </si>
  <si>
    <t>香港</t>
  </si>
  <si>
    <t>孟加拉</t>
  </si>
  <si>
    <t>土耳其</t>
  </si>
  <si>
    <t>中華民國</t>
    <phoneticPr fontId="3" type="noConversion"/>
  </si>
  <si>
    <t>印度</t>
  </si>
  <si>
    <t>瓜地馬拉</t>
  </si>
  <si>
    <r>
      <rPr>
        <sz val="12"/>
        <rFont val="華康仿宋體"/>
        <family val="3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華康仿宋體"/>
        <family val="3"/>
        <charset val="136"/>
      </rPr>
      <t>台</t>
    </r>
    <r>
      <rPr>
        <sz val="12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</si>
</sst>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8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  <font>
      <sz val="12"/>
      <name val="Microsoft JhengHei UI"/>
      <family val="3"/>
      <charset val="136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b/>
      <sz val="14"/>
      <name val="華康仿宋體"/>
      <family val="1"/>
    </font>
    <font>
      <sz val="10"/>
      <name val="華康仿宋體"/>
      <family val="1"/>
    </font>
    <font>
      <sz val="12"/>
      <color rgb="FF0000FF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64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7" fillId="0" borderId="7" xfId="0" applyFont="1" applyBorder="1" applyAlignment="1">
      <alignment horizontal="left"/>
    </xf>
    <xf numFmtId="0" fontId="28" fillId="0" borderId="13" xfId="0" applyFont="1" applyBorder="1" applyAlignment="1">
      <alignment horizontal="centerContinuous"/>
    </xf>
    <xf numFmtId="0" fontId="29" fillId="0" borderId="13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30" fillId="0" borderId="0" xfId="0" applyFont="1" applyAlignment="1"/>
    <xf numFmtId="0" fontId="27" fillId="0" borderId="6" xfId="0" applyFont="1" applyBorder="1" applyAlignment="1">
      <alignment horizontal="left"/>
    </xf>
    <xf numFmtId="0" fontId="28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10" fontId="33" fillId="0" borderId="0" xfId="0" applyNumberFormat="1" applyFont="1" applyAlignment="1">
      <alignment horizontal="centerContinuous"/>
    </xf>
    <xf numFmtId="10" fontId="33" fillId="0" borderId="0" xfId="0" applyNumberFormat="1" applyFont="1" applyAlignment="1">
      <alignment horizontal="center"/>
    </xf>
    <xf numFmtId="0" fontId="34" fillId="0" borderId="0" xfId="0" applyFont="1" applyAlignment="1"/>
    <xf numFmtId="0" fontId="35" fillId="0" borderId="0" xfId="0" applyFont="1" applyAlignment="1"/>
    <xf numFmtId="10" fontId="36" fillId="0" borderId="0" xfId="0" applyNumberFormat="1" applyFont="1" applyAlignment="1"/>
    <xf numFmtId="10" fontId="36" fillId="0" borderId="12" xfId="0" applyNumberFormat="1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7" fillId="0" borderId="13" xfId="0" applyFont="1" applyBorder="1" applyAlignment="1">
      <alignment horizontal="centerContinuous"/>
    </xf>
    <xf numFmtId="0" fontId="38" fillId="0" borderId="13" xfId="0" applyFont="1" applyBorder="1" applyAlignment="1">
      <alignment horizontal="centerContinuous"/>
    </xf>
    <xf numFmtId="0" fontId="34" fillId="0" borderId="15" xfId="0" applyFont="1" applyBorder="1" applyAlignment="1"/>
    <xf numFmtId="0" fontId="37" fillId="0" borderId="6" xfId="0" applyFont="1" applyBorder="1" applyAlignment="1">
      <alignment horizontal="left"/>
    </xf>
    <xf numFmtId="0" fontId="37" fillId="0" borderId="12" xfId="0" applyFont="1" applyBorder="1" applyAlignment="1">
      <alignment horizontal="centerContinuous"/>
    </xf>
    <xf numFmtId="0" fontId="38" fillId="0" borderId="12" xfId="0" applyFont="1" applyBorder="1" applyAlignment="1">
      <alignment horizontal="centerContinuous"/>
    </xf>
    <xf numFmtId="0" fontId="34" fillId="0" borderId="14" xfId="0" applyFont="1" applyBorder="1" applyAlignment="1"/>
    <xf numFmtId="0" fontId="34" fillId="0" borderId="4" xfId="0" quotePrefix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4" xfId="0" quotePrefix="1" applyFont="1" applyBorder="1" applyAlignment="1">
      <alignment horizontal="center"/>
    </xf>
    <xf numFmtId="43" fontId="40" fillId="0" borderId="9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/>
    <xf numFmtId="0" fontId="34" fillId="2" borderId="13" xfId="0" applyFont="1" applyFill="1" applyBorder="1" applyAlignment="1"/>
    <xf numFmtId="43" fontId="39" fillId="2" borderId="15" xfId="0" applyNumberFormat="1" applyFont="1" applyFill="1" applyBorder="1" applyAlignment="1"/>
    <xf numFmtId="176" fontId="34" fillId="2" borderId="6" xfId="0" applyNumberFormat="1" applyFont="1" applyFill="1" applyBorder="1" applyAlignment="1"/>
    <xf numFmtId="176" fontId="34" fillId="2" borderId="12" xfId="0" applyNumberFormat="1" applyFont="1" applyFill="1" applyBorder="1" applyAlignment="1"/>
    <xf numFmtId="0" fontId="34" fillId="0" borderId="10" xfId="0" quotePrefix="1" applyFont="1" applyBorder="1" applyAlignment="1">
      <alignment horizontal="center"/>
    </xf>
    <xf numFmtId="176" fontId="34" fillId="0" borderId="6" xfId="0" applyNumberFormat="1" applyFont="1" applyBorder="1" applyAlignment="1"/>
    <xf numFmtId="176" fontId="34" fillId="0" borderId="10" xfId="0" applyNumberFormat="1" applyFont="1" applyBorder="1" applyAlignment="1"/>
    <xf numFmtId="0" fontId="34" fillId="0" borderId="10" xfId="0" applyFont="1" applyBorder="1" applyAlignment="1">
      <alignment horizontal="center"/>
    </xf>
    <xf numFmtId="0" fontId="34" fillId="2" borderId="10" xfId="0" quotePrefix="1" applyFont="1" applyFill="1" applyBorder="1" applyAlignment="1">
      <alignment horizontal="center"/>
    </xf>
    <xf numFmtId="176" fontId="34" fillId="2" borderId="10" xfId="0" applyNumberFormat="1" applyFont="1" applyFill="1" applyBorder="1" applyAlignment="1"/>
    <xf numFmtId="0" fontId="34" fillId="2" borderId="10" xfId="0" applyFont="1" applyFill="1" applyBorder="1" applyAlignment="1">
      <alignment horizontal="center"/>
    </xf>
    <xf numFmtId="0" fontId="34" fillId="2" borderId="0" xfId="0" quotePrefix="1" applyFont="1" applyFill="1" applyAlignment="1">
      <alignment horizontal="center"/>
    </xf>
    <xf numFmtId="176" fontId="34" fillId="2" borderId="0" xfId="0" applyNumberFormat="1" applyFont="1" applyFill="1" applyAlignment="1"/>
    <xf numFmtId="176" fontId="35" fillId="0" borderId="0" xfId="0" applyNumberFormat="1" applyFont="1" applyAlignment="1"/>
    <xf numFmtId="10" fontId="36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10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3" fillId="0" borderId="0" xfId="0" applyFont="1" applyAlignment="1"/>
    <xf numFmtId="0" fontId="44" fillId="0" borderId="0" xfId="0" applyFont="1" applyAlignment="1"/>
    <xf numFmtId="0" fontId="43" fillId="0" borderId="2" xfId="0" applyFont="1" applyBorder="1" applyAlignment="1"/>
    <xf numFmtId="0" fontId="44" fillId="0" borderId="2" xfId="0" applyFont="1" applyBorder="1" applyAlignment="1"/>
    <xf numFmtId="0" fontId="45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4" fillId="2" borderId="0" xfId="3" applyNumberFormat="1" applyFont="1" applyFill="1" applyBorder="1" applyAlignment="1"/>
    <xf numFmtId="176" fontId="43" fillId="0" borderId="2" xfId="0" applyNumberFormat="1" applyFont="1" applyBorder="1" applyAlignment="1"/>
    <xf numFmtId="10" fontId="44" fillId="0" borderId="2" xfId="3" applyNumberFormat="1" applyFont="1" applyBorder="1" applyAlignment="1"/>
    <xf numFmtId="176" fontId="45" fillId="0" borderId="2" xfId="0" applyNumberFormat="1" applyFont="1" applyBorder="1" applyAlignment="1"/>
    <xf numFmtId="176" fontId="46" fillId="0" borderId="0" xfId="0" applyNumberFormat="1" applyFont="1" applyAlignment="1">
      <alignment horizontal="centerContinuous"/>
    </xf>
    <xf numFmtId="0" fontId="46" fillId="0" borderId="0" xfId="0" applyFont="1" applyAlignment="1"/>
    <xf numFmtId="176" fontId="46" fillId="0" borderId="0" xfId="0" applyNumberFormat="1" applyFont="1" applyAlignment="1"/>
    <xf numFmtId="0" fontId="46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6" fillId="0" borderId="10" xfId="0" quotePrefix="1" applyFont="1" applyBorder="1" applyAlignment="1">
      <alignment horizontal="center"/>
    </xf>
    <xf numFmtId="0" fontId="46" fillId="0" borderId="1" xfId="0" quotePrefix="1" applyFont="1" applyBorder="1" applyAlignment="1">
      <alignment horizontal="center"/>
    </xf>
    <xf numFmtId="176" fontId="46" fillId="0" borderId="3" xfId="0" applyNumberFormat="1" applyFont="1" applyBorder="1" applyAlignment="1">
      <alignment horizontal="center"/>
    </xf>
    <xf numFmtId="176" fontId="46" fillId="0" borderId="10" xfId="0" quotePrefix="1" applyNumberFormat="1" applyFont="1" applyBorder="1" applyAlignment="1">
      <alignment horizontal="center"/>
    </xf>
    <xf numFmtId="0" fontId="46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6" fillId="0" borderId="5" xfId="0" applyFont="1" applyBorder="1" applyAlignment="1"/>
    <xf numFmtId="178" fontId="8" fillId="0" borderId="11" xfId="2" applyNumberFormat="1" applyFont="1" applyBorder="1" applyAlignment="1"/>
    <xf numFmtId="0" fontId="46" fillId="3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0" borderId="5" xfId="0" quotePrefix="1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7" fillId="0" borderId="0" xfId="0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/>
    <xf numFmtId="176" fontId="51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6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6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2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4" fillId="0" borderId="1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3" fillId="0" borderId="10" xfId="4" applyNumberFormat="1" applyFont="1" applyBorder="1"/>
    <xf numFmtId="176" fontId="53" fillId="0" borderId="8" xfId="4" applyNumberFormat="1" applyFont="1" applyBorder="1"/>
    <xf numFmtId="176" fontId="53" fillId="0" borderId="9" xfId="4" applyNumberFormat="1" applyFont="1" applyBorder="1"/>
    <xf numFmtId="180" fontId="13" fillId="0" borderId="10" xfId="1" applyNumberFormat="1" applyFont="1" applyFill="1" applyBorder="1" applyAlignment="1"/>
    <xf numFmtId="176" fontId="13" fillId="0" borderId="10" xfId="4" applyNumberFormat="1" applyFont="1" applyBorder="1"/>
    <xf numFmtId="176" fontId="54" fillId="0" borderId="10" xfId="4" applyNumberFormat="1" applyFont="1" applyBorder="1"/>
    <xf numFmtId="176" fontId="55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9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5" borderId="9" xfId="4" applyNumberFormat="1" applyFont="1" applyFill="1" applyBorder="1" applyAlignment="1">
      <alignment horizontal="right"/>
    </xf>
    <xf numFmtId="176" fontId="7" fillId="5" borderId="9" xfId="4" applyNumberFormat="1" applyFill="1" applyBorder="1"/>
    <xf numFmtId="176" fontId="7" fillId="5" borderId="9" xfId="4" applyNumberFormat="1" applyFill="1" applyBorder="1" applyAlignment="1">
      <alignment horizontal="right"/>
    </xf>
    <xf numFmtId="179" fontId="7" fillId="5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0" fillId="6" borderId="9" xfId="4" applyNumberFormat="1" applyFont="1" applyFill="1" applyBorder="1" applyAlignment="1">
      <alignment horizontal="right"/>
    </xf>
    <xf numFmtId="176" fontId="61" fillId="6" borderId="9" xfId="4" applyNumberFormat="1" applyFont="1" applyFill="1" applyBorder="1"/>
    <xf numFmtId="176" fontId="61" fillId="6" borderId="9" xfId="4" applyNumberFormat="1" applyFont="1" applyFill="1" applyBorder="1" applyAlignment="1">
      <alignment horizontal="right"/>
    </xf>
    <xf numFmtId="179" fontId="61" fillId="6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2" fillId="0" borderId="10" xfId="4" applyNumberFormat="1" applyFont="1" applyBorder="1" applyAlignment="1">
      <alignment horizontal="right"/>
    </xf>
    <xf numFmtId="176" fontId="16" fillId="6" borderId="9" xfId="4" applyNumberFormat="1" applyFont="1" applyFill="1" applyBorder="1" applyAlignment="1">
      <alignment horizontal="right"/>
    </xf>
    <xf numFmtId="176" fontId="13" fillId="6" borderId="9" xfId="4" applyNumberFormat="1" applyFont="1" applyFill="1" applyBorder="1"/>
    <xf numFmtId="176" fontId="13" fillId="6" borderId="9" xfId="4" applyNumberFormat="1" applyFont="1" applyFill="1" applyBorder="1" applyAlignment="1">
      <alignment horizontal="right"/>
    </xf>
    <xf numFmtId="179" fontId="13" fillId="6" borderId="9" xfId="5" applyNumberFormat="1" applyFont="1" applyFill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41" fontId="13" fillId="7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6" fontId="16" fillId="6" borderId="10" xfId="4" applyNumberFormat="1" applyFont="1" applyFill="1" applyBorder="1" applyAlignment="1">
      <alignment horizontal="right"/>
    </xf>
    <xf numFmtId="176" fontId="13" fillId="6" borderId="10" xfId="4" applyNumberFormat="1" applyFont="1" applyFill="1" applyBorder="1"/>
    <xf numFmtId="176" fontId="13" fillId="6" borderId="10" xfId="4" applyNumberFormat="1" applyFont="1" applyFill="1" applyBorder="1" applyAlignment="1">
      <alignment horizontal="right"/>
    </xf>
    <xf numFmtId="179" fontId="13" fillId="6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8" fillId="0" borderId="10" xfId="4" applyNumberFormat="1" applyFont="1" applyBorder="1" applyAlignment="1">
      <alignment horizontal="right"/>
    </xf>
    <xf numFmtId="176" fontId="65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6" fillId="0" borderId="9" xfId="0" applyNumberFormat="1" applyFont="1" applyBorder="1" applyAlignment="1">
      <alignment horizontal="center"/>
    </xf>
    <xf numFmtId="10" fontId="66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2" fillId="0" borderId="10" xfId="0" quotePrefix="1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176" fontId="34" fillId="0" borderId="10" xfId="4" applyNumberFormat="1" applyFont="1" applyBorder="1" applyAlignment="1">
      <alignment horizontal="right"/>
    </xf>
    <xf numFmtId="176" fontId="67" fillId="0" borderId="10" xfId="4" quotePrefix="1" applyNumberFormat="1" applyFont="1" applyBorder="1" applyAlignment="1">
      <alignment horizontal="right"/>
    </xf>
    <xf numFmtId="176" fontId="34" fillId="0" borderId="9" xfId="4" applyNumberFormat="1" applyFont="1" applyBorder="1" applyAlignment="1">
      <alignment horizontal="right"/>
    </xf>
    <xf numFmtId="176" fontId="42" fillId="0" borderId="10" xfId="4" applyNumberFormat="1" applyFont="1" applyBorder="1" applyAlignment="1">
      <alignment horizontal="right"/>
    </xf>
    <xf numFmtId="0" fontId="34" fillId="0" borderId="10" xfId="4" applyFont="1" applyBorder="1" applyAlignment="1">
      <alignment horizontal="right"/>
    </xf>
    <xf numFmtId="176" fontId="67" fillId="0" borderId="10" xfId="4" applyNumberFormat="1" applyFont="1" applyBorder="1" applyAlignment="1">
      <alignment horizontal="right"/>
    </xf>
    <xf numFmtId="176" fontId="70" fillId="6" borderId="10" xfId="4" applyNumberFormat="1" applyFont="1" applyFill="1" applyBorder="1" applyAlignment="1">
      <alignment horizontal="right"/>
    </xf>
    <xf numFmtId="176" fontId="62" fillId="0" borderId="10" xfId="0" applyNumberFormat="1" applyFont="1" applyBorder="1" applyAlignment="1">
      <alignment horizontal="center" vertical="center"/>
    </xf>
    <xf numFmtId="176" fontId="62" fillId="0" borderId="10" xfId="0" quotePrefix="1" applyNumberFormat="1" applyFont="1" applyBorder="1" applyAlignment="1">
      <alignment horizontal="center" vertical="center"/>
    </xf>
    <xf numFmtId="0" fontId="67" fillId="0" borderId="10" xfId="0" quotePrefix="1" applyFont="1" applyBorder="1" applyAlignment="1">
      <alignment horizontal="center"/>
    </xf>
    <xf numFmtId="178" fontId="62" fillId="0" borderId="11" xfId="2" applyNumberFormat="1" applyFont="1" applyBorder="1" applyAlignment="1"/>
    <xf numFmtId="176" fontId="62" fillId="0" borderId="0" xfId="0" applyNumberFormat="1" applyFont="1" applyAlignment="1"/>
    <xf numFmtId="178" fontId="62" fillId="4" borderId="11" xfId="2" applyNumberFormat="1" applyFont="1" applyFill="1" applyBorder="1" applyAlignment="1"/>
    <xf numFmtId="176" fontId="62" fillId="4" borderId="0" xfId="0" applyNumberFormat="1" applyFont="1" applyFill="1" applyAlignment="1"/>
    <xf numFmtId="176" fontId="8" fillId="4" borderId="0" xfId="0" applyNumberFormat="1" applyFont="1" applyFill="1" applyAlignment="1"/>
    <xf numFmtId="0" fontId="46" fillId="4" borderId="0" xfId="0" applyFont="1" applyFill="1" applyAlignment="1">
      <alignment horizontal="left"/>
    </xf>
    <xf numFmtId="178" fontId="62" fillId="3" borderId="0" xfId="2" applyNumberFormat="1" applyFont="1" applyFill="1" applyBorder="1" applyAlignment="1"/>
    <xf numFmtId="178" fontId="34" fillId="0" borderId="11" xfId="2" applyNumberFormat="1" applyFont="1" applyBorder="1" applyAlignment="1"/>
    <xf numFmtId="0" fontId="46" fillId="0" borderId="0" xfId="0" applyFont="1" applyAlignment="1">
      <alignment horizontal="left"/>
    </xf>
    <xf numFmtId="178" fontId="62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6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6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2" fillId="0" borderId="0" xfId="0" applyFont="1" applyAlignment="1"/>
    <xf numFmtId="0" fontId="67" fillId="0" borderId="10" xfId="0" applyFont="1" applyBorder="1" applyAlignment="1">
      <alignment horizontal="right"/>
    </xf>
    <xf numFmtId="0" fontId="74" fillId="0" borderId="10" xfId="0" applyFont="1" applyBorder="1" applyAlignment="1">
      <alignment horizontal="right"/>
    </xf>
    <xf numFmtId="0" fontId="67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3" fillId="2" borderId="0" xfId="0" applyNumberFormat="1" applyFont="1" applyFill="1" applyAlignment="1"/>
    <xf numFmtId="181" fontId="7" fillId="0" borderId="10" xfId="3" applyNumberFormat="1" applyFont="1" applyBorder="1" applyAlignment="1"/>
    <xf numFmtId="176" fontId="53" fillId="0" borderId="3" xfId="4" applyNumberFormat="1" applyFont="1" applyBorder="1"/>
    <xf numFmtId="176" fontId="13" fillId="2" borderId="0" xfId="0" applyNumberFormat="1" applyFont="1" applyFill="1" applyAlignment="1"/>
    <xf numFmtId="176" fontId="53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6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7" fillId="8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78" fillId="0" borderId="0" xfId="0" applyFont="1" applyAlignment="1"/>
    <xf numFmtId="0" fontId="79" fillId="2" borderId="2" xfId="0" applyFont="1" applyFill="1" applyBorder="1" applyAlignment="1"/>
    <xf numFmtId="0" fontId="79" fillId="0" borderId="4" xfId="0" quotePrefix="1" applyFont="1" applyBorder="1" applyAlignment="1">
      <alignment horizontal="center"/>
    </xf>
    <xf numFmtId="0" fontId="79" fillId="0" borderId="9" xfId="0" quotePrefix="1" applyFont="1" applyBorder="1" applyAlignment="1">
      <alignment horizontal="center"/>
    </xf>
    <xf numFmtId="0" fontId="78" fillId="2" borderId="11" xfId="0" applyFont="1" applyFill="1" applyBorder="1" applyAlignment="1"/>
    <xf numFmtId="176" fontId="78" fillId="2" borderId="0" xfId="0" applyNumberFormat="1" applyFont="1" applyFill="1" applyAlignment="1"/>
    <xf numFmtId="0" fontId="79" fillId="0" borderId="0" xfId="0" applyFont="1" applyAlignment="1"/>
    <xf numFmtId="0" fontId="80" fillId="0" borderId="0" xfId="0" applyFont="1" applyAlignment="1">
      <alignment horizontal="centerContinuous"/>
    </xf>
    <xf numFmtId="176" fontId="81" fillId="9" borderId="5" xfId="0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43" fontId="0" fillId="2" borderId="1" xfId="0" applyNumberFormat="1" applyFill="1" applyBorder="1" applyAlignment="1"/>
    <xf numFmtId="176" fontId="71" fillId="0" borderId="3" xfId="0" applyNumberFormat="1" applyFont="1" applyBorder="1" applyAlignment="1">
      <alignment horizontal="center"/>
    </xf>
    <xf numFmtId="176" fontId="71" fillId="0" borderId="10" xfId="0" applyNumberFormat="1" applyFont="1" applyBorder="1" applyAlignment="1">
      <alignment horizontal="center"/>
    </xf>
    <xf numFmtId="181" fontId="23" fillId="0" borderId="9" xfId="3" applyNumberFormat="1" applyFont="1" applyFill="1" applyBorder="1" applyAlignment="1"/>
    <xf numFmtId="181" fontId="7" fillId="0" borderId="9" xfId="3" applyNumberFormat="1" applyFont="1" applyFill="1" applyBorder="1" applyAlignment="1"/>
    <xf numFmtId="178" fontId="62" fillId="4" borderId="0" xfId="2" applyNumberFormat="1" applyFont="1" applyFill="1" applyBorder="1" applyAlignment="1"/>
    <xf numFmtId="10" fontId="0" fillId="0" borderId="6" xfId="3" applyNumberFormat="1" applyFont="1" applyFill="1" applyBorder="1" applyAlignment="1"/>
    <xf numFmtId="43" fontId="0" fillId="0" borderId="9" xfId="0" applyNumberFormat="1" applyBorder="1" applyAlignment="1"/>
    <xf numFmtId="10" fontId="0" fillId="0" borderId="1" xfId="3" applyNumberFormat="1" applyFont="1" applyFill="1" applyBorder="1" applyAlignment="1"/>
    <xf numFmtId="0" fontId="13" fillId="0" borderId="10" xfId="0" applyFont="1" applyBorder="1" applyAlignment="1">
      <alignment horizontal="center"/>
    </xf>
    <xf numFmtId="176" fontId="87" fillId="0" borderId="10" xfId="4" applyNumberFormat="1" applyFont="1" applyBorder="1"/>
    <xf numFmtId="0" fontId="7" fillId="0" borderId="10" xfId="0" applyFont="1" applyBorder="1" applyAlignment="1">
      <alignment horizontal="center"/>
    </xf>
    <xf numFmtId="176" fontId="88" fillId="0" borderId="10" xfId="4" applyNumberFormat="1" applyFont="1" applyBorder="1"/>
    <xf numFmtId="180" fontId="88" fillId="0" borderId="10" xfId="1" applyNumberFormat="1" applyFont="1" applyFill="1" applyBorder="1" applyAlignment="1"/>
    <xf numFmtId="176" fontId="62" fillId="4" borderId="11" xfId="0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176" fontId="7" fillId="0" borderId="10" xfId="4" applyNumberFormat="1" applyFont="1" applyBorder="1"/>
    <xf numFmtId="180" fontId="7" fillId="0" borderId="10" xfId="1" applyNumberFormat="1" applyFont="1" applyFill="1" applyBorder="1" applyAlignment="1"/>
    <xf numFmtId="176" fontId="88" fillId="2" borderId="6" xfId="0" applyNumberFormat="1" applyFont="1" applyFill="1" applyBorder="1" applyAlignment="1"/>
    <xf numFmtId="176" fontId="88" fillId="0" borderId="6" xfId="0" applyNumberFormat="1" applyFont="1" applyBorder="1" applyAlignment="1"/>
    <xf numFmtId="176" fontId="88" fillId="2" borderId="10" xfId="0" applyNumberFormat="1" applyFont="1" applyFill="1" applyBorder="1" applyAlignment="1"/>
    <xf numFmtId="176" fontId="88" fillId="0" borderId="10" xfId="0" applyNumberFormat="1" applyFont="1" applyBorder="1" applyAlignment="1"/>
    <xf numFmtId="176" fontId="88" fillId="0" borderId="0" xfId="0" applyNumberFormat="1" applyFont="1" applyAlignment="1"/>
    <xf numFmtId="176" fontId="88" fillId="2" borderId="2" xfId="0" applyNumberFormat="1" applyFont="1" applyFill="1" applyBorder="1" applyAlignment="1"/>
    <xf numFmtId="176" fontId="7" fillId="0" borderId="4" xfId="0" quotePrefix="1" applyNumberFormat="1" applyFont="1" applyBorder="1" applyAlignment="1">
      <alignment horizontal="center"/>
    </xf>
    <xf numFmtId="0" fontId="62" fillId="0" borderId="4" xfId="0" quotePrefix="1" applyFont="1" applyBorder="1" applyAlignment="1">
      <alignment horizontal="center"/>
    </xf>
    <xf numFmtId="176" fontId="88" fillId="2" borderId="9" xfId="0" applyNumberFormat="1" applyFont="1" applyFill="1" applyBorder="1" applyAlignment="1"/>
    <xf numFmtId="176" fontId="88" fillId="0" borderId="9" xfId="0" applyNumberFormat="1" applyFont="1" applyBorder="1" applyAlignment="1"/>
    <xf numFmtId="0" fontId="71" fillId="0" borderId="5" xfId="0" applyFont="1" applyBorder="1" applyAlignment="1">
      <alignment vertical="center" wrapText="1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9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7%20&#25972;&#36554;&#20986;&#21475;.xlsx" TargetMode="External"/><Relationship Id="rId1" Type="http://schemas.openxmlformats.org/officeDocument/2006/relationships/externalLinkPath" Target="file:///D:\DATA%20Files\Downloads\&#36914;&#20986;&#21475;&#20540;&#34920;%20-%20202307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7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301-07%20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7%20&#25722;&#30090;&#36554;&#20986;&#21475;.xlsx" TargetMode="External"/><Relationship Id="rId1" Type="http://schemas.openxmlformats.org/officeDocument/2006/relationships/externalLinkPath" Target="file:///D:\DATA%20Files\Downloads\&#36914;&#20986;&#21475;&#20540;&#34920;%20-%20202301-07%20&#25722;&#30090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7%20&#38646;&#20214;&#20986;&#21475;.xlsx" TargetMode="External"/><Relationship Id="rId1" Type="http://schemas.openxmlformats.org/officeDocument/2006/relationships/externalLinkPath" Target="file:///D:\DATA%20Files\Downloads\&#36914;&#20986;&#21475;&#20540;&#34920;%20-%20202307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7%20&#38646;&#20214;&#20986;&#21475;.xlsx" TargetMode="External"/><Relationship Id="rId1" Type="http://schemas.openxmlformats.org/officeDocument/2006/relationships/externalLinkPath" Target="file:///D:\DATA%20Files\Downloads\&#36914;&#20986;&#21475;&#20540;&#34920;%20-%20202301-07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7%20&#38646;&#20214;&#36914;&#21475;.xlsx" TargetMode="External"/><Relationship Id="rId1" Type="http://schemas.openxmlformats.org/officeDocument/2006/relationships/externalLinkPath" Target="file:///D:\DATA%20Files\Downloads\&#36914;&#20986;&#21475;&#20540;&#34920;%20-%20202307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7%20&#38646;&#20214;&#36914;&#21475;.xlsx" TargetMode="External"/><Relationship Id="rId1" Type="http://schemas.openxmlformats.org/officeDocument/2006/relationships/externalLinkPath" Target="file:///D:\DATA%20Files\Downloads\&#36914;&#20986;&#21475;&#20540;&#34920;%20-%20202301-07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2\&#38646;&#20214;0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7%20&#25972;&#36554;&#20986;&#21475;.xlsx" TargetMode="External"/><Relationship Id="rId1" Type="http://schemas.openxmlformats.org/officeDocument/2006/relationships/externalLinkPath" Target="file:///D:\DATA%20Files\Downloads\&#36914;&#20986;&#21475;&#20540;&#34920;%20-%20202301-07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05&#26376;&#27491;&#26412;&#32113;&#3533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0&#24180;5&#26376;&#27491;&#26412;&#32113;&#35336;(&#26377;&#20989;&#2597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1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7%20&#25972;&#36554;&#36914;&#21475;.xlsx" TargetMode="External"/><Relationship Id="rId1" Type="http://schemas.openxmlformats.org/officeDocument/2006/relationships/externalLinkPath" Target="file:///D:\DATA%20Files\Downloads\&#36914;&#20986;&#21475;&#20540;&#34920;%20-%20202307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7%20&#25972;&#36554;&#36914;&#21475;.xlsx" TargetMode="External"/><Relationship Id="rId1" Type="http://schemas.openxmlformats.org/officeDocument/2006/relationships/externalLinkPath" Target="file:///D:\DATA%20Files\Downloads\&#36914;&#20986;&#21475;&#20540;&#34920;%20-%20202301-07%20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7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307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119683695</v>
          </cell>
          <cell r="C3">
            <v>104885</v>
          </cell>
        </row>
        <row r="4">
          <cell r="A4" t="str">
            <v>美國</v>
          </cell>
          <cell r="B4">
            <v>41113559</v>
          </cell>
          <cell r="C4">
            <v>38883</v>
          </cell>
        </row>
        <row r="5">
          <cell r="A5" t="str">
            <v>荷蘭</v>
          </cell>
          <cell r="B5">
            <v>13443732</v>
          </cell>
          <cell r="C5">
            <v>7844</v>
          </cell>
        </row>
        <row r="6">
          <cell r="A6" t="str">
            <v>中國大陸</v>
          </cell>
          <cell r="B6">
            <v>12231378</v>
          </cell>
          <cell r="C6">
            <v>7938</v>
          </cell>
        </row>
        <row r="7">
          <cell r="A7" t="str">
            <v>澳大利亞</v>
          </cell>
          <cell r="B7">
            <v>6405262</v>
          </cell>
          <cell r="C7">
            <v>3709</v>
          </cell>
        </row>
        <row r="8">
          <cell r="A8" t="str">
            <v>南韓</v>
          </cell>
          <cell r="B8">
            <v>5971627</v>
          </cell>
          <cell r="C8">
            <v>3225</v>
          </cell>
        </row>
        <row r="9">
          <cell r="A9" t="str">
            <v>英國</v>
          </cell>
          <cell r="B9">
            <v>5662431</v>
          </cell>
          <cell r="C9">
            <v>5548</v>
          </cell>
        </row>
        <row r="10">
          <cell r="A10" t="str">
            <v>德國</v>
          </cell>
          <cell r="B10">
            <v>5384406</v>
          </cell>
          <cell r="C10">
            <v>6908</v>
          </cell>
        </row>
        <row r="11">
          <cell r="A11" t="str">
            <v>日本</v>
          </cell>
          <cell r="B11">
            <v>4717173</v>
          </cell>
          <cell r="C11">
            <v>7044</v>
          </cell>
        </row>
        <row r="12">
          <cell r="A12" t="str">
            <v>比利時</v>
          </cell>
          <cell r="B12">
            <v>3868368</v>
          </cell>
          <cell r="C12">
            <v>3639</v>
          </cell>
        </row>
        <row r="13">
          <cell r="A13" t="str">
            <v>加拿大</v>
          </cell>
          <cell r="B13">
            <v>2627019</v>
          </cell>
          <cell r="C13">
            <v>1449</v>
          </cell>
        </row>
        <row r="14">
          <cell r="A14" t="str">
            <v>瑞士</v>
          </cell>
          <cell r="B14">
            <v>2254487</v>
          </cell>
          <cell r="C14">
            <v>1681</v>
          </cell>
        </row>
        <row r="15">
          <cell r="A15" t="str">
            <v>義大利</v>
          </cell>
          <cell r="B15">
            <v>2048194</v>
          </cell>
          <cell r="C15">
            <v>1778</v>
          </cell>
        </row>
        <row r="16">
          <cell r="A16" t="str">
            <v>巴拿馬</v>
          </cell>
          <cell r="B16">
            <v>1197708</v>
          </cell>
          <cell r="C16">
            <v>496</v>
          </cell>
        </row>
        <row r="17">
          <cell r="A17" t="str">
            <v>西班牙</v>
          </cell>
          <cell r="B17">
            <v>1123271</v>
          </cell>
          <cell r="C17">
            <v>803</v>
          </cell>
        </row>
        <row r="18">
          <cell r="A18" t="str">
            <v>墨西哥</v>
          </cell>
          <cell r="B18">
            <v>1106713</v>
          </cell>
          <cell r="C18">
            <v>659</v>
          </cell>
        </row>
        <row r="19">
          <cell r="A19" t="str">
            <v>挪威</v>
          </cell>
          <cell r="B19">
            <v>1026404</v>
          </cell>
          <cell r="C19">
            <v>1200</v>
          </cell>
        </row>
        <row r="20">
          <cell r="A20" t="str">
            <v>丹麥</v>
          </cell>
          <cell r="B20">
            <v>931860</v>
          </cell>
          <cell r="C20">
            <v>3559</v>
          </cell>
        </row>
        <row r="21">
          <cell r="A21" t="str">
            <v>法國</v>
          </cell>
          <cell r="B21">
            <v>848354</v>
          </cell>
          <cell r="C21">
            <v>1214</v>
          </cell>
        </row>
        <row r="22">
          <cell r="A22" t="str">
            <v>南非</v>
          </cell>
          <cell r="B22">
            <v>797062</v>
          </cell>
          <cell r="C22">
            <v>385</v>
          </cell>
        </row>
        <row r="23">
          <cell r="A23" t="str">
            <v>紐西蘭</v>
          </cell>
          <cell r="B23">
            <v>617495</v>
          </cell>
          <cell r="C23">
            <v>366</v>
          </cell>
        </row>
        <row r="24">
          <cell r="A24" t="str">
            <v>馬來西亞</v>
          </cell>
          <cell r="B24">
            <v>596642</v>
          </cell>
          <cell r="C24">
            <v>283</v>
          </cell>
        </row>
        <row r="25">
          <cell r="A25" t="str">
            <v>捷克</v>
          </cell>
          <cell r="B25">
            <v>571079</v>
          </cell>
          <cell r="C25">
            <v>1167</v>
          </cell>
        </row>
        <row r="26">
          <cell r="A26" t="str">
            <v>新加坡</v>
          </cell>
          <cell r="B26">
            <v>493639</v>
          </cell>
          <cell r="C26">
            <v>281</v>
          </cell>
        </row>
        <row r="27">
          <cell r="A27" t="str">
            <v>以色列</v>
          </cell>
          <cell r="B27">
            <v>487152</v>
          </cell>
          <cell r="C27">
            <v>432</v>
          </cell>
        </row>
        <row r="28">
          <cell r="A28" t="str">
            <v>香港</v>
          </cell>
          <cell r="B28">
            <v>476887</v>
          </cell>
          <cell r="C28">
            <v>525</v>
          </cell>
        </row>
        <row r="29">
          <cell r="A29" t="str">
            <v>波蘭</v>
          </cell>
          <cell r="B29">
            <v>444771</v>
          </cell>
          <cell r="C29">
            <v>531</v>
          </cell>
        </row>
        <row r="30">
          <cell r="A30" t="str">
            <v>斯洛維尼亞</v>
          </cell>
          <cell r="B30">
            <v>432311</v>
          </cell>
          <cell r="C30">
            <v>255</v>
          </cell>
        </row>
        <row r="31">
          <cell r="A31" t="str">
            <v>奧地利</v>
          </cell>
          <cell r="B31">
            <v>382085</v>
          </cell>
          <cell r="C31">
            <v>546</v>
          </cell>
        </row>
        <row r="32">
          <cell r="A32" t="str">
            <v>泰國</v>
          </cell>
          <cell r="B32">
            <v>362104</v>
          </cell>
          <cell r="C32">
            <v>262</v>
          </cell>
        </row>
        <row r="33">
          <cell r="A33" t="str">
            <v>巴西</v>
          </cell>
          <cell r="B33">
            <v>324015</v>
          </cell>
          <cell r="C33">
            <v>201</v>
          </cell>
        </row>
        <row r="34">
          <cell r="A34" t="str">
            <v>印度</v>
          </cell>
          <cell r="B34">
            <v>268980</v>
          </cell>
          <cell r="C34">
            <v>208</v>
          </cell>
        </row>
        <row r="35">
          <cell r="A35" t="str">
            <v>瑞典</v>
          </cell>
          <cell r="B35">
            <v>203647</v>
          </cell>
          <cell r="C35">
            <v>140</v>
          </cell>
        </row>
        <row r="36">
          <cell r="A36" t="str">
            <v>菲律賓</v>
          </cell>
          <cell r="B36">
            <v>152581</v>
          </cell>
          <cell r="C36">
            <v>259</v>
          </cell>
        </row>
        <row r="37">
          <cell r="A37" t="str">
            <v>越南</v>
          </cell>
          <cell r="B37">
            <v>152388</v>
          </cell>
          <cell r="C37">
            <v>113</v>
          </cell>
        </row>
        <row r="38">
          <cell r="A38" t="str">
            <v>智利</v>
          </cell>
          <cell r="B38">
            <v>148774</v>
          </cell>
          <cell r="C38">
            <v>89</v>
          </cell>
        </row>
        <row r="39">
          <cell r="A39" t="str">
            <v>盧森堡</v>
          </cell>
          <cell r="B39">
            <v>128955</v>
          </cell>
          <cell r="C39">
            <v>49</v>
          </cell>
        </row>
        <row r="40">
          <cell r="A40" t="str">
            <v>愛沙尼亞</v>
          </cell>
          <cell r="B40">
            <v>118043</v>
          </cell>
          <cell r="C40">
            <v>217</v>
          </cell>
        </row>
        <row r="41">
          <cell r="A41" t="str">
            <v>芬蘭</v>
          </cell>
          <cell r="B41">
            <v>98516</v>
          </cell>
          <cell r="C41">
            <v>145</v>
          </cell>
        </row>
        <row r="42">
          <cell r="A42" t="str">
            <v>模里西斯</v>
          </cell>
          <cell r="B42">
            <v>79374</v>
          </cell>
          <cell r="C42">
            <v>41</v>
          </cell>
        </row>
        <row r="43">
          <cell r="A43" t="str">
            <v>印尼</v>
          </cell>
          <cell r="B43">
            <v>61911</v>
          </cell>
          <cell r="C43">
            <v>49</v>
          </cell>
        </row>
        <row r="44">
          <cell r="A44" t="str">
            <v>烏拉圭</v>
          </cell>
          <cell r="B44">
            <v>58748</v>
          </cell>
          <cell r="C44">
            <v>47</v>
          </cell>
        </row>
        <row r="45">
          <cell r="A45" t="str">
            <v>克羅埃西亞</v>
          </cell>
          <cell r="B45">
            <v>56650</v>
          </cell>
          <cell r="C45">
            <v>240</v>
          </cell>
        </row>
        <row r="46">
          <cell r="A46" t="str">
            <v>土耳其</v>
          </cell>
          <cell r="B46">
            <v>53066</v>
          </cell>
          <cell r="C46">
            <v>33</v>
          </cell>
        </row>
        <row r="47">
          <cell r="A47" t="str">
            <v>冰島</v>
          </cell>
          <cell r="B47">
            <v>40090</v>
          </cell>
          <cell r="C47">
            <v>165</v>
          </cell>
        </row>
        <row r="48">
          <cell r="A48" t="str">
            <v>阿拉伯聯合大公國</v>
          </cell>
          <cell r="B48">
            <v>24532</v>
          </cell>
          <cell r="C48">
            <v>7</v>
          </cell>
        </row>
        <row r="49">
          <cell r="A49" t="str">
            <v>巴基斯坦</v>
          </cell>
          <cell r="B49">
            <v>18496</v>
          </cell>
          <cell r="C49">
            <v>12</v>
          </cell>
        </row>
        <row r="50">
          <cell r="A50" t="str">
            <v>秘魯</v>
          </cell>
          <cell r="B50">
            <v>17495</v>
          </cell>
          <cell r="C50">
            <v>15</v>
          </cell>
        </row>
        <row r="51">
          <cell r="A51" t="str">
            <v>哥斯大黎加</v>
          </cell>
          <cell r="B51">
            <v>13848</v>
          </cell>
          <cell r="C51">
            <v>13</v>
          </cell>
        </row>
        <row r="52">
          <cell r="A52" t="str">
            <v>保加利亞</v>
          </cell>
          <cell r="B52">
            <v>12492</v>
          </cell>
          <cell r="C52">
            <v>70</v>
          </cell>
        </row>
        <row r="53">
          <cell r="A53" t="str">
            <v>東加</v>
          </cell>
          <cell r="B53">
            <v>9845</v>
          </cell>
          <cell r="C53">
            <v>80</v>
          </cell>
        </row>
        <row r="54">
          <cell r="A54" t="str">
            <v>羅馬尼亞</v>
          </cell>
          <cell r="B54">
            <v>6811</v>
          </cell>
          <cell r="C54">
            <v>53</v>
          </cell>
        </row>
        <row r="55">
          <cell r="A55" t="str">
            <v>葡萄牙</v>
          </cell>
          <cell r="B55">
            <v>5165</v>
          </cell>
          <cell r="C55">
            <v>5</v>
          </cell>
        </row>
        <row r="56">
          <cell r="A56" t="str">
            <v>薩爾瓦多</v>
          </cell>
          <cell r="B56">
            <v>3744</v>
          </cell>
          <cell r="C56">
            <v>2</v>
          </cell>
        </row>
        <row r="57">
          <cell r="A57" t="str">
            <v>匈牙利</v>
          </cell>
          <cell r="B57">
            <v>1711</v>
          </cell>
          <cell r="C57">
            <v>1</v>
          </cell>
        </row>
        <row r="58">
          <cell r="A58" t="str">
            <v>柬埔寨</v>
          </cell>
          <cell r="B58">
            <v>516</v>
          </cell>
          <cell r="C58">
            <v>1</v>
          </cell>
        </row>
        <row r="59">
          <cell r="A59" t="str">
            <v>聖克里斯多福</v>
          </cell>
          <cell r="B59">
            <v>129</v>
          </cell>
          <cell r="C59">
            <v>20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總計</v>
          </cell>
          <cell r="B2">
            <v>828808381</v>
          </cell>
          <cell r="C2">
            <v>497705</v>
          </cell>
        </row>
        <row r="3">
          <cell r="A3" t="str">
            <v>荷蘭</v>
          </cell>
          <cell r="B3">
            <v>299644484</v>
          </cell>
          <cell r="C3">
            <v>189109</v>
          </cell>
        </row>
        <row r="4">
          <cell r="A4" t="str">
            <v>美國</v>
          </cell>
          <cell r="B4">
            <v>197472964</v>
          </cell>
          <cell r="C4">
            <v>92888</v>
          </cell>
        </row>
        <row r="5">
          <cell r="A5" t="str">
            <v>德國</v>
          </cell>
          <cell r="B5">
            <v>49584056</v>
          </cell>
          <cell r="C5">
            <v>51120</v>
          </cell>
        </row>
        <row r="6">
          <cell r="A6" t="str">
            <v>英國</v>
          </cell>
          <cell r="B6">
            <v>46577061</v>
          </cell>
          <cell r="C6">
            <v>33550</v>
          </cell>
        </row>
        <row r="7">
          <cell r="A7" t="str">
            <v>希臘</v>
          </cell>
          <cell r="B7">
            <v>35659901</v>
          </cell>
          <cell r="C7">
            <v>14439</v>
          </cell>
        </row>
        <row r="8">
          <cell r="A8" t="str">
            <v>澳大利亞</v>
          </cell>
          <cell r="B8">
            <v>21949349</v>
          </cell>
          <cell r="C8">
            <v>9719</v>
          </cell>
        </row>
        <row r="9">
          <cell r="A9" t="str">
            <v>加拿大</v>
          </cell>
          <cell r="B9">
            <v>21836381</v>
          </cell>
          <cell r="C9">
            <v>10722</v>
          </cell>
        </row>
        <row r="10">
          <cell r="A10" t="str">
            <v>法國</v>
          </cell>
          <cell r="B10">
            <v>20197486</v>
          </cell>
          <cell r="C10">
            <v>15343</v>
          </cell>
        </row>
        <row r="11">
          <cell r="A11" t="str">
            <v>紐西蘭</v>
          </cell>
          <cell r="B11">
            <v>19503982</v>
          </cell>
          <cell r="C11">
            <v>8258</v>
          </cell>
        </row>
        <row r="12">
          <cell r="A12" t="str">
            <v>義大利</v>
          </cell>
          <cell r="B12">
            <v>16186985</v>
          </cell>
          <cell r="C12">
            <v>7224</v>
          </cell>
        </row>
        <row r="13">
          <cell r="A13" t="str">
            <v>比利時</v>
          </cell>
          <cell r="B13">
            <v>13131667</v>
          </cell>
          <cell r="C13">
            <v>7376</v>
          </cell>
        </row>
        <row r="14">
          <cell r="A14" t="str">
            <v>瑞士</v>
          </cell>
          <cell r="B14">
            <v>12362346</v>
          </cell>
          <cell r="C14">
            <v>6972</v>
          </cell>
        </row>
        <row r="15">
          <cell r="A15" t="str">
            <v>西班牙</v>
          </cell>
          <cell r="B15">
            <v>11578841</v>
          </cell>
          <cell r="C15">
            <v>6767</v>
          </cell>
        </row>
        <row r="16">
          <cell r="A16" t="str">
            <v>丹麥</v>
          </cell>
          <cell r="B16">
            <v>9827937</v>
          </cell>
          <cell r="C16">
            <v>7028</v>
          </cell>
        </row>
        <row r="17">
          <cell r="A17" t="str">
            <v>日本</v>
          </cell>
          <cell r="B17">
            <v>7806961</v>
          </cell>
          <cell r="C17">
            <v>6573</v>
          </cell>
        </row>
        <row r="18">
          <cell r="A18" t="str">
            <v>挪威</v>
          </cell>
          <cell r="B18">
            <v>6742796</v>
          </cell>
          <cell r="C18">
            <v>4100</v>
          </cell>
        </row>
        <row r="19">
          <cell r="A19" t="str">
            <v>奧地利</v>
          </cell>
          <cell r="B19">
            <v>5525369</v>
          </cell>
          <cell r="C19">
            <v>2689</v>
          </cell>
        </row>
        <row r="20">
          <cell r="A20" t="str">
            <v>南非</v>
          </cell>
          <cell r="B20">
            <v>4744034</v>
          </cell>
          <cell r="C20">
            <v>1799</v>
          </cell>
        </row>
        <row r="21">
          <cell r="A21" t="str">
            <v>捷克</v>
          </cell>
          <cell r="B21">
            <v>4043664</v>
          </cell>
          <cell r="C21">
            <v>6793</v>
          </cell>
        </row>
        <row r="22">
          <cell r="A22" t="str">
            <v>南韓</v>
          </cell>
          <cell r="B22">
            <v>3903845</v>
          </cell>
          <cell r="C22">
            <v>1741</v>
          </cell>
        </row>
        <row r="23">
          <cell r="A23" t="str">
            <v>波蘭</v>
          </cell>
          <cell r="B23">
            <v>3430458</v>
          </cell>
          <cell r="C23">
            <v>1871</v>
          </cell>
        </row>
        <row r="24">
          <cell r="A24" t="str">
            <v>巴拿馬</v>
          </cell>
          <cell r="B24">
            <v>3376286</v>
          </cell>
          <cell r="C24">
            <v>1194</v>
          </cell>
        </row>
        <row r="25">
          <cell r="A25" t="str">
            <v>瑞典</v>
          </cell>
          <cell r="B25">
            <v>2595691</v>
          </cell>
          <cell r="C25">
            <v>5355</v>
          </cell>
        </row>
        <row r="26">
          <cell r="A26" t="str">
            <v>智利</v>
          </cell>
          <cell r="B26">
            <v>2147770</v>
          </cell>
          <cell r="C26">
            <v>818</v>
          </cell>
        </row>
        <row r="27">
          <cell r="A27" t="str">
            <v>墨西哥</v>
          </cell>
          <cell r="B27">
            <v>1640430</v>
          </cell>
          <cell r="C27">
            <v>783</v>
          </cell>
        </row>
        <row r="28">
          <cell r="A28" t="str">
            <v>芬蘭</v>
          </cell>
          <cell r="B28">
            <v>1207201</v>
          </cell>
          <cell r="C28">
            <v>794</v>
          </cell>
        </row>
        <row r="29">
          <cell r="A29" t="str">
            <v>巴西</v>
          </cell>
          <cell r="B29">
            <v>1114433</v>
          </cell>
          <cell r="C29">
            <v>423</v>
          </cell>
        </row>
        <row r="30">
          <cell r="A30" t="str">
            <v>哥倫比亞</v>
          </cell>
          <cell r="B30">
            <v>1003792</v>
          </cell>
          <cell r="C30">
            <v>429</v>
          </cell>
        </row>
        <row r="31">
          <cell r="A31" t="str">
            <v>馬來西亞</v>
          </cell>
          <cell r="B31">
            <v>573519</v>
          </cell>
          <cell r="C31">
            <v>180</v>
          </cell>
        </row>
        <row r="32">
          <cell r="A32" t="str">
            <v>以色列</v>
          </cell>
          <cell r="B32">
            <v>461798</v>
          </cell>
          <cell r="C32">
            <v>141</v>
          </cell>
        </row>
        <row r="33">
          <cell r="A33" t="str">
            <v>中國大陸</v>
          </cell>
          <cell r="B33">
            <v>421116</v>
          </cell>
          <cell r="C33">
            <v>258</v>
          </cell>
        </row>
        <row r="34">
          <cell r="A34" t="str">
            <v>新加坡</v>
          </cell>
          <cell r="B34">
            <v>348316</v>
          </cell>
          <cell r="C34">
            <v>119</v>
          </cell>
        </row>
        <row r="35">
          <cell r="A35" t="str">
            <v>秘魯</v>
          </cell>
          <cell r="B35">
            <v>344904</v>
          </cell>
          <cell r="C35">
            <v>130</v>
          </cell>
        </row>
        <row r="36">
          <cell r="A36" t="str">
            <v>阿拉伯聯合大公國</v>
          </cell>
          <cell r="B36">
            <v>342593</v>
          </cell>
          <cell r="C36">
            <v>304</v>
          </cell>
        </row>
        <row r="37">
          <cell r="A37" t="str">
            <v>匈牙利</v>
          </cell>
          <cell r="B37">
            <v>288806</v>
          </cell>
          <cell r="C37">
            <v>170</v>
          </cell>
        </row>
        <row r="38">
          <cell r="A38" t="str">
            <v>多明尼加</v>
          </cell>
          <cell r="B38">
            <v>182687</v>
          </cell>
          <cell r="C38">
            <v>60</v>
          </cell>
        </row>
        <row r="39">
          <cell r="A39" t="str">
            <v>哥斯大黎加</v>
          </cell>
          <cell r="B39">
            <v>153837</v>
          </cell>
          <cell r="C39">
            <v>59</v>
          </cell>
        </row>
        <row r="40">
          <cell r="A40" t="str">
            <v>俄羅斯</v>
          </cell>
          <cell r="B40">
            <v>129938</v>
          </cell>
          <cell r="C40">
            <v>88</v>
          </cell>
        </row>
        <row r="41">
          <cell r="A41" t="str">
            <v>葡萄牙</v>
          </cell>
          <cell r="B41">
            <v>122172</v>
          </cell>
          <cell r="C41">
            <v>57</v>
          </cell>
        </row>
        <row r="42">
          <cell r="A42" t="str">
            <v>阿根廷</v>
          </cell>
          <cell r="B42">
            <v>89805</v>
          </cell>
          <cell r="C42">
            <v>31</v>
          </cell>
        </row>
        <row r="43">
          <cell r="A43" t="str">
            <v>厄瓜多</v>
          </cell>
          <cell r="B43">
            <v>88538</v>
          </cell>
          <cell r="C43">
            <v>25</v>
          </cell>
        </row>
        <row r="44">
          <cell r="A44" t="str">
            <v>香港</v>
          </cell>
          <cell r="B44">
            <v>89222</v>
          </cell>
          <cell r="C44">
            <v>35</v>
          </cell>
        </row>
        <row r="45">
          <cell r="A45" t="str">
            <v>關島</v>
          </cell>
          <cell r="B45">
            <v>78882</v>
          </cell>
          <cell r="C45">
            <v>21</v>
          </cell>
        </row>
        <row r="46">
          <cell r="A46" t="str">
            <v>冰島</v>
          </cell>
          <cell r="B46">
            <v>68713</v>
          </cell>
          <cell r="C46">
            <v>35</v>
          </cell>
        </row>
        <row r="47">
          <cell r="A47" t="str">
            <v>哈薩克</v>
          </cell>
          <cell r="B47">
            <v>55194</v>
          </cell>
          <cell r="C47">
            <v>16</v>
          </cell>
        </row>
        <row r="48">
          <cell r="A48" t="str">
            <v>留尼旺</v>
          </cell>
          <cell r="B48">
            <v>43052</v>
          </cell>
          <cell r="C48">
            <v>17</v>
          </cell>
        </row>
        <row r="49">
          <cell r="A49" t="str">
            <v>法屬玻里尼西亞</v>
          </cell>
          <cell r="B49">
            <v>37032</v>
          </cell>
          <cell r="C49">
            <v>12</v>
          </cell>
        </row>
        <row r="50">
          <cell r="A50" t="str">
            <v>斯洛維尼亞</v>
          </cell>
          <cell r="B50">
            <v>29418</v>
          </cell>
          <cell r="C50">
            <v>43</v>
          </cell>
        </row>
        <row r="51">
          <cell r="A51" t="str">
            <v>模里西斯</v>
          </cell>
          <cell r="B51">
            <v>28115</v>
          </cell>
          <cell r="C51">
            <v>11</v>
          </cell>
        </row>
        <row r="52">
          <cell r="A52" t="str">
            <v>烏拉圭</v>
          </cell>
          <cell r="B52">
            <v>20855</v>
          </cell>
          <cell r="C52">
            <v>10</v>
          </cell>
        </row>
        <row r="53">
          <cell r="A53" t="str">
            <v>菲律賓</v>
          </cell>
          <cell r="B53">
            <v>10097</v>
          </cell>
          <cell r="C53">
            <v>4</v>
          </cell>
        </row>
        <row r="54">
          <cell r="A54" t="str">
            <v>印尼</v>
          </cell>
          <cell r="B54">
            <v>2332</v>
          </cell>
          <cell r="C54">
            <v>1</v>
          </cell>
        </row>
        <row r="55">
          <cell r="A55" t="str">
            <v>黎巴嫩</v>
          </cell>
          <cell r="B55">
            <v>1270</v>
          </cell>
          <cell r="C55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5070964</v>
          </cell>
          <cell r="C3">
            <v>7460</v>
          </cell>
        </row>
        <row r="4">
          <cell r="A4" t="str">
            <v>中國大陸</v>
          </cell>
          <cell r="B4">
            <v>1623279</v>
          </cell>
          <cell r="C4">
            <v>2600</v>
          </cell>
        </row>
        <row r="5">
          <cell r="A5" t="str">
            <v>南韓</v>
          </cell>
          <cell r="B5">
            <v>1347570</v>
          </cell>
          <cell r="C5">
            <v>1665</v>
          </cell>
        </row>
        <row r="6">
          <cell r="A6" t="str">
            <v>奧地利</v>
          </cell>
          <cell r="B6">
            <v>884253</v>
          </cell>
          <cell r="C6">
            <v>1500</v>
          </cell>
        </row>
        <row r="7">
          <cell r="A7" t="str">
            <v>日本</v>
          </cell>
          <cell r="B7">
            <v>698200</v>
          </cell>
          <cell r="C7">
            <v>884</v>
          </cell>
        </row>
        <row r="8">
          <cell r="A8" t="str">
            <v>香港</v>
          </cell>
          <cell r="B8">
            <v>266569</v>
          </cell>
          <cell r="C8">
            <v>267</v>
          </cell>
        </row>
        <row r="9">
          <cell r="A9" t="str">
            <v>俄羅斯</v>
          </cell>
          <cell r="B9">
            <v>176030</v>
          </cell>
          <cell r="C9">
            <v>420</v>
          </cell>
        </row>
        <row r="10">
          <cell r="A10" t="str">
            <v>西班牙</v>
          </cell>
          <cell r="B10">
            <v>40131</v>
          </cell>
          <cell r="C10">
            <v>48</v>
          </cell>
        </row>
        <row r="11">
          <cell r="A11" t="str">
            <v>澳大利亞</v>
          </cell>
          <cell r="B11">
            <v>14557</v>
          </cell>
          <cell r="C11">
            <v>31</v>
          </cell>
        </row>
        <row r="12">
          <cell r="A12" t="str">
            <v>荷蘭</v>
          </cell>
          <cell r="B12">
            <v>13469</v>
          </cell>
          <cell r="C12">
            <v>30</v>
          </cell>
        </row>
        <row r="13">
          <cell r="A13" t="str">
            <v>美國</v>
          </cell>
          <cell r="B13">
            <v>2833</v>
          </cell>
          <cell r="C13">
            <v>3</v>
          </cell>
        </row>
        <row r="14">
          <cell r="A14" t="str">
            <v>菲律賓</v>
          </cell>
          <cell r="B14">
            <v>1639</v>
          </cell>
          <cell r="C14">
            <v>5</v>
          </cell>
        </row>
        <row r="15">
          <cell r="A15" t="str">
            <v>新加坡</v>
          </cell>
          <cell r="B15">
            <v>1582</v>
          </cell>
          <cell r="C15">
            <v>1</v>
          </cell>
        </row>
        <row r="16">
          <cell r="A16" t="str">
            <v>加拿大</v>
          </cell>
          <cell r="B16">
            <v>591</v>
          </cell>
          <cell r="C16">
            <v>1</v>
          </cell>
        </row>
        <row r="17">
          <cell r="A17" t="str">
            <v>泰國</v>
          </cell>
          <cell r="B17">
            <v>261</v>
          </cell>
          <cell r="C17">
            <v>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51781052</v>
          </cell>
          <cell r="D3">
            <v>769176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12292155</v>
          </cell>
          <cell r="D4">
            <v>220194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9026272</v>
          </cell>
          <cell r="D5">
            <v>83208</v>
          </cell>
          <cell r="E5">
            <v>0</v>
          </cell>
        </row>
        <row r="6">
          <cell r="A6">
            <v>87149620002</v>
          </cell>
          <cell r="B6" t="str">
            <v>曲柄齒輪及其零件</v>
          </cell>
          <cell r="C6">
            <v>7540188</v>
          </cell>
          <cell r="D6">
            <v>134836</v>
          </cell>
          <cell r="E6">
            <v>0</v>
          </cell>
        </row>
        <row r="7">
          <cell r="A7">
            <v>87149320906</v>
          </cell>
          <cell r="B7" t="str">
            <v>其他飛輪之鏈輪</v>
          </cell>
          <cell r="C7">
            <v>6732734</v>
          </cell>
          <cell r="D7">
            <v>133033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5287734</v>
          </cell>
          <cell r="D8">
            <v>35107</v>
          </cell>
          <cell r="E8">
            <v>34594</v>
          </cell>
        </row>
        <row r="9">
          <cell r="A9">
            <v>87149990166</v>
          </cell>
          <cell r="B9" t="str">
            <v>腳踏車用把手</v>
          </cell>
          <cell r="C9">
            <v>4320524</v>
          </cell>
          <cell r="D9">
            <v>123443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4199713</v>
          </cell>
          <cell r="D10">
            <v>94388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4060430</v>
          </cell>
          <cell r="D11">
            <v>88152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2961140</v>
          </cell>
          <cell r="D12">
            <v>112842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2696901</v>
          </cell>
          <cell r="D13">
            <v>124103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2596842</v>
          </cell>
          <cell r="D14">
            <v>90898</v>
          </cell>
          <cell r="E14">
            <v>183008</v>
          </cell>
        </row>
        <row r="15">
          <cell r="A15">
            <v>87149990148</v>
          </cell>
          <cell r="B15" t="str">
            <v>腳踏車用把手豎管</v>
          </cell>
          <cell r="C15">
            <v>2551354</v>
          </cell>
          <cell r="D15">
            <v>63839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731374</v>
          </cell>
          <cell r="D16">
            <v>44288</v>
          </cell>
          <cell r="E16">
            <v>6768569</v>
          </cell>
        </row>
        <row r="17">
          <cell r="A17">
            <v>87149410006</v>
          </cell>
          <cell r="B17" t="str">
            <v>鋼?煞車器及其零件</v>
          </cell>
          <cell r="C17">
            <v>342026</v>
          </cell>
          <cell r="D17">
            <v>8519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298355</v>
          </cell>
          <cell r="D18">
            <v>20845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11105</v>
          </cell>
          <cell r="D19">
            <v>357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>
            <v>87149120007</v>
          </cell>
          <cell r="B2" t="str">
            <v>其他車架及叉及其零件</v>
          </cell>
          <cell r="C2">
            <v>467121988</v>
          </cell>
          <cell r="D2">
            <v>7177518</v>
          </cell>
          <cell r="E2">
            <v>0</v>
          </cell>
        </row>
        <row r="3">
          <cell r="A3">
            <v>87149490009</v>
          </cell>
          <cell r="B3" t="str">
            <v>其他煞車器及其零件</v>
          </cell>
          <cell r="C3">
            <v>126619022</v>
          </cell>
          <cell r="D3">
            <v>2420889</v>
          </cell>
          <cell r="E3">
            <v>0</v>
          </cell>
        </row>
        <row r="4">
          <cell r="A4">
            <v>87149320906</v>
          </cell>
          <cell r="B4" t="str">
            <v>其他飛輪之鏈輪</v>
          </cell>
          <cell r="C4">
            <v>72939179</v>
          </cell>
          <cell r="D4">
            <v>1409998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72238850</v>
          </cell>
          <cell r="D5">
            <v>637711</v>
          </cell>
          <cell r="E5">
            <v>0</v>
          </cell>
        </row>
        <row r="6">
          <cell r="A6">
            <v>87149620002</v>
          </cell>
          <cell r="B6" t="str">
            <v>曲柄齒輪及其零件</v>
          </cell>
          <cell r="C6">
            <v>63196306</v>
          </cell>
          <cell r="D6">
            <v>1174424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55505465</v>
          </cell>
          <cell r="D7">
            <v>460474</v>
          </cell>
          <cell r="E7">
            <v>379876</v>
          </cell>
        </row>
        <row r="8">
          <cell r="A8">
            <v>87149990157</v>
          </cell>
          <cell r="B8" t="str">
            <v>腳踏車用座管及上下管</v>
          </cell>
          <cell r="C8">
            <v>41717932</v>
          </cell>
          <cell r="D8">
            <v>909450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33636792</v>
          </cell>
          <cell r="D9">
            <v>614936</v>
          </cell>
          <cell r="E9">
            <v>0</v>
          </cell>
        </row>
        <row r="10">
          <cell r="A10">
            <v>87149990166</v>
          </cell>
          <cell r="B10" t="str">
            <v>腳踏車用把手</v>
          </cell>
          <cell r="C10">
            <v>32647261</v>
          </cell>
          <cell r="D10">
            <v>954036</v>
          </cell>
          <cell r="E10">
            <v>0</v>
          </cell>
        </row>
        <row r="11">
          <cell r="A11">
            <v>87149610004</v>
          </cell>
          <cell r="B11" t="str">
            <v>踏板及其零件</v>
          </cell>
          <cell r="C11">
            <v>30529735</v>
          </cell>
          <cell r="D11">
            <v>1263957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22863840</v>
          </cell>
          <cell r="D12">
            <v>909828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21567278</v>
          </cell>
          <cell r="D13">
            <v>970376</v>
          </cell>
          <cell r="E13">
            <v>1829185</v>
          </cell>
        </row>
        <row r="14">
          <cell r="A14">
            <v>87149990148</v>
          </cell>
          <cell r="B14" t="str">
            <v>腳踏車用把手豎管</v>
          </cell>
          <cell r="C14">
            <v>19199255</v>
          </cell>
          <cell r="D14">
            <v>491344</v>
          </cell>
          <cell r="E14">
            <v>0</v>
          </cell>
        </row>
        <row r="15">
          <cell r="A15">
            <v>87149200206</v>
          </cell>
          <cell r="B15" t="str">
            <v>輪幅</v>
          </cell>
          <cell r="C15">
            <v>5855815</v>
          </cell>
          <cell r="D15">
            <v>445535</v>
          </cell>
          <cell r="E15">
            <v>62856568</v>
          </cell>
        </row>
        <row r="16">
          <cell r="A16">
            <v>87149410006</v>
          </cell>
          <cell r="B16" t="str">
            <v>鋼?煞車器及其零件</v>
          </cell>
          <cell r="C16">
            <v>3483801</v>
          </cell>
          <cell r="D16">
            <v>131427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2127252</v>
          </cell>
          <cell r="D17">
            <v>111907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530962</v>
          </cell>
          <cell r="D18">
            <v>15257</v>
          </cell>
          <cell r="E1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>
            <v>87149120007</v>
          </cell>
          <cell r="B2" t="str">
            <v>其他車架及叉及其零件</v>
          </cell>
          <cell r="C2">
            <v>31780911</v>
          </cell>
          <cell r="D2">
            <v>440234</v>
          </cell>
          <cell r="E2">
            <v>0</v>
          </cell>
        </row>
        <row r="3">
          <cell r="A3">
            <v>87149490009</v>
          </cell>
          <cell r="B3" t="str">
            <v>其他煞車器及其零件</v>
          </cell>
          <cell r="C3">
            <v>9201053</v>
          </cell>
          <cell r="D3">
            <v>123059</v>
          </cell>
          <cell r="E3">
            <v>0</v>
          </cell>
        </row>
        <row r="4">
          <cell r="A4">
            <v>87149990111</v>
          </cell>
          <cell r="B4" t="str">
            <v>腳踏車用變速器</v>
          </cell>
          <cell r="C4">
            <v>5440741</v>
          </cell>
          <cell r="D4">
            <v>50563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4710322</v>
          </cell>
          <cell r="D5">
            <v>75058</v>
          </cell>
          <cell r="E5">
            <v>138724</v>
          </cell>
        </row>
        <row r="6">
          <cell r="A6">
            <v>87149620002</v>
          </cell>
          <cell r="B6" t="str">
            <v>曲柄齒輪及其零件</v>
          </cell>
          <cell r="C6">
            <v>3137749</v>
          </cell>
          <cell r="D6">
            <v>92009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2965770</v>
          </cell>
          <cell r="D7">
            <v>70674</v>
          </cell>
          <cell r="E7">
            <v>0</v>
          </cell>
        </row>
        <row r="8">
          <cell r="A8">
            <v>87149990166</v>
          </cell>
          <cell r="B8" t="str">
            <v>腳踏車用把手</v>
          </cell>
          <cell r="C8">
            <v>1932783</v>
          </cell>
          <cell r="D8">
            <v>27055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1360755</v>
          </cell>
          <cell r="D9">
            <v>31674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1120135</v>
          </cell>
          <cell r="D10">
            <v>19931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1102894</v>
          </cell>
          <cell r="D11">
            <v>55598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859681</v>
          </cell>
          <cell r="D12">
            <v>14415</v>
          </cell>
          <cell r="E12">
            <v>96815</v>
          </cell>
        </row>
        <row r="13">
          <cell r="A13">
            <v>87149200206</v>
          </cell>
          <cell r="B13" t="str">
            <v>輪幅</v>
          </cell>
          <cell r="C13">
            <v>511186</v>
          </cell>
          <cell r="D13">
            <v>8015</v>
          </cell>
          <cell r="E13">
            <v>1171626</v>
          </cell>
        </row>
        <row r="14">
          <cell r="A14">
            <v>87149320103</v>
          </cell>
          <cell r="B14" t="str">
            <v>裝有棘輪機構之單一鏈輪　</v>
          </cell>
          <cell r="C14">
            <v>440802</v>
          </cell>
          <cell r="D14">
            <v>10066</v>
          </cell>
          <cell r="E14">
            <v>0</v>
          </cell>
        </row>
        <row r="15">
          <cell r="A15">
            <v>87149410006</v>
          </cell>
          <cell r="B15" t="str">
            <v>鋼?煞車器及其零件</v>
          </cell>
          <cell r="C15">
            <v>176761</v>
          </cell>
          <cell r="D15">
            <v>2738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162843</v>
          </cell>
          <cell r="D16">
            <v>4424</v>
          </cell>
          <cell r="E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136042</v>
          </cell>
          <cell r="D17">
            <v>16066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115495</v>
          </cell>
          <cell r="D18">
            <v>6459</v>
          </cell>
          <cell r="E1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243164825</v>
          </cell>
          <cell r="D3">
            <v>3901064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71589508</v>
          </cell>
          <cell r="D4">
            <v>964972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38455168</v>
          </cell>
          <cell r="D5">
            <v>573973</v>
          </cell>
          <cell r="E5">
            <v>1065791</v>
          </cell>
        </row>
        <row r="6">
          <cell r="A6">
            <v>87149990111</v>
          </cell>
          <cell r="B6" t="str">
            <v>腳踏車用變速器</v>
          </cell>
          <cell r="C6">
            <v>37010752</v>
          </cell>
          <cell r="D6">
            <v>356663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27509028</v>
          </cell>
          <cell r="D7">
            <v>745448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23576226</v>
          </cell>
          <cell r="D8">
            <v>773807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13664791</v>
          </cell>
          <cell r="D9">
            <v>260973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10959488</v>
          </cell>
          <cell r="D10">
            <v>309473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7563584</v>
          </cell>
          <cell r="D11">
            <v>227636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7109313</v>
          </cell>
          <cell r="D12">
            <v>438080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5410832</v>
          </cell>
          <cell r="D13">
            <v>113278</v>
          </cell>
          <cell r="E13">
            <v>646305</v>
          </cell>
        </row>
        <row r="14">
          <cell r="A14">
            <v>87149200206</v>
          </cell>
          <cell r="B14" t="str">
            <v>輪幅</v>
          </cell>
          <cell r="C14">
            <v>4467265</v>
          </cell>
          <cell r="D14">
            <v>62045</v>
          </cell>
          <cell r="E14">
            <v>11577921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3719182</v>
          </cell>
          <cell r="D15">
            <v>70966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2891068</v>
          </cell>
          <cell r="D16">
            <v>107391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2118989</v>
          </cell>
          <cell r="D17">
            <v>43827</v>
          </cell>
          <cell r="E17">
            <v>0</v>
          </cell>
        </row>
        <row r="18">
          <cell r="A18">
            <v>87149610004</v>
          </cell>
          <cell r="B18" t="str">
            <v>踏板及其零件</v>
          </cell>
          <cell r="C18">
            <v>1794558</v>
          </cell>
          <cell r="D18">
            <v>147657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856548</v>
          </cell>
          <cell r="D19">
            <v>60022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62407006</v>
          </cell>
          <cell r="F11">
            <v>966457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18330997</v>
          </cell>
          <cell r="F12">
            <v>361912</v>
          </cell>
          <cell r="G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8182241</v>
          </cell>
          <cell r="F13">
            <v>76444</v>
          </cell>
          <cell r="G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7608404</v>
          </cell>
          <cell r="F14">
            <v>171846</v>
          </cell>
          <cell r="G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7113018</v>
          </cell>
          <cell r="F15">
            <v>168311</v>
          </cell>
          <cell r="G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6694441</v>
          </cell>
          <cell r="F16">
            <v>54477</v>
          </cell>
          <cell r="G16">
            <v>44081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6045216</v>
          </cell>
          <cell r="F17">
            <v>122139</v>
          </cell>
          <cell r="G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4781712</v>
          </cell>
          <cell r="F18">
            <v>122468</v>
          </cell>
          <cell r="G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4704703</v>
          </cell>
          <cell r="F19">
            <v>75000</v>
          </cell>
          <cell r="G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4212087</v>
          </cell>
          <cell r="F20">
            <v>176492</v>
          </cell>
          <cell r="G20">
            <v>0</v>
          </cell>
        </row>
        <row r="21">
          <cell r="B21">
            <v>87149200108</v>
          </cell>
          <cell r="C21" t="str">
            <v>輪圈</v>
          </cell>
          <cell r="D21" t="str">
            <v>Wheel rims</v>
          </cell>
          <cell r="E21">
            <v>3068759</v>
          </cell>
          <cell r="F21">
            <v>154976</v>
          </cell>
          <cell r="G21">
            <v>303152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2584362</v>
          </cell>
          <cell r="F22">
            <v>81760</v>
          </cell>
          <cell r="G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2561877</v>
          </cell>
          <cell r="F23">
            <v>61302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687877</v>
          </cell>
          <cell r="F24">
            <v>61267</v>
          </cell>
          <cell r="G24">
            <v>9101456</v>
          </cell>
        </row>
        <row r="25">
          <cell r="B25">
            <v>87149990139</v>
          </cell>
          <cell r="C25" t="str">
            <v>腳踏車用軸心</v>
          </cell>
          <cell r="D25" t="str">
            <v>Axle of bicycles</v>
          </cell>
          <cell r="E25">
            <v>260916</v>
          </cell>
          <cell r="F25">
            <v>7835</v>
          </cell>
          <cell r="G25">
            <v>0</v>
          </cell>
        </row>
        <row r="26">
          <cell r="B26">
            <v>87149910001</v>
          </cell>
          <cell r="C26" t="str">
            <v>邊車零件</v>
          </cell>
          <cell r="D26" t="str">
            <v>Parts for side cars</v>
          </cell>
          <cell r="E26">
            <v>171943</v>
          </cell>
          <cell r="F26">
            <v>7916</v>
          </cell>
          <cell r="G26">
            <v>0</v>
          </cell>
        </row>
        <row r="27">
          <cell r="B27">
            <v>87149410006</v>
          </cell>
          <cell r="C27" t="str">
            <v>鋼?煞車器及其零件</v>
          </cell>
          <cell r="D27" t="str">
            <v>Caliper brake, and parts thereof</v>
          </cell>
          <cell r="E27">
            <v>167571</v>
          </cell>
          <cell r="F27">
            <v>6230</v>
          </cell>
          <cell r="G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69228</v>
          </cell>
          <cell r="F28">
            <v>1788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64988</v>
          </cell>
          <cell r="F29">
            <v>2229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37728</v>
          </cell>
          <cell r="F30">
            <v>1134</v>
          </cell>
          <cell r="G30">
            <v>0</v>
          </cell>
        </row>
        <row r="31">
          <cell r="B31">
            <v>85121020009</v>
          </cell>
          <cell r="C31" t="str">
            <v>腳踏車用視覺信號設備</v>
          </cell>
          <cell r="D31" t="str">
            <v>Electrical visual signalling equipment of a kind use on bicycles</v>
          </cell>
          <cell r="E31">
            <v>671779</v>
          </cell>
          <cell r="F31">
            <v>3688</v>
          </cell>
          <cell r="G31">
            <v>49549</v>
          </cell>
        </row>
        <row r="32">
          <cell r="B32">
            <v>85121010001</v>
          </cell>
          <cell r="C32" t="str">
            <v>腳踏車用電氣照明設備</v>
          </cell>
          <cell r="D32" t="str">
            <v>Electrical lighting equipment of a kind used on bicycles</v>
          </cell>
          <cell r="E32">
            <v>444982</v>
          </cell>
          <cell r="F32">
            <v>3510</v>
          </cell>
          <cell r="G32">
            <v>42182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3895232</v>
          </cell>
          <cell r="F33">
            <v>130234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8293078</v>
          </cell>
          <cell r="F34">
            <v>477531</v>
          </cell>
          <cell r="G34">
            <v>622288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555478</v>
          </cell>
          <cell r="F35">
            <v>55881</v>
          </cell>
          <cell r="G35">
            <v>303108</v>
          </cell>
        </row>
      </sheetData>
      <sheetData sheetId="1"/>
      <sheetData sheetId="2"/>
      <sheetData sheetId="3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161464692</v>
          </cell>
          <cell r="F11">
            <v>146393161</v>
          </cell>
          <cell r="G11">
            <v>3019272</v>
          </cell>
          <cell r="H11">
            <v>2334352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67855006</v>
          </cell>
          <cell r="F12">
            <v>41443682</v>
          </cell>
          <cell r="G12">
            <v>1789803</v>
          </cell>
          <cell r="H12">
            <v>847666</v>
          </cell>
          <cell r="I12">
            <v>0</v>
          </cell>
          <cell r="J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0</v>
          </cell>
          <cell r="F13">
            <v>22038308</v>
          </cell>
          <cell r="G13">
            <v>0</v>
          </cell>
          <cell r="H13">
            <v>459018</v>
          </cell>
          <cell r="I13">
            <v>0</v>
          </cell>
          <cell r="J13">
            <v>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26711033</v>
          </cell>
          <cell r="F14">
            <v>19689724</v>
          </cell>
          <cell r="G14">
            <v>341579</v>
          </cell>
          <cell r="H14">
            <v>188903</v>
          </cell>
          <cell r="I14">
            <v>0</v>
          </cell>
          <cell r="J14">
            <v>0</v>
          </cell>
        </row>
        <row r="15">
          <cell r="B15">
            <v>87149200304</v>
          </cell>
          <cell r="C15" t="str">
            <v>輪圈及輪幅</v>
          </cell>
          <cell r="D15" t="str">
            <v>Wheel rims and spokes</v>
          </cell>
          <cell r="E15">
            <v>14154547</v>
          </cell>
          <cell r="F15">
            <v>18993100</v>
          </cell>
          <cell r="G15">
            <v>171676</v>
          </cell>
          <cell r="H15">
            <v>166204</v>
          </cell>
          <cell r="I15">
            <v>148749</v>
          </cell>
          <cell r="J15">
            <v>124033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27240997</v>
          </cell>
          <cell r="F16">
            <v>17755936</v>
          </cell>
          <cell r="G16">
            <v>776419</v>
          </cell>
          <cell r="H16">
            <v>365711</v>
          </cell>
          <cell r="I16">
            <v>0</v>
          </cell>
          <cell r="J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15640420</v>
          </cell>
          <cell r="F17">
            <v>13547009</v>
          </cell>
          <cell r="G17">
            <v>381741</v>
          </cell>
          <cell r="H17">
            <v>307803</v>
          </cell>
          <cell r="I17">
            <v>0</v>
          </cell>
          <cell r="J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16530496</v>
          </cell>
          <cell r="F18">
            <v>10689254</v>
          </cell>
          <cell r="G18">
            <v>780858</v>
          </cell>
          <cell r="H18">
            <v>446012</v>
          </cell>
          <cell r="I18">
            <v>0</v>
          </cell>
          <cell r="J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12932653</v>
          </cell>
          <cell r="F19">
            <v>10591689</v>
          </cell>
          <cell r="G19">
            <v>444317</v>
          </cell>
          <cell r="H19">
            <v>296811</v>
          </cell>
          <cell r="I19">
            <v>0</v>
          </cell>
          <cell r="J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13614595</v>
          </cell>
          <cell r="F20">
            <v>10068226</v>
          </cell>
          <cell r="G20">
            <v>260215</v>
          </cell>
          <cell r="H20">
            <v>190291</v>
          </cell>
          <cell r="I20">
            <v>0</v>
          </cell>
          <cell r="J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9157225</v>
          </cell>
          <cell r="F21">
            <v>6832528</v>
          </cell>
          <cell r="G21">
            <v>480106</v>
          </cell>
          <cell r="H21">
            <v>249846</v>
          </cell>
          <cell r="I21">
            <v>0</v>
          </cell>
          <cell r="J21">
            <v>0</v>
          </cell>
        </row>
        <row r="22">
          <cell r="B22">
            <v>87149200108</v>
          </cell>
          <cell r="C22" t="str">
            <v>輪圈</v>
          </cell>
          <cell r="D22" t="str">
            <v>Wheel rims</v>
          </cell>
          <cell r="E22">
            <v>8844504</v>
          </cell>
          <cell r="F22">
            <v>6340391</v>
          </cell>
          <cell r="G22">
            <v>449594</v>
          </cell>
          <cell r="H22">
            <v>307699</v>
          </cell>
          <cell r="I22">
            <v>826305</v>
          </cell>
          <cell r="J22">
            <v>588746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8920699</v>
          </cell>
          <cell r="F23">
            <v>5977029</v>
          </cell>
          <cell r="G23">
            <v>295087</v>
          </cell>
          <cell r="H23">
            <v>158919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3756513</v>
          </cell>
          <cell r="F24">
            <v>1428657</v>
          </cell>
          <cell r="G24">
            <v>433410</v>
          </cell>
          <cell r="H24">
            <v>118615</v>
          </cell>
          <cell r="I24">
            <v>60216258</v>
          </cell>
          <cell r="J24">
            <v>16217588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1653645</v>
          </cell>
          <cell r="F25">
            <v>1075086</v>
          </cell>
          <cell r="G25">
            <v>68425</v>
          </cell>
          <cell r="H25">
            <v>40906</v>
          </cell>
          <cell r="I25">
            <v>0</v>
          </cell>
          <cell r="J25">
            <v>0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222885</v>
          </cell>
          <cell r="F26">
            <v>721776</v>
          </cell>
          <cell r="G26">
            <v>23992</v>
          </cell>
          <cell r="H26">
            <v>12503</v>
          </cell>
          <cell r="I26">
            <v>0</v>
          </cell>
          <cell r="J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1061568</v>
          </cell>
          <cell r="F27">
            <v>630165</v>
          </cell>
          <cell r="G27">
            <v>53134</v>
          </cell>
          <cell r="H27">
            <v>27789</v>
          </cell>
          <cell r="I27">
            <v>0</v>
          </cell>
          <cell r="J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607935</v>
          </cell>
          <cell r="F28">
            <v>357727</v>
          </cell>
          <cell r="G28">
            <v>32710</v>
          </cell>
          <cell r="H28">
            <v>25022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443998</v>
          </cell>
          <cell r="F29">
            <v>211493</v>
          </cell>
          <cell r="G29">
            <v>20523</v>
          </cell>
          <cell r="H29">
            <v>12117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0</v>
          </cell>
          <cell r="F30">
            <v>150113</v>
          </cell>
          <cell r="G30">
            <v>0</v>
          </cell>
          <cell r="H30">
            <v>4036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21081807</v>
          </cell>
          <cell r="F31">
            <v>0</v>
          </cell>
          <cell r="G31">
            <v>564289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4558568</v>
          </cell>
          <cell r="F32">
            <v>0</v>
          </cell>
          <cell r="G32">
            <v>179676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4718262</v>
          </cell>
          <cell r="F33">
            <v>2031581</v>
          </cell>
          <cell r="G33">
            <v>39628</v>
          </cell>
          <cell r="H33">
            <v>16206</v>
          </cell>
          <cell r="I33">
            <v>378818</v>
          </cell>
          <cell r="J33">
            <v>125842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1972360</v>
          </cell>
          <cell r="F34">
            <v>1810994</v>
          </cell>
          <cell r="G34">
            <v>14205</v>
          </cell>
          <cell r="H34">
            <v>9979</v>
          </cell>
          <cell r="I34">
            <v>123171</v>
          </cell>
          <cell r="J34">
            <v>119825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8716460</v>
          </cell>
          <cell r="F35">
            <v>7337582</v>
          </cell>
          <cell r="G35">
            <v>419114</v>
          </cell>
          <cell r="H35">
            <v>268277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25624637</v>
          </cell>
          <cell r="F36">
            <v>17028731</v>
          </cell>
          <cell r="G36">
            <v>1521882</v>
          </cell>
          <cell r="H36">
            <v>949689</v>
          </cell>
          <cell r="I36">
            <v>2123210</v>
          </cell>
          <cell r="J36">
            <v>1257665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4184855</v>
          </cell>
          <cell r="F37">
            <v>1452598</v>
          </cell>
          <cell r="G37">
            <v>403901</v>
          </cell>
          <cell r="H37">
            <v>134530</v>
          </cell>
          <cell r="I37">
            <v>2112173</v>
          </cell>
          <cell r="J37">
            <v>747903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總計</v>
          </cell>
          <cell r="B2">
            <v>871877139</v>
          </cell>
          <cell r="C2">
            <v>886894</v>
          </cell>
        </row>
        <row r="3">
          <cell r="A3" t="str">
            <v>美國</v>
          </cell>
          <cell r="B3">
            <v>304630779</v>
          </cell>
          <cell r="C3">
            <v>308934</v>
          </cell>
        </row>
        <row r="4">
          <cell r="A4" t="str">
            <v>荷蘭</v>
          </cell>
          <cell r="B4">
            <v>106290863</v>
          </cell>
          <cell r="C4">
            <v>81996</v>
          </cell>
        </row>
        <row r="5">
          <cell r="A5" t="str">
            <v>中國大陸</v>
          </cell>
          <cell r="B5">
            <v>71403315</v>
          </cell>
          <cell r="C5">
            <v>75746</v>
          </cell>
        </row>
        <row r="6">
          <cell r="A6" t="str">
            <v>英國</v>
          </cell>
          <cell r="B6">
            <v>45373049</v>
          </cell>
          <cell r="C6">
            <v>52478</v>
          </cell>
        </row>
        <row r="7">
          <cell r="A7" t="str">
            <v>澳大利亞</v>
          </cell>
          <cell r="B7">
            <v>42317493</v>
          </cell>
          <cell r="C7">
            <v>28157</v>
          </cell>
        </row>
        <row r="8">
          <cell r="A8" t="str">
            <v>德國</v>
          </cell>
          <cell r="B8">
            <v>33963710</v>
          </cell>
          <cell r="C8">
            <v>62577</v>
          </cell>
        </row>
        <row r="9">
          <cell r="A9" t="str">
            <v>加拿大</v>
          </cell>
          <cell r="B9">
            <v>33336370</v>
          </cell>
          <cell r="C9">
            <v>25817</v>
          </cell>
        </row>
        <row r="10">
          <cell r="A10" t="str">
            <v>比利時</v>
          </cell>
          <cell r="B10">
            <v>28483948</v>
          </cell>
          <cell r="C10">
            <v>20073</v>
          </cell>
        </row>
        <row r="11">
          <cell r="A11" t="str">
            <v>南韓</v>
          </cell>
          <cell r="B11">
            <v>27094369</v>
          </cell>
          <cell r="C11">
            <v>19723</v>
          </cell>
        </row>
        <row r="12">
          <cell r="A12" t="str">
            <v>日本</v>
          </cell>
          <cell r="B12">
            <v>26848653</v>
          </cell>
          <cell r="C12">
            <v>34714</v>
          </cell>
        </row>
        <row r="13">
          <cell r="A13" t="str">
            <v>法國</v>
          </cell>
          <cell r="B13">
            <v>20565869</v>
          </cell>
          <cell r="C13">
            <v>24963</v>
          </cell>
        </row>
        <row r="14">
          <cell r="A14" t="str">
            <v>義大利</v>
          </cell>
          <cell r="B14">
            <v>13599361</v>
          </cell>
          <cell r="C14">
            <v>8856</v>
          </cell>
        </row>
        <row r="15">
          <cell r="A15" t="str">
            <v>瑞士</v>
          </cell>
          <cell r="B15">
            <v>10037296</v>
          </cell>
          <cell r="C15">
            <v>8090</v>
          </cell>
        </row>
        <row r="16">
          <cell r="A16" t="str">
            <v>西班牙</v>
          </cell>
          <cell r="B16">
            <v>8246028</v>
          </cell>
          <cell r="C16">
            <v>7651</v>
          </cell>
        </row>
        <row r="17">
          <cell r="A17" t="str">
            <v>墨西哥</v>
          </cell>
          <cell r="B17">
            <v>8049760</v>
          </cell>
          <cell r="C17">
            <v>5972</v>
          </cell>
        </row>
        <row r="18">
          <cell r="A18" t="str">
            <v>挪威</v>
          </cell>
          <cell r="B18">
            <v>7968246</v>
          </cell>
          <cell r="C18">
            <v>18026</v>
          </cell>
        </row>
        <row r="19">
          <cell r="A19" t="str">
            <v>巴拿馬</v>
          </cell>
          <cell r="B19">
            <v>7884731</v>
          </cell>
          <cell r="C19">
            <v>3608</v>
          </cell>
        </row>
        <row r="20">
          <cell r="A20" t="str">
            <v>紐西蘭</v>
          </cell>
          <cell r="B20">
            <v>7740725</v>
          </cell>
          <cell r="C20">
            <v>4968</v>
          </cell>
        </row>
        <row r="21">
          <cell r="A21" t="str">
            <v>南非</v>
          </cell>
          <cell r="B21">
            <v>6373835</v>
          </cell>
          <cell r="C21">
            <v>3188</v>
          </cell>
        </row>
        <row r="22">
          <cell r="A22" t="str">
            <v>波蘭</v>
          </cell>
          <cell r="B22">
            <v>5129095</v>
          </cell>
          <cell r="C22">
            <v>9075</v>
          </cell>
        </row>
        <row r="23">
          <cell r="A23" t="str">
            <v>瑞典</v>
          </cell>
          <cell r="B23">
            <v>4656154</v>
          </cell>
          <cell r="C23">
            <v>21089</v>
          </cell>
        </row>
        <row r="24">
          <cell r="A24" t="str">
            <v>丹麥</v>
          </cell>
          <cell r="B24">
            <v>4436453</v>
          </cell>
          <cell r="C24">
            <v>12260</v>
          </cell>
        </row>
        <row r="25">
          <cell r="A25" t="str">
            <v>巴西</v>
          </cell>
          <cell r="B25">
            <v>4385115</v>
          </cell>
          <cell r="C25">
            <v>2893</v>
          </cell>
        </row>
        <row r="26">
          <cell r="A26" t="str">
            <v>新加坡</v>
          </cell>
          <cell r="B26">
            <v>4099839</v>
          </cell>
          <cell r="C26">
            <v>2569</v>
          </cell>
        </row>
        <row r="27">
          <cell r="A27" t="str">
            <v>哥倫比亞</v>
          </cell>
          <cell r="B27">
            <v>3950019</v>
          </cell>
          <cell r="C27">
            <v>2373</v>
          </cell>
        </row>
        <row r="28">
          <cell r="A28" t="str">
            <v>以色列</v>
          </cell>
          <cell r="B28">
            <v>3132781</v>
          </cell>
          <cell r="C28">
            <v>2717</v>
          </cell>
        </row>
        <row r="29">
          <cell r="A29" t="str">
            <v>智利</v>
          </cell>
          <cell r="B29">
            <v>3116361</v>
          </cell>
          <cell r="C29">
            <v>1966</v>
          </cell>
        </row>
        <row r="30">
          <cell r="A30" t="str">
            <v>香港</v>
          </cell>
          <cell r="B30">
            <v>3016686</v>
          </cell>
          <cell r="C30">
            <v>3273</v>
          </cell>
        </row>
        <row r="31">
          <cell r="A31" t="str">
            <v>捷克</v>
          </cell>
          <cell r="B31">
            <v>2861195</v>
          </cell>
          <cell r="C31">
            <v>6107</v>
          </cell>
        </row>
        <row r="32">
          <cell r="A32" t="str">
            <v>馬來西亞</v>
          </cell>
          <cell r="B32">
            <v>2594777</v>
          </cell>
          <cell r="C32">
            <v>1333</v>
          </cell>
        </row>
        <row r="33">
          <cell r="A33" t="str">
            <v>阿拉伯聯合大公國</v>
          </cell>
          <cell r="B33">
            <v>1593043</v>
          </cell>
          <cell r="C33">
            <v>1238</v>
          </cell>
        </row>
        <row r="34">
          <cell r="A34" t="str">
            <v>泰國</v>
          </cell>
          <cell r="B34">
            <v>1490866</v>
          </cell>
          <cell r="C34">
            <v>1610</v>
          </cell>
        </row>
        <row r="35">
          <cell r="A35" t="str">
            <v>俄羅斯</v>
          </cell>
          <cell r="B35">
            <v>1482547</v>
          </cell>
          <cell r="C35">
            <v>2863</v>
          </cell>
        </row>
        <row r="36">
          <cell r="A36" t="str">
            <v>菲律賓</v>
          </cell>
          <cell r="B36">
            <v>1464117</v>
          </cell>
          <cell r="C36">
            <v>2185</v>
          </cell>
        </row>
        <row r="37">
          <cell r="A37" t="str">
            <v>印度</v>
          </cell>
          <cell r="B37">
            <v>1394492</v>
          </cell>
          <cell r="C37">
            <v>1761</v>
          </cell>
        </row>
        <row r="38">
          <cell r="A38" t="str">
            <v>斯洛維尼亞</v>
          </cell>
          <cell r="B38">
            <v>1312527</v>
          </cell>
          <cell r="C38">
            <v>1229</v>
          </cell>
        </row>
        <row r="39">
          <cell r="A39" t="str">
            <v>秘魯</v>
          </cell>
          <cell r="B39">
            <v>1243575</v>
          </cell>
          <cell r="C39">
            <v>616</v>
          </cell>
        </row>
        <row r="40">
          <cell r="A40" t="str">
            <v>奧地利</v>
          </cell>
          <cell r="B40">
            <v>1137475</v>
          </cell>
          <cell r="C40">
            <v>1636</v>
          </cell>
        </row>
        <row r="41">
          <cell r="A41" t="str">
            <v>芬蘭</v>
          </cell>
          <cell r="B41">
            <v>1031394</v>
          </cell>
          <cell r="C41">
            <v>1897</v>
          </cell>
        </row>
        <row r="42">
          <cell r="A42" t="str">
            <v>哥斯大黎加</v>
          </cell>
          <cell r="B42">
            <v>999309</v>
          </cell>
          <cell r="C42">
            <v>863</v>
          </cell>
        </row>
        <row r="43">
          <cell r="A43" t="str">
            <v>厄瓜多</v>
          </cell>
          <cell r="B43">
            <v>836277</v>
          </cell>
          <cell r="C43">
            <v>733</v>
          </cell>
        </row>
        <row r="44">
          <cell r="A44" t="str">
            <v>阿根廷</v>
          </cell>
          <cell r="B44">
            <v>641676</v>
          </cell>
          <cell r="C44">
            <v>425</v>
          </cell>
        </row>
        <row r="45">
          <cell r="A45" t="str">
            <v>越南</v>
          </cell>
          <cell r="B45">
            <v>554796</v>
          </cell>
          <cell r="C45">
            <v>380</v>
          </cell>
        </row>
        <row r="46">
          <cell r="A46" t="str">
            <v>瓜地馬拉</v>
          </cell>
          <cell r="B46">
            <v>536675</v>
          </cell>
          <cell r="C46">
            <v>402</v>
          </cell>
        </row>
        <row r="47">
          <cell r="A47" t="str">
            <v>匈牙利</v>
          </cell>
          <cell r="B47">
            <v>509486</v>
          </cell>
          <cell r="C47">
            <v>1139</v>
          </cell>
        </row>
        <row r="48">
          <cell r="A48" t="str">
            <v>印尼</v>
          </cell>
          <cell r="B48">
            <v>465354</v>
          </cell>
          <cell r="C48">
            <v>328</v>
          </cell>
        </row>
        <row r="49">
          <cell r="A49" t="str">
            <v>愛沙尼亞</v>
          </cell>
          <cell r="B49">
            <v>417091</v>
          </cell>
          <cell r="C49">
            <v>914</v>
          </cell>
        </row>
        <row r="50">
          <cell r="A50" t="str">
            <v>烏拉圭</v>
          </cell>
          <cell r="B50">
            <v>335217</v>
          </cell>
          <cell r="C50">
            <v>264</v>
          </cell>
        </row>
        <row r="51">
          <cell r="A51" t="str">
            <v>希臘</v>
          </cell>
          <cell r="B51">
            <v>274590</v>
          </cell>
          <cell r="C51">
            <v>1173</v>
          </cell>
        </row>
        <row r="52">
          <cell r="A52" t="str">
            <v>哈薩克</v>
          </cell>
          <cell r="B52">
            <v>237072</v>
          </cell>
          <cell r="C52">
            <v>290</v>
          </cell>
        </row>
        <row r="53">
          <cell r="A53" t="str">
            <v>多明尼加</v>
          </cell>
          <cell r="B53">
            <v>184865</v>
          </cell>
          <cell r="C53">
            <v>128</v>
          </cell>
        </row>
        <row r="54">
          <cell r="A54" t="str">
            <v>薩爾瓦多</v>
          </cell>
          <cell r="B54">
            <v>180707</v>
          </cell>
          <cell r="C54">
            <v>160</v>
          </cell>
        </row>
        <row r="55">
          <cell r="A55" t="str">
            <v>葡萄牙</v>
          </cell>
          <cell r="B55">
            <v>175126</v>
          </cell>
          <cell r="C55">
            <v>85</v>
          </cell>
        </row>
        <row r="56">
          <cell r="A56" t="str">
            <v>關島</v>
          </cell>
          <cell r="B56">
            <v>169681</v>
          </cell>
          <cell r="C56">
            <v>89</v>
          </cell>
        </row>
        <row r="57">
          <cell r="A57" t="str">
            <v>立陶宛</v>
          </cell>
          <cell r="B57">
            <v>165765</v>
          </cell>
          <cell r="C57">
            <v>409</v>
          </cell>
        </row>
        <row r="58">
          <cell r="A58" t="str">
            <v>盧森堡</v>
          </cell>
          <cell r="B58">
            <v>164946</v>
          </cell>
          <cell r="C58">
            <v>68</v>
          </cell>
        </row>
        <row r="59">
          <cell r="A59" t="str">
            <v>克羅埃西亞</v>
          </cell>
          <cell r="B59">
            <v>148696</v>
          </cell>
          <cell r="C59">
            <v>578</v>
          </cell>
        </row>
        <row r="60">
          <cell r="A60" t="str">
            <v>波多黎各</v>
          </cell>
          <cell r="B60">
            <v>136048</v>
          </cell>
          <cell r="C60">
            <v>260</v>
          </cell>
        </row>
        <row r="61">
          <cell r="A61" t="str">
            <v>巴拉圭</v>
          </cell>
          <cell r="B61">
            <v>134658</v>
          </cell>
          <cell r="C61">
            <v>81</v>
          </cell>
        </row>
        <row r="62">
          <cell r="A62" t="str">
            <v>冰島</v>
          </cell>
          <cell r="B62">
            <v>106525</v>
          </cell>
          <cell r="C62">
            <v>220</v>
          </cell>
        </row>
        <row r="63">
          <cell r="A63" t="str">
            <v>卡達</v>
          </cell>
          <cell r="B63">
            <v>105263</v>
          </cell>
          <cell r="C63">
            <v>103</v>
          </cell>
        </row>
        <row r="64">
          <cell r="A64" t="str">
            <v>模里西斯</v>
          </cell>
          <cell r="B64">
            <v>95908</v>
          </cell>
          <cell r="C64">
            <v>46</v>
          </cell>
        </row>
        <row r="65">
          <cell r="A65" t="str">
            <v>拉脫維亞</v>
          </cell>
          <cell r="B65">
            <v>84494</v>
          </cell>
          <cell r="C65">
            <v>263</v>
          </cell>
        </row>
        <row r="66">
          <cell r="A66" t="str">
            <v>蒙古</v>
          </cell>
          <cell r="B66">
            <v>67418</v>
          </cell>
          <cell r="C66">
            <v>61</v>
          </cell>
        </row>
        <row r="67">
          <cell r="A67" t="str">
            <v>留尼旺</v>
          </cell>
          <cell r="B67">
            <v>62772</v>
          </cell>
          <cell r="C67">
            <v>39</v>
          </cell>
        </row>
        <row r="68">
          <cell r="A68" t="str">
            <v>保加利亞</v>
          </cell>
          <cell r="B68">
            <v>61429</v>
          </cell>
          <cell r="C68">
            <v>395</v>
          </cell>
        </row>
        <row r="69">
          <cell r="A69" t="str">
            <v>土耳其</v>
          </cell>
          <cell r="B69">
            <v>53066</v>
          </cell>
          <cell r="C69">
            <v>33</v>
          </cell>
        </row>
        <row r="70">
          <cell r="A70" t="str">
            <v>烏克蘭</v>
          </cell>
          <cell r="B70">
            <v>44021</v>
          </cell>
          <cell r="C70">
            <v>119</v>
          </cell>
        </row>
        <row r="71">
          <cell r="A71" t="str">
            <v>法屬玻里尼西亞</v>
          </cell>
          <cell r="B71">
            <v>34598</v>
          </cell>
          <cell r="C71">
            <v>185</v>
          </cell>
        </row>
        <row r="72">
          <cell r="A72" t="str">
            <v>北馬里亞納群島</v>
          </cell>
          <cell r="B72">
            <v>24830</v>
          </cell>
          <cell r="C72">
            <v>44</v>
          </cell>
        </row>
        <row r="73">
          <cell r="A73" t="str">
            <v>沙烏地阿拉伯</v>
          </cell>
          <cell r="B73">
            <v>21288</v>
          </cell>
          <cell r="C73">
            <v>17</v>
          </cell>
        </row>
        <row r="74">
          <cell r="A74" t="str">
            <v>巴基斯坦</v>
          </cell>
          <cell r="B74">
            <v>18496</v>
          </cell>
          <cell r="C74">
            <v>12</v>
          </cell>
        </row>
        <row r="75">
          <cell r="A75" t="str">
            <v>東加</v>
          </cell>
          <cell r="B75">
            <v>16381</v>
          </cell>
          <cell r="C75">
            <v>140</v>
          </cell>
        </row>
        <row r="76">
          <cell r="A76" t="str">
            <v>尼泊爾</v>
          </cell>
          <cell r="B76">
            <v>15555</v>
          </cell>
          <cell r="C76">
            <v>13</v>
          </cell>
        </row>
        <row r="77">
          <cell r="A77" t="str">
            <v>巴林</v>
          </cell>
          <cell r="B77">
            <v>15239</v>
          </cell>
          <cell r="C77">
            <v>20</v>
          </cell>
        </row>
        <row r="78">
          <cell r="A78" t="str">
            <v>汶萊</v>
          </cell>
          <cell r="B78">
            <v>11063</v>
          </cell>
          <cell r="C78">
            <v>7</v>
          </cell>
        </row>
        <row r="79">
          <cell r="A79" t="str">
            <v>肯亞</v>
          </cell>
          <cell r="B79">
            <v>8076</v>
          </cell>
          <cell r="C79">
            <v>3</v>
          </cell>
        </row>
        <row r="80">
          <cell r="A80" t="str">
            <v>羅馬尼亞</v>
          </cell>
          <cell r="B80">
            <v>6811</v>
          </cell>
          <cell r="C80">
            <v>53</v>
          </cell>
        </row>
        <row r="81">
          <cell r="A81" t="str">
            <v>新克里多亞</v>
          </cell>
          <cell r="B81">
            <v>6438</v>
          </cell>
          <cell r="C81">
            <v>2</v>
          </cell>
        </row>
        <row r="82">
          <cell r="A82" t="str">
            <v>斯洛伐克</v>
          </cell>
          <cell r="B82">
            <v>6219</v>
          </cell>
          <cell r="C82">
            <v>50</v>
          </cell>
        </row>
        <row r="83">
          <cell r="A83" t="str">
            <v>尼加拉瓜</v>
          </cell>
          <cell r="B83">
            <v>5430</v>
          </cell>
          <cell r="C83">
            <v>2</v>
          </cell>
        </row>
        <row r="84">
          <cell r="A84" t="str">
            <v>柬埔寨</v>
          </cell>
          <cell r="B84">
            <v>516</v>
          </cell>
          <cell r="C84">
            <v>1</v>
          </cell>
        </row>
        <row r="85">
          <cell r="A85" t="str">
            <v>聖克里斯多福</v>
          </cell>
          <cell r="B85">
            <v>194</v>
          </cell>
          <cell r="C85">
            <v>30</v>
          </cell>
        </row>
        <row r="86">
          <cell r="A86" t="str">
            <v>貝南</v>
          </cell>
          <cell r="B86">
            <v>98</v>
          </cell>
          <cell r="C86">
            <v>30</v>
          </cell>
        </row>
        <row r="87">
          <cell r="A87" t="str">
            <v>迦納</v>
          </cell>
          <cell r="B87">
            <v>65</v>
          </cell>
          <cell r="C87">
            <v>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同期比較"/>
      <sheetName val="整車出口全球總表更新至8月(記得隱藏)"/>
      <sheetName val="整車出口比較"/>
      <sheetName val="出口地區"/>
      <sheetName val="整車進口"/>
      <sheetName val="電動輔助自行車"/>
      <sheetName val="電動輔助自行車比較"/>
      <sheetName val="折疊車"/>
      <sheetName val="折疊車比較"/>
      <sheetName val="電輔折疊同期比較 "/>
      <sheetName val="零件"/>
      <sheetName val="零件出口比較"/>
      <sheetName val="零件進口比較"/>
      <sheetName val="零件出進口國別 "/>
    </sheetNames>
    <sheetDataSet>
      <sheetData sheetId="0">
        <row r="67">
          <cell r="C67">
            <v>124913855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2838026</v>
          </cell>
          <cell r="C3">
            <v>17697</v>
          </cell>
        </row>
        <row r="4">
          <cell r="A4" t="str">
            <v>中國大陸</v>
          </cell>
          <cell r="B4">
            <v>1487717</v>
          </cell>
          <cell r="C4">
            <v>16610</v>
          </cell>
        </row>
        <row r="5">
          <cell r="A5" t="str">
            <v>中華民國</v>
          </cell>
          <cell r="B5">
            <v>618852</v>
          </cell>
          <cell r="C5">
            <v>336</v>
          </cell>
        </row>
        <row r="6">
          <cell r="A6" t="str">
            <v>越南</v>
          </cell>
          <cell r="B6">
            <v>465332</v>
          </cell>
          <cell r="C6">
            <v>589</v>
          </cell>
        </row>
        <row r="7">
          <cell r="A7" t="str">
            <v>英國</v>
          </cell>
          <cell r="B7">
            <v>127566</v>
          </cell>
          <cell r="C7">
            <v>106</v>
          </cell>
        </row>
        <row r="8">
          <cell r="A8" t="str">
            <v>德國</v>
          </cell>
          <cell r="B8">
            <v>79694</v>
          </cell>
          <cell r="C8">
            <v>18</v>
          </cell>
        </row>
        <row r="9">
          <cell r="A9" t="str">
            <v>義大利</v>
          </cell>
          <cell r="B9">
            <v>40477</v>
          </cell>
          <cell r="C9">
            <v>6</v>
          </cell>
        </row>
        <row r="10">
          <cell r="A10" t="str">
            <v>美國</v>
          </cell>
          <cell r="B10">
            <v>7843</v>
          </cell>
          <cell r="C10">
            <v>3</v>
          </cell>
        </row>
        <row r="11">
          <cell r="A11" t="str">
            <v>日本</v>
          </cell>
          <cell r="B11">
            <v>4284</v>
          </cell>
          <cell r="C11">
            <v>22</v>
          </cell>
        </row>
        <row r="12">
          <cell r="A12" t="str">
            <v>葡萄牙</v>
          </cell>
          <cell r="B12">
            <v>3163</v>
          </cell>
          <cell r="C12">
            <v>1</v>
          </cell>
        </row>
        <row r="13">
          <cell r="A13" t="str">
            <v>捷克</v>
          </cell>
          <cell r="B13">
            <v>2615</v>
          </cell>
          <cell r="C13">
            <v>3</v>
          </cell>
        </row>
        <row r="14">
          <cell r="A14" t="str">
            <v>法國</v>
          </cell>
          <cell r="B14">
            <v>483</v>
          </cell>
          <cell r="C14">
            <v>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總計</v>
          </cell>
          <cell r="B2">
            <v>16801605</v>
          </cell>
          <cell r="C2">
            <v>115940</v>
          </cell>
        </row>
        <row r="3">
          <cell r="A3" t="str">
            <v>中國大陸</v>
          </cell>
          <cell r="B3">
            <v>10716491</v>
          </cell>
          <cell r="C3">
            <v>109719</v>
          </cell>
        </row>
        <row r="4">
          <cell r="A4" t="str">
            <v>越南</v>
          </cell>
          <cell r="B4">
            <v>2243055</v>
          </cell>
          <cell r="C4">
            <v>2873</v>
          </cell>
        </row>
        <row r="5">
          <cell r="A5" t="str">
            <v>柬埔寨</v>
          </cell>
          <cell r="B5">
            <v>1222019</v>
          </cell>
          <cell r="C5">
            <v>1430</v>
          </cell>
        </row>
        <row r="6">
          <cell r="A6" t="str">
            <v>中華民國</v>
          </cell>
          <cell r="B6">
            <v>807474</v>
          </cell>
          <cell r="C6">
            <v>431</v>
          </cell>
        </row>
        <row r="7">
          <cell r="A7" t="str">
            <v>英國</v>
          </cell>
          <cell r="B7">
            <v>772784</v>
          </cell>
          <cell r="C7">
            <v>624</v>
          </cell>
        </row>
        <row r="8">
          <cell r="A8" t="str">
            <v>德國</v>
          </cell>
          <cell r="B8">
            <v>306565</v>
          </cell>
          <cell r="C8">
            <v>58</v>
          </cell>
        </row>
        <row r="9">
          <cell r="A9" t="str">
            <v>美國</v>
          </cell>
          <cell r="B9">
            <v>212246</v>
          </cell>
          <cell r="C9">
            <v>54</v>
          </cell>
        </row>
        <row r="10">
          <cell r="A10" t="str">
            <v>義大利</v>
          </cell>
          <cell r="B10">
            <v>184860</v>
          </cell>
          <cell r="C10">
            <v>33</v>
          </cell>
        </row>
        <row r="11">
          <cell r="A11" t="str">
            <v>比利時</v>
          </cell>
          <cell r="B11">
            <v>105290</v>
          </cell>
          <cell r="C11">
            <v>69</v>
          </cell>
        </row>
        <row r="12">
          <cell r="A12" t="str">
            <v>印尼</v>
          </cell>
          <cell r="B12">
            <v>86137</v>
          </cell>
          <cell r="C12">
            <v>313</v>
          </cell>
        </row>
        <row r="13">
          <cell r="A13" t="str">
            <v>韓國</v>
          </cell>
          <cell r="B13">
            <v>54195</v>
          </cell>
          <cell r="C13">
            <v>117</v>
          </cell>
        </row>
        <row r="14">
          <cell r="A14" t="str">
            <v>法國</v>
          </cell>
          <cell r="B14">
            <v>44675</v>
          </cell>
          <cell r="C14">
            <v>97</v>
          </cell>
        </row>
        <row r="15">
          <cell r="A15" t="str">
            <v>日本</v>
          </cell>
          <cell r="B15">
            <v>23657</v>
          </cell>
          <cell r="C15">
            <v>105</v>
          </cell>
        </row>
        <row r="16">
          <cell r="A16" t="str">
            <v>西班牙</v>
          </cell>
          <cell r="B16">
            <v>10236</v>
          </cell>
          <cell r="C16">
            <v>4</v>
          </cell>
        </row>
        <row r="17">
          <cell r="A17" t="str">
            <v>葡萄牙</v>
          </cell>
          <cell r="B17">
            <v>3163</v>
          </cell>
          <cell r="C17">
            <v>1</v>
          </cell>
        </row>
        <row r="18">
          <cell r="A18" t="str">
            <v>澳大利亞</v>
          </cell>
          <cell r="B18">
            <v>3105</v>
          </cell>
          <cell r="C18">
            <v>1</v>
          </cell>
        </row>
        <row r="19">
          <cell r="A19" t="str">
            <v>斯洛伐克</v>
          </cell>
          <cell r="B19">
            <v>2647</v>
          </cell>
          <cell r="C19">
            <v>2</v>
          </cell>
        </row>
        <row r="20">
          <cell r="A20" t="str">
            <v>捷克</v>
          </cell>
          <cell r="B20">
            <v>2615</v>
          </cell>
          <cell r="C20">
            <v>3</v>
          </cell>
        </row>
        <row r="21">
          <cell r="A21" t="str">
            <v>瑞士</v>
          </cell>
          <cell r="B21">
            <v>260</v>
          </cell>
          <cell r="C21">
            <v>1</v>
          </cell>
        </row>
        <row r="22">
          <cell r="A22" t="str">
            <v>孟加拉</v>
          </cell>
          <cell r="B22">
            <v>131</v>
          </cell>
          <cell r="C22">
            <v>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88792506</v>
          </cell>
          <cell r="C3">
            <v>50927</v>
          </cell>
        </row>
        <row r="4">
          <cell r="A4" t="str">
            <v>荷蘭</v>
          </cell>
          <cell r="B4">
            <v>34677532</v>
          </cell>
          <cell r="C4">
            <v>19585</v>
          </cell>
        </row>
        <row r="5">
          <cell r="A5" t="str">
            <v>美國</v>
          </cell>
          <cell r="B5">
            <v>14277048</v>
          </cell>
          <cell r="C5">
            <v>6983</v>
          </cell>
        </row>
        <row r="6">
          <cell r="A6" t="str">
            <v>希臘</v>
          </cell>
          <cell r="B6">
            <v>7471885</v>
          </cell>
          <cell r="C6">
            <v>3173</v>
          </cell>
        </row>
        <row r="7">
          <cell r="A7" t="str">
            <v>英國</v>
          </cell>
          <cell r="B7">
            <v>6173660</v>
          </cell>
          <cell r="C7">
            <v>3613</v>
          </cell>
        </row>
        <row r="8">
          <cell r="A8" t="str">
            <v>德國</v>
          </cell>
          <cell r="B8">
            <v>6169107</v>
          </cell>
          <cell r="C8">
            <v>6998</v>
          </cell>
        </row>
        <row r="9">
          <cell r="A9" t="str">
            <v>澳大利亞</v>
          </cell>
          <cell r="B9">
            <v>2923110</v>
          </cell>
          <cell r="C9">
            <v>1141</v>
          </cell>
        </row>
        <row r="10">
          <cell r="A10" t="str">
            <v>紐西蘭</v>
          </cell>
          <cell r="B10">
            <v>2760459</v>
          </cell>
          <cell r="C10">
            <v>1084</v>
          </cell>
        </row>
        <row r="11">
          <cell r="A11" t="str">
            <v>西班牙</v>
          </cell>
          <cell r="B11">
            <v>2372401</v>
          </cell>
          <cell r="C11">
            <v>1125</v>
          </cell>
        </row>
        <row r="12">
          <cell r="A12" t="str">
            <v>加拿大</v>
          </cell>
          <cell r="B12">
            <v>1694481</v>
          </cell>
          <cell r="C12">
            <v>905</v>
          </cell>
        </row>
        <row r="13">
          <cell r="A13" t="str">
            <v>義大利</v>
          </cell>
          <cell r="B13">
            <v>1220691</v>
          </cell>
          <cell r="C13">
            <v>464</v>
          </cell>
        </row>
        <row r="14">
          <cell r="A14" t="str">
            <v>巴拿馬</v>
          </cell>
          <cell r="B14">
            <v>1083796</v>
          </cell>
          <cell r="C14">
            <v>374</v>
          </cell>
        </row>
        <row r="15">
          <cell r="A15" t="str">
            <v>瑞士</v>
          </cell>
          <cell r="B15">
            <v>1071886</v>
          </cell>
          <cell r="C15">
            <v>614</v>
          </cell>
        </row>
        <row r="16">
          <cell r="A16" t="str">
            <v>日本</v>
          </cell>
          <cell r="B16">
            <v>892092</v>
          </cell>
          <cell r="C16">
            <v>724</v>
          </cell>
        </row>
        <row r="17">
          <cell r="A17" t="str">
            <v>法國</v>
          </cell>
          <cell r="B17">
            <v>855357</v>
          </cell>
          <cell r="C17">
            <v>680</v>
          </cell>
        </row>
        <row r="18">
          <cell r="A18" t="str">
            <v>奧地利</v>
          </cell>
          <cell r="B18">
            <v>763073</v>
          </cell>
          <cell r="C18">
            <v>304</v>
          </cell>
        </row>
        <row r="19">
          <cell r="A19" t="str">
            <v>丹麥</v>
          </cell>
          <cell r="B19">
            <v>695255</v>
          </cell>
          <cell r="C19">
            <v>732</v>
          </cell>
        </row>
        <row r="20">
          <cell r="A20" t="str">
            <v>挪威</v>
          </cell>
          <cell r="B20">
            <v>623693</v>
          </cell>
          <cell r="C20">
            <v>350</v>
          </cell>
        </row>
        <row r="21">
          <cell r="A21" t="str">
            <v>捷克</v>
          </cell>
          <cell r="B21">
            <v>485377</v>
          </cell>
          <cell r="C21">
            <v>892</v>
          </cell>
        </row>
        <row r="22">
          <cell r="A22" t="str">
            <v>比利時</v>
          </cell>
          <cell r="B22">
            <v>456714</v>
          </cell>
          <cell r="C22">
            <v>142</v>
          </cell>
        </row>
        <row r="23">
          <cell r="A23" t="str">
            <v>芬蘭</v>
          </cell>
          <cell r="B23">
            <v>425371</v>
          </cell>
          <cell r="C23">
            <v>393</v>
          </cell>
        </row>
        <row r="24">
          <cell r="A24" t="str">
            <v>南非</v>
          </cell>
          <cell r="B24">
            <v>375985</v>
          </cell>
          <cell r="C24">
            <v>140</v>
          </cell>
        </row>
        <row r="25">
          <cell r="A25" t="str">
            <v>以色列</v>
          </cell>
          <cell r="B25">
            <v>242672</v>
          </cell>
          <cell r="C25">
            <v>65</v>
          </cell>
        </row>
        <row r="26">
          <cell r="A26" t="str">
            <v>智利</v>
          </cell>
          <cell r="B26">
            <v>218335</v>
          </cell>
          <cell r="C26">
            <v>85</v>
          </cell>
        </row>
        <row r="27">
          <cell r="A27" t="str">
            <v>波蘭</v>
          </cell>
          <cell r="B27">
            <v>203487</v>
          </cell>
          <cell r="C27">
            <v>139</v>
          </cell>
        </row>
        <row r="28">
          <cell r="A28" t="str">
            <v>新加坡</v>
          </cell>
          <cell r="B28">
            <v>150065</v>
          </cell>
          <cell r="C28">
            <v>51</v>
          </cell>
        </row>
        <row r="29">
          <cell r="A29" t="str">
            <v>南韓</v>
          </cell>
          <cell r="B29">
            <v>127792</v>
          </cell>
          <cell r="C29">
            <v>44</v>
          </cell>
        </row>
        <row r="30">
          <cell r="A30" t="str">
            <v>中國大陸</v>
          </cell>
          <cell r="B30">
            <v>115623</v>
          </cell>
          <cell r="C30">
            <v>40</v>
          </cell>
        </row>
        <row r="31">
          <cell r="A31" t="str">
            <v>墨西哥</v>
          </cell>
          <cell r="B31">
            <v>97966</v>
          </cell>
          <cell r="C31">
            <v>31</v>
          </cell>
        </row>
        <row r="32">
          <cell r="A32" t="str">
            <v>瑞典</v>
          </cell>
          <cell r="B32">
            <v>64203</v>
          </cell>
          <cell r="C32">
            <v>19</v>
          </cell>
        </row>
        <row r="33">
          <cell r="A33" t="str">
            <v>馬來西亞</v>
          </cell>
          <cell r="B33">
            <v>38606</v>
          </cell>
          <cell r="C33">
            <v>12</v>
          </cell>
        </row>
        <row r="34">
          <cell r="A34" t="str">
            <v>模里西斯</v>
          </cell>
          <cell r="B34">
            <v>28115</v>
          </cell>
          <cell r="C34">
            <v>11</v>
          </cell>
        </row>
        <row r="35">
          <cell r="A35" t="str">
            <v>香港</v>
          </cell>
          <cell r="B35">
            <v>25920</v>
          </cell>
          <cell r="C35">
            <v>10</v>
          </cell>
        </row>
        <row r="36">
          <cell r="A36" t="str">
            <v>冰島</v>
          </cell>
          <cell r="B36">
            <v>8425</v>
          </cell>
          <cell r="C36">
            <v>3</v>
          </cell>
        </row>
        <row r="37">
          <cell r="A37" t="str">
            <v>巴西</v>
          </cell>
          <cell r="B37">
            <v>2324</v>
          </cell>
          <cell r="C3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75" sqref="A75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483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42" t="s">
        <v>107</v>
      </c>
      <c r="B3" s="543"/>
      <c r="C3" s="543"/>
      <c r="D3" s="543"/>
      <c r="E3" s="543"/>
      <c r="F3" s="543"/>
      <c r="G3" s="543"/>
      <c r="H3" s="543"/>
      <c r="I3" s="544"/>
    </row>
    <row r="4" spans="1:9" s="13" customFormat="1">
      <c r="A4" s="8" t="s">
        <v>484</v>
      </c>
      <c r="B4" s="8" t="s">
        <v>485</v>
      </c>
      <c r="C4" s="8" t="s">
        <v>486</v>
      </c>
      <c r="D4" s="9" t="s">
        <v>1</v>
      </c>
      <c r="E4" s="10" t="s">
        <v>487</v>
      </c>
      <c r="F4" s="11" t="s">
        <v>2</v>
      </c>
      <c r="G4" s="8" t="s">
        <v>488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40991</v>
      </c>
      <c r="C7" s="22">
        <f>SUM(C8:C10)</f>
        <v>44847291</v>
      </c>
      <c r="D7" s="23">
        <f>IF(B7,C7/B7,0)</f>
        <v>1094.0765289941694</v>
      </c>
      <c r="E7" s="22">
        <f>SUM(E8:E10)</f>
        <v>340723</v>
      </c>
      <c r="F7" s="24">
        <f>E7/$E$67</f>
        <v>0.3841755610027805</v>
      </c>
      <c r="G7" s="22">
        <f>SUM(G8:G10)</f>
        <v>346016909</v>
      </c>
      <c r="H7" s="24">
        <f>G7/$G$67</f>
        <v>0.39686429833091424</v>
      </c>
      <c r="I7" s="25">
        <f>IF(E7,G7/E7,0)</f>
        <v>1015.5372810171312</v>
      </c>
    </row>
    <row r="8" spans="1:9">
      <c r="A8" s="444" t="s">
        <v>200</v>
      </c>
      <c r="B8" s="27">
        <f>VLOOKUP(A8,[1]進出口值表查詢結果!$A$3:$C$59,3,0)</f>
        <v>38883</v>
      </c>
      <c r="C8" s="28">
        <f>VLOOKUP(A8,[1]進出口值表查詢結果!$A$3:$C$59,2,0)</f>
        <v>41113559</v>
      </c>
      <c r="D8" s="23">
        <f t="shared" ref="D8:D67" si="0">IF(B8,C8/B8,0)</f>
        <v>1057.3659182676233</v>
      </c>
      <c r="E8" s="27">
        <f>VLOOKUP(A8,[2]進出口值表查詢結果!$A$2:$C$87,3,0)</f>
        <v>308934</v>
      </c>
      <c r="F8" s="29">
        <f>E8/$E$67</f>
        <v>0.34833249520235787</v>
      </c>
      <c r="G8" s="27">
        <f>VLOOKUP(A8,[2]進出口值表查詢結果!$A$2:$C$87,2,0)</f>
        <v>304630779</v>
      </c>
      <c r="H8" s="24">
        <f>G8/$G$67</f>
        <v>0.34939645206134945</v>
      </c>
      <c r="I8" s="25">
        <f t="shared" ref="I8:I67" si="1">IF(E8,G8/E8,0)</f>
        <v>986.07074326555187</v>
      </c>
    </row>
    <row r="9" spans="1:9">
      <c r="A9" s="445" t="s">
        <v>7</v>
      </c>
      <c r="B9" s="27">
        <f>VLOOKUP(A9,[1]進出口值表查詢結果!$A$3:$C$59,3,0)</f>
        <v>1449</v>
      </c>
      <c r="C9" s="28">
        <f>VLOOKUP(A9,[1]進出口值表查詢結果!$A$3:$C$59,2,0)</f>
        <v>2627019</v>
      </c>
      <c r="D9" s="23">
        <f t="shared" si="0"/>
        <v>1812.9875776397516</v>
      </c>
      <c r="E9" s="27">
        <f>VLOOKUP(A9,[2]進出口值表查詢結果!$A$2:$C$87,3,0)</f>
        <v>25817</v>
      </c>
      <c r="F9" s="29">
        <f>E9/$E$67</f>
        <v>2.910945389189689E-2</v>
      </c>
      <c r="G9" s="27">
        <f>VLOOKUP(A9,[2]進出口值表查詢結果!$A$2:$C$87,2,0)</f>
        <v>33336370</v>
      </c>
      <c r="H9" s="24">
        <f>G9/$G$67</f>
        <v>3.8235169278821979E-2</v>
      </c>
      <c r="I9" s="25">
        <f t="shared" si="1"/>
        <v>1291.2565363907502</v>
      </c>
    </row>
    <row r="10" spans="1:9">
      <c r="A10" s="445" t="s">
        <v>8</v>
      </c>
      <c r="B10" s="27">
        <f>VLOOKUP(A10,[1]進出口值表查詢結果!$A$3:$C$59,3,0)</f>
        <v>659</v>
      </c>
      <c r="C10" s="28">
        <f>VLOOKUP(A10,[1]進出口值表查詢結果!$A$3:$C$59,2,0)</f>
        <v>1106713</v>
      </c>
      <c r="D10" s="23">
        <f t="shared" si="0"/>
        <v>1679.3823975720788</v>
      </c>
      <c r="E10" s="27">
        <f>VLOOKUP(A10,[2]進出口值表查詢結果!$A$2:$C$87,3,0)</f>
        <v>5972</v>
      </c>
      <c r="F10" s="29">
        <f>E10/$E$67</f>
        <v>6.7336119085257091E-3</v>
      </c>
      <c r="G10" s="27">
        <f>VLOOKUP(A10,[2]進出口值表查詢結果!$A$2:$C$87,2,0)</f>
        <v>8049760</v>
      </c>
      <c r="H10" s="24">
        <f>G10/$G$67</f>
        <v>9.2326769907428441E-3</v>
      </c>
      <c r="I10" s="25">
        <f t="shared" si="1"/>
        <v>1347.9169457468186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29164</v>
      </c>
      <c r="C12" s="33">
        <f>SUM(C13:C39)</f>
        <v>30110421</v>
      </c>
      <c r="D12" s="23">
        <f t="shared" si="0"/>
        <v>1032.4516870113839</v>
      </c>
      <c r="E12" s="33">
        <f>SUM(E13:E39)</f>
        <v>264536</v>
      </c>
      <c r="F12" s="24">
        <f t="shared" ref="F12:F27" si="2">E12/$E$67</f>
        <v>0.29827239782882736</v>
      </c>
      <c r="G12" s="33">
        <f>SUM(G13:G39)</f>
        <v>233728725</v>
      </c>
      <c r="H12" s="24">
        <f t="shared" ref="H12:H39" si="3">G12/$G$67</f>
        <v>0.26807529931117968</v>
      </c>
      <c r="I12" s="25">
        <f t="shared" si="1"/>
        <v>883.54222109656155</v>
      </c>
    </row>
    <row r="13" spans="1:9">
      <c r="A13" s="444" t="s">
        <v>201</v>
      </c>
      <c r="B13" s="27">
        <f>VLOOKUP(A13,[1]進出口值表查詢結果!$A$3:$C$59,3,0)</f>
        <v>7844</v>
      </c>
      <c r="C13" s="28">
        <f>VLOOKUP(A13,[1]進出口值表查詢結果!$A$3:$C$59,2,0)</f>
        <v>13443732</v>
      </c>
      <c r="D13" s="23">
        <f t="shared" si="0"/>
        <v>1713.8873023967365</v>
      </c>
      <c r="E13" s="27">
        <f>VLOOKUP(A13,[2]進出口值表查詢結果!$A$2:$C$87,3,0)</f>
        <v>81996</v>
      </c>
      <c r="F13" s="29">
        <f t="shared" si="2"/>
        <v>9.2452987617460486E-2</v>
      </c>
      <c r="G13" s="27">
        <f>VLOOKUP(A13,[2]進出口值表查詢結果!$A$2:$C$87,2,0)</f>
        <v>106290863</v>
      </c>
      <c r="H13" s="24">
        <f t="shared" si="3"/>
        <v>0.1219103681533735</v>
      </c>
      <c r="I13" s="25">
        <f t="shared" si="1"/>
        <v>1296.2932704034342</v>
      </c>
    </row>
    <row r="14" spans="1:9">
      <c r="A14" s="444" t="s">
        <v>202</v>
      </c>
      <c r="B14" s="27">
        <f>VLOOKUP(A14,[1]進出口值表查詢結果!$A$3:$C$59,3,0)</f>
        <v>6908</v>
      </c>
      <c r="C14" s="28">
        <f>VLOOKUP(A14,[1]進出口值表查詢結果!$A$3:$C$59,2,0)</f>
        <v>5384406</v>
      </c>
      <c r="D14" s="23">
        <f t="shared" si="0"/>
        <v>779.44499131441808</v>
      </c>
      <c r="E14" s="27">
        <f>VLOOKUP(A14,[2]進出口值表查詢結果!$A$2:$C$87,3,0)</f>
        <v>62577</v>
      </c>
      <c r="F14" s="29">
        <f t="shared" si="2"/>
        <v>7.0557473610149579E-2</v>
      </c>
      <c r="G14" s="27">
        <f>VLOOKUP(A14,[2]進出口值表查詢結果!$A$2:$C$87,2,0)</f>
        <v>33963710</v>
      </c>
      <c r="H14" s="24">
        <f t="shared" si="3"/>
        <v>3.8954697262683934E-2</v>
      </c>
      <c r="I14" s="25">
        <f t="shared" si="1"/>
        <v>542.7506911485051</v>
      </c>
    </row>
    <row r="15" spans="1:9">
      <c r="A15" s="445" t="s">
        <v>10</v>
      </c>
      <c r="B15" s="27">
        <f>VLOOKUP(A15,[1]進出口值表查詢結果!$A$3:$C$59,3,0)</f>
        <v>803</v>
      </c>
      <c r="C15" s="28">
        <f>VLOOKUP(A15,[1]進出口值表查詢結果!$A$3:$C$59,2,0)</f>
        <v>1123271</v>
      </c>
      <c r="D15" s="23">
        <f t="shared" si="0"/>
        <v>1398.8430884184309</v>
      </c>
      <c r="E15" s="27">
        <f>VLOOKUP(A15,[2]進出口值表查詢結果!$A$2:$C$87,3,0)</f>
        <v>7651</v>
      </c>
      <c r="F15" s="29">
        <f t="shared" si="2"/>
        <v>8.6267355512609171E-3</v>
      </c>
      <c r="G15" s="27">
        <f>VLOOKUP(A15,[2]進出口值表查詢結果!$A$2:$C$87,2,0)</f>
        <v>8246028</v>
      </c>
      <c r="H15" s="24">
        <f t="shared" si="3"/>
        <v>9.4577866893697741E-3</v>
      </c>
      <c r="I15" s="25">
        <f t="shared" si="1"/>
        <v>1077.7712717291856</v>
      </c>
    </row>
    <row r="16" spans="1:9">
      <c r="A16" s="444" t="s">
        <v>203</v>
      </c>
      <c r="B16" s="27">
        <f>VLOOKUP(A16,[1]進出口值表查詢結果!$A$3:$C$59,3,0)</f>
        <v>1214</v>
      </c>
      <c r="C16" s="28">
        <f>VLOOKUP(A16,[1]進出口值表查詢結果!$A$3:$C$59,2,0)</f>
        <v>848354</v>
      </c>
      <c r="D16" s="23">
        <f t="shared" si="0"/>
        <v>698.80889621087317</v>
      </c>
      <c r="E16" s="27">
        <f>VLOOKUP(A16,[2]進出口值表查詢結果!$A$2:$C$87,3,0)</f>
        <v>24963</v>
      </c>
      <c r="F16" s="29">
        <f t="shared" si="2"/>
        <v>2.8146542878855874E-2</v>
      </c>
      <c r="G16" s="27">
        <f>VLOOKUP(A16,[2]進出口值表查詢結果!$A$2:$C$87,2,0)</f>
        <v>20565869</v>
      </c>
      <c r="H16" s="24">
        <f t="shared" si="3"/>
        <v>2.3588035607388487E-2</v>
      </c>
      <c r="I16" s="25">
        <f t="shared" si="1"/>
        <v>823.85406401474177</v>
      </c>
    </row>
    <row r="17" spans="1:9">
      <c r="A17" s="445" t="s">
        <v>11</v>
      </c>
      <c r="B17" s="27">
        <f>VLOOKUP(A17,[1]進出口值表查詢結果!$A$3:$C$59,3,0)</f>
        <v>1778</v>
      </c>
      <c r="C17" s="28">
        <f>VLOOKUP(A17,[1]進出口值表查詢結果!$A$3:$C$59,2,0)</f>
        <v>2048194</v>
      </c>
      <c r="D17" s="23">
        <f t="shared" si="0"/>
        <v>1151.9651293588302</v>
      </c>
      <c r="E17" s="27">
        <f>VLOOKUP(A17,[2]進出口值表查詢結果!$A$2:$C$87,3,0)</f>
        <v>8856</v>
      </c>
      <c r="F17" s="29">
        <f t="shared" si="2"/>
        <v>9.9854097558445543E-3</v>
      </c>
      <c r="G17" s="27">
        <f>VLOOKUP(A17,[2]進出口值表查詢結果!$A$2:$C$87,2,0)</f>
        <v>13599361</v>
      </c>
      <c r="H17" s="24">
        <f t="shared" si="3"/>
        <v>1.5597795138427182E-2</v>
      </c>
      <c r="I17" s="25">
        <f t="shared" si="1"/>
        <v>1535.6098690153567</v>
      </c>
    </row>
    <row r="18" spans="1:9">
      <c r="A18" s="445" t="s">
        <v>12</v>
      </c>
      <c r="B18" s="27">
        <f>VLOOKUP(A18,[1]進出口值表查詢結果!$A$3:$C$59,3,0)</f>
        <v>3639</v>
      </c>
      <c r="C18" s="28">
        <f>VLOOKUP(A18,[1]進出口值表查詢結果!$A$3:$C$59,2,0)</f>
        <v>3868368</v>
      </c>
      <c r="D18" s="23">
        <f t="shared" si="0"/>
        <v>1063.0305028854082</v>
      </c>
      <c r="E18" s="27">
        <f>VLOOKUP(A18,[2]進出口值表查詢結果!$A$2:$C$87,3,0)</f>
        <v>20073</v>
      </c>
      <c r="F18" s="29">
        <f t="shared" si="2"/>
        <v>2.2632918928304848E-2</v>
      </c>
      <c r="G18" s="27">
        <f>VLOOKUP(A18,[2]進出口值表查詢結果!$A$2:$C$87,2,0)</f>
        <v>28483948</v>
      </c>
      <c r="H18" s="24">
        <f t="shared" si="3"/>
        <v>3.2669680997336026E-2</v>
      </c>
      <c r="I18" s="25">
        <f t="shared" si="1"/>
        <v>1419.0179843570966</v>
      </c>
    </row>
    <row r="19" spans="1:9">
      <c r="A19" s="444" t="s">
        <v>204</v>
      </c>
      <c r="B19" s="27">
        <f>VLOOKUP(A19,[1]進出口值表查詢結果!$A$3:$C$59,3,0)</f>
        <v>3559</v>
      </c>
      <c r="C19" s="28">
        <f>VLOOKUP(A19,[1]進出口值表查詢結果!$A$3:$C$59,2,0)</f>
        <v>931860</v>
      </c>
      <c r="D19" s="23">
        <f t="shared" si="0"/>
        <v>261.83197527395333</v>
      </c>
      <c r="E19" s="27">
        <f>VLOOKUP(A19,[2]進出口值表查詢結果!$A$2:$C$87,3,0)</f>
        <v>12260</v>
      </c>
      <c r="F19" s="29">
        <f t="shared" si="2"/>
        <v>1.3823523442485799E-2</v>
      </c>
      <c r="G19" s="27">
        <f>VLOOKUP(A19,[2]進出口值表查詢結果!$A$2:$C$87,2,0)</f>
        <v>4436453</v>
      </c>
      <c r="H19" s="24">
        <f t="shared" si="3"/>
        <v>5.088392391029305E-3</v>
      </c>
      <c r="I19" s="25">
        <f t="shared" si="1"/>
        <v>361.86402936378465</v>
      </c>
    </row>
    <row r="20" spans="1:9">
      <c r="A20" s="445" t="s">
        <v>205</v>
      </c>
      <c r="B20" s="27">
        <f>VLOOKUP(A20,[1]進出口值表查詢結果!$A$3:$C$59,3,0)</f>
        <v>5</v>
      </c>
      <c r="C20" s="28">
        <f>VLOOKUP(A20,[1]進出口值表查詢結果!$A$3:$C$59,2,0)</f>
        <v>5165</v>
      </c>
      <c r="D20" s="23">
        <f t="shared" si="0"/>
        <v>1033</v>
      </c>
      <c r="E20" s="27">
        <f>VLOOKUP(A20,[2]進出口值表查詢結果!$A$2:$C$87,3,0)</f>
        <v>85</v>
      </c>
      <c r="F20" s="29">
        <f t="shared" si="2"/>
        <v>9.5840089120007574E-5</v>
      </c>
      <c r="G20" s="27">
        <f>VLOOKUP(A20,[2]進出口值表查詢結果!$A$2:$C$87,2,0)</f>
        <v>175126</v>
      </c>
      <c r="H20" s="24">
        <f t="shared" si="3"/>
        <v>2.0086086922850262E-4</v>
      </c>
      <c r="I20" s="25">
        <f t="shared" si="1"/>
        <v>2060.3058823529414</v>
      </c>
    </row>
    <row r="21" spans="1:9">
      <c r="A21" s="444" t="s">
        <v>206</v>
      </c>
      <c r="B21" s="27">
        <v>0</v>
      </c>
      <c r="C21" s="28">
        <v>0</v>
      </c>
      <c r="D21" s="23">
        <f t="shared" si="0"/>
        <v>0</v>
      </c>
      <c r="E21" s="27">
        <f>VLOOKUP(A21,[2]進出口值表查詢結果!$A$2:$C$87,3,0)</f>
        <v>1173</v>
      </c>
      <c r="F21" s="29">
        <f t="shared" si="2"/>
        <v>1.3225932298561046E-3</v>
      </c>
      <c r="G21" s="27">
        <f>VLOOKUP(A21,[2]進出口值表查詢結果!$A$2:$C$87,2,0)</f>
        <v>274590</v>
      </c>
      <c r="H21" s="24">
        <f t="shared" si="3"/>
        <v>3.1494116282821815E-4</v>
      </c>
      <c r="I21" s="25">
        <f t="shared" si="1"/>
        <v>234.0920716112532</v>
      </c>
    </row>
    <row r="22" spans="1:9">
      <c r="A22" s="445" t="s">
        <v>14</v>
      </c>
      <c r="B22" s="27">
        <v>0</v>
      </c>
      <c r="C22" s="27"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45" t="s">
        <v>15</v>
      </c>
      <c r="B23" s="27">
        <f>VLOOKUP(A23,[1]進出口值表查詢結果!$A$3:$C$59,3,0)</f>
        <v>49</v>
      </c>
      <c r="C23" s="28">
        <f>VLOOKUP(A23,[1]進出口值表查詢結果!$A$3:$C$59,2,0)</f>
        <v>128955</v>
      </c>
      <c r="D23" s="23">
        <f t="shared" si="0"/>
        <v>2631.7346938775509</v>
      </c>
      <c r="E23" s="27">
        <f>VLOOKUP(A23,[2]進出口值表查詢結果!$A$2:$C$87,3,0)</f>
        <v>68</v>
      </c>
      <c r="F23" s="29">
        <f t="shared" si="2"/>
        <v>7.667207129600606E-5</v>
      </c>
      <c r="G23" s="27">
        <f>VLOOKUP(A23,[2]進出口值表查詢結果!$A$2:$C$87,2,0)</f>
        <v>164946</v>
      </c>
      <c r="H23" s="24">
        <f t="shared" si="3"/>
        <v>1.8918491221043472E-4</v>
      </c>
      <c r="I23" s="25">
        <f t="shared" si="1"/>
        <v>2425.6764705882351</v>
      </c>
    </row>
    <row r="24" spans="1:9">
      <c r="A24" s="445" t="s">
        <v>16</v>
      </c>
      <c r="B24" s="27">
        <f>VLOOKUP(A24,[1]進出口值表查詢結果!$A$3:$C$59,3,0)</f>
        <v>546</v>
      </c>
      <c r="C24" s="28">
        <f>VLOOKUP(A24,[1]進出口值表查詢結果!$A$3:$C$59,2,0)</f>
        <v>382085</v>
      </c>
      <c r="D24" s="23">
        <f t="shared" si="0"/>
        <v>699.78937728937728</v>
      </c>
      <c r="E24" s="27">
        <f>VLOOKUP(A24,[2]進出口值表查詢結果!$A$2:$C$87,3,0)</f>
        <v>1636</v>
      </c>
      <c r="F24" s="29">
        <f t="shared" si="2"/>
        <v>1.8446398329450869E-3</v>
      </c>
      <c r="G24" s="27">
        <f>VLOOKUP(A24,[2]進出口值表查詢結果!$A$2:$C$87,2,0)</f>
        <v>1137475</v>
      </c>
      <c r="H24" s="24">
        <f t="shared" si="3"/>
        <v>1.3046276236863231E-3</v>
      </c>
      <c r="I24" s="25">
        <f t="shared" si="1"/>
        <v>695.27811735941316</v>
      </c>
    </row>
    <row r="25" spans="1:9">
      <c r="A25" s="444" t="s">
        <v>207</v>
      </c>
      <c r="B25" s="27">
        <f>VLOOKUP(A25,[1]進出口值表查詢結果!$A$3:$C$59,3,0)</f>
        <v>140</v>
      </c>
      <c r="C25" s="28">
        <f>VLOOKUP(A25,[1]進出口值表查詢結果!$A$3:$C$59,2,0)</f>
        <v>203647</v>
      </c>
      <c r="D25" s="23">
        <f t="shared" si="0"/>
        <v>1454.6214285714286</v>
      </c>
      <c r="E25" s="27">
        <f>VLOOKUP(A25,[2]進出口值表查詢結果!$A$2:$C$87,3,0)</f>
        <v>21089</v>
      </c>
      <c r="F25" s="29">
        <f t="shared" si="2"/>
        <v>2.3778489875903999E-2</v>
      </c>
      <c r="G25" s="27">
        <f>VLOOKUP(A25,[2]進出口值表查詢結果!$A$2:$C$87,2,0)</f>
        <v>4656154</v>
      </c>
      <c r="H25" s="24">
        <f t="shared" si="3"/>
        <v>5.3403785828590239E-3</v>
      </c>
      <c r="I25" s="25">
        <f t="shared" si="1"/>
        <v>220.78590734506142</v>
      </c>
    </row>
    <row r="26" spans="1:9">
      <c r="A26" s="444" t="s">
        <v>208</v>
      </c>
      <c r="B26" s="27">
        <f>VLOOKUP(A26,[1]進出口值表查詢結果!$A$3:$C$59,3,0)</f>
        <v>145</v>
      </c>
      <c r="C26" s="28">
        <f>VLOOKUP(A26,[1]進出口值表查詢結果!$A$3:$C$59,2,0)</f>
        <v>98516</v>
      </c>
      <c r="D26" s="23">
        <f t="shared" si="0"/>
        <v>679.4206896551724</v>
      </c>
      <c r="E26" s="27">
        <f>VLOOKUP(A26,[2]進出口值表查詢結果!$A$2:$C$87,3,0)</f>
        <v>1897</v>
      </c>
      <c r="F26" s="29">
        <f t="shared" si="2"/>
        <v>2.1389252830665219E-3</v>
      </c>
      <c r="G26" s="27">
        <f>VLOOKUP(A26,[2]進出口值表查詢結果!$A$2:$C$87,2,0)</f>
        <v>1031394</v>
      </c>
      <c r="H26" s="24">
        <f t="shared" si="3"/>
        <v>1.1829579580248633E-3</v>
      </c>
      <c r="I26" s="25">
        <f t="shared" si="1"/>
        <v>543.69741697416976</v>
      </c>
    </row>
    <row r="27" spans="1:9">
      <c r="A27" s="446" t="s">
        <v>209</v>
      </c>
      <c r="B27" s="27">
        <f>VLOOKUP(A27,[1]進出口值表查詢結果!$A$3:$C$59,3,0)</f>
        <v>531</v>
      </c>
      <c r="C27" s="28">
        <f>VLOOKUP(A27,[1]進出口值表查詢結果!$A$3:$C$59,2,0)</f>
        <v>444771</v>
      </c>
      <c r="D27" s="23">
        <f t="shared" si="0"/>
        <v>837.61016949152543</v>
      </c>
      <c r="E27" s="27">
        <f>VLOOKUP(A27,[2]進出口值表查詢結果!$A$2:$C$87,3,0)</f>
        <v>9075</v>
      </c>
      <c r="F27" s="29">
        <f t="shared" si="2"/>
        <v>1.0232338926636103E-2</v>
      </c>
      <c r="G27" s="27">
        <f>VLOOKUP(A27,[2]進出口值表查詢結果!$A$2:$C$87,2,0)</f>
        <v>5129095</v>
      </c>
      <c r="H27" s="24">
        <f t="shared" si="3"/>
        <v>5.88281854239557E-3</v>
      </c>
      <c r="I27" s="25">
        <f t="shared" si="1"/>
        <v>565.18953168044072</v>
      </c>
    </row>
    <row r="28" spans="1:9">
      <c r="A28" s="446" t="s">
        <v>210</v>
      </c>
      <c r="B28" s="27">
        <f>VLOOKUP(A28,[1]進出口值表查詢結果!$A$3:$C$59,3,0)</f>
        <v>1167</v>
      </c>
      <c r="C28" s="28">
        <f>VLOOKUP(A28,[1]進出口值表查詢結果!$A$3:$C$59,2,0)</f>
        <v>571079</v>
      </c>
      <c r="D28" s="23">
        <f t="shared" si="0"/>
        <v>489.35646958011995</v>
      </c>
      <c r="E28" s="27">
        <f>VLOOKUP(A28,[2]進出口值表查詢結果!$A$2:$C$87,3,0)</f>
        <v>6107</v>
      </c>
      <c r="F28" s="29">
        <f t="shared" ref="F28:F39" si="4">E28/$E$67</f>
        <v>6.885828520657486E-3</v>
      </c>
      <c r="G28" s="27">
        <f>VLOOKUP(A28,[2]進出口值表查詢結果!$A$2:$C$87,2,0)</f>
        <v>2861195</v>
      </c>
      <c r="H28" s="24">
        <f t="shared" si="3"/>
        <v>3.2816492966906432E-3</v>
      </c>
      <c r="I28" s="25">
        <f t="shared" si="1"/>
        <v>468.51072539708531</v>
      </c>
    </row>
    <row r="29" spans="1:9">
      <c r="A29" s="445" t="s">
        <v>211</v>
      </c>
      <c r="B29" s="27">
        <f>VLOOKUP(A29,[1]進出口值表查詢結果!$A$3:$C$59,3,0)</f>
        <v>1</v>
      </c>
      <c r="C29" s="28">
        <f>VLOOKUP(A29,[1]進出口值表查詢結果!$A$3:$C$59,2,0)</f>
        <v>1711</v>
      </c>
      <c r="D29" s="23">
        <f t="shared" si="0"/>
        <v>1711</v>
      </c>
      <c r="E29" s="27">
        <f>VLOOKUP(A29,[2]進出口值表查詢結果!$A$2:$C$87,3,0)</f>
        <v>1139</v>
      </c>
      <c r="F29" s="29">
        <f t="shared" si="4"/>
        <v>1.2842571942081014E-3</v>
      </c>
      <c r="G29" s="27">
        <f>VLOOKUP(A29,[2]進出口值表查詢結果!$A$2:$C$87,2,0)</f>
        <v>509486</v>
      </c>
      <c r="H29" s="24">
        <f t="shared" si="3"/>
        <v>5.8435526889070088E-4</v>
      </c>
      <c r="I29" s="25">
        <f t="shared" si="1"/>
        <v>447.3099209833187</v>
      </c>
    </row>
    <row r="30" spans="1:9">
      <c r="A30" s="445" t="s">
        <v>212</v>
      </c>
      <c r="B30" s="27">
        <v>0</v>
      </c>
      <c r="C30" s="27">
        <v>0</v>
      </c>
      <c r="D30" s="23">
        <f t="shared" si="0"/>
        <v>0</v>
      </c>
      <c r="E30" s="27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45" t="s">
        <v>17</v>
      </c>
      <c r="B31" s="27">
        <f>VLOOKUP(A31,[1]進出口值表查詢結果!$A$3:$C$59,3,0)</f>
        <v>255</v>
      </c>
      <c r="C31" s="28">
        <f>VLOOKUP(A31,[1]進出口值表查詢結果!$A$3:$C$59,2,0)</f>
        <v>432311</v>
      </c>
      <c r="D31" s="23">
        <f t="shared" si="0"/>
        <v>1695.3372549019607</v>
      </c>
      <c r="E31" s="27">
        <f>VLOOKUP(A31,[2]進出口值表查詢結果!$A$2:$C$87,3,0)</f>
        <v>1229</v>
      </c>
      <c r="F31" s="29">
        <f t="shared" si="4"/>
        <v>1.3857349356292861E-3</v>
      </c>
      <c r="G31" s="27">
        <f>VLOOKUP(A31,[2]進出口值表查詢結果!$A$2:$C$87,2,0)</f>
        <v>1312527</v>
      </c>
      <c r="H31" s="24">
        <f t="shared" si="3"/>
        <v>1.5054036185710793E-3</v>
      </c>
      <c r="I31" s="25">
        <f t="shared" si="1"/>
        <v>1067.9633848657445</v>
      </c>
    </row>
    <row r="32" spans="1:9">
      <c r="A32" s="445" t="s">
        <v>18</v>
      </c>
      <c r="B32" s="27">
        <v>0</v>
      </c>
      <c r="C32" s="28">
        <v>0</v>
      </c>
      <c r="D32" s="23">
        <f t="shared" si="0"/>
        <v>0</v>
      </c>
      <c r="E32" s="27">
        <f>VLOOKUP(A32,[2]進出口值表查詢結果!$A$2:$C$87,3,0)</f>
        <v>50</v>
      </c>
      <c r="F32" s="29">
        <f t="shared" si="4"/>
        <v>5.6376523011769165E-5</v>
      </c>
      <c r="G32" s="27">
        <f>VLOOKUP(A32,[2]進出口值表查詢結果!$A$2:$C$87,2,0)</f>
        <v>6219</v>
      </c>
      <c r="H32" s="24">
        <f t="shared" si="3"/>
        <v>7.1328857264601363E-6</v>
      </c>
      <c r="I32" s="25">
        <f t="shared" si="1"/>
        <v>124.38</v>
      </c>
    </row>
    <row r="33" spans="1:9">
      <c r="A33" s="445" t="s">
        <v>213</v>
      </c>
      <c r="B33" s="27">
        <f>VLOOKUP(A33,[1]進出口值表查詢結果!$A$3:$C$59,3,0)</f>
        <v>217</v>
      </c>
      <c r="C33" s="28">
        <f>VLOOKUP(A33,[1]進出口值表查詢結果!$A$3:$C$59,2,0)</f>
        <v>118043</v>
      </c>
      <c r="D33" s="23">
        <f t="shared" si="0"/>
        <v>543.97695852534559</v>
      </c>
      <c r="E33" s="27">
        <f>VLOOKUP(A33,[2]進出口值表查詢結果!$A$2:$C$87,3,0)</f>
        <v>914</v>
      </c>
      <c r="F33" s="29">
        <f t="shared" si="4"/>
        <v>1.0305628406551404E-3</v>
      </c>
      <c r="G33" s="27">
        <f>VLOOKUP(A33,[2]進出口值表查詢結果!$A$2:$C$87,2,0)</f>
        <v>417091</v>
      </c>
      <c r="H33" s="24">
        <f t="shared" si="3"/>
        <v>4.783827690199364E-4</v>
      </c>
      <c r="I33" s="25">
        <f t="shared" si="1"/>
        <v>456.33588621444204</v>
      </c>
    </row>
    <row r="34" spans="1:9">
      <c r="A34" s="445" t="s">
        <v>214</v>
      </c>
      <c r="B34" s="27">
        <v>0</v>
      </c>
      <c r="C34" s="28">
        <v>0</v>
      </c>
      <c r="D34" s="23">
        <f t="shared" si="0"/>
        <v>0</v>
      </c>
      <c r="E34" s="27">
        <f>VLOOKUP(A34,[2]進出口值表查詢結果!$A$2:$C$87,3,0)</f>
        <v>263</v>
      </c>
      <c r="F34" s="29">
        <f t="shared" si="4"/>
        <v>2.9654051104190582E-4</v>
      </c>
      <c r="G34" s="27">
        <f>VLOOKUP(A34,[2]進出口值表查詢結果!$A$2:$C$87,2,0)</f>
        <v>84494</v>
      </c>
      <c r="H34" s="24">
        <f t="shared" si="3"/>
        <v>9.6910443249963459E-5</v>
      </c>
      <c r="I34" s="25">
        <f t="shared" si="1"/>
        <v>321.26996197718631</v>
      </c>
    </row>
    <row r="35" spans="1:9">
      <c r="A35" s="445" t="s">
        <v>215</v>
      </c>
      <c r="B35" s="27">
        <v>0</v>
      </c>
      <c r="C35" s="28">
        <v>0</v>
      </c>
      <c r="D35" s="23">
        <f t="shared" si="0"/>
        <v>0</v>
      </c>
      <c r="E35" s="27">
        <f>VLOOKUP(A35,[2]進出口值表查詢結果!$A$2:$C$87,3,0)</f>
        <v>409</v>
      </c>
      <c r="F35" s="29">
        <f t="shared" si="4"/>
        <v>4.6115995823627174E-4</v>
      </c>
      <c r="G35" s="27">
        <f>VLOOKUP(A35,[2]進出口值表查詢結果!$A$2:$C$87,2,0)</f>
        <v>165765</v>
      </c>
      <c r="H35" s="24">
        <f t="shared" si="3"/>
        <v>1.9012426474459952E-4</v>
      </c>
      <c r="I35" s="25">
        <f t="shared" si="1"/>
        <v>405.29339853300735</v>
      </c>
    </row>
    <row r="36" spans="1:9">
      <c r="A36" s="445" t="s">
        <v>216</v>
      </c>
      <c r="B36" s="27">
        <v>0</v>
      </c>
      <c r="C36" s="27">
        <v>0</v>
      </c>
      <c r="D36" s="23">
        <f t="shared" si="0"/>
        <v>0</v>
      </c>
      <c r="E36" s="27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45" t="s">
        <v>217</v>
      </c>
      <c r="B37" s="27">
        <f>VLOOKUP(A37,[1]進出口值表查詢結果!$A$3:$C$59,3,0)</f>
        <v>53</v>
      </c>
      <c r="C37" s="28">
        <f>VLOOKUP(A37,[1]進出口值表查詢結果!$A$3:$C$59,2,0)</f>
        <v>6811</v>
      </c>
      <c r="D37" s="23">
        <f t="shared" si="0"/>
        <v>128.50943396226415</v>
      </c>
      <c r="E37" s="27">
        <f>VLOOKUP(A37,[2]進出口值表查詢結果!$A$2:$C$87,3,0)</f>
        <v>53</v>
      </c>
      <c r="F37" s="29">
        <f t="shared" si="4"/>
        <v>5.9759114392475312E-5</v>
      </c>
      <c r="G37" s="27">
        <f>VLOOKUP(A37,[2]進出口值表查詢結果!$A$2:$C$87,2,0)</f>
        <v>6811</v>
      </c>
      <c r="H37" s="24">
        <f t="shared" si="3"/>
        <v>7.8118804764302923E-6</v>
      </c>
      <c r="I37" s="25">
        <f t="shared" si="1"/>
        <v>128.50943396226415</v>
      </c>
    </row>
    <row r="38" spans="1:9">
      <c r="A38" s="445" t="s">
        <v>218</v>
      </c>
      <c r="B38" s="27">
        <f>VLOOKUP(A38,[1]進出口值表查詢結果!$A$3:$C$59,3,0)</f>
        <v>70</v>
      </c>
      <c r="C38" s="28">
        <f>VLOOKUP(A38,[1]進出口值表查詢結果!$A$3:$C$59,2,0)</f>
        <v>12492</v>
      </c>
      <c r="D38" s="23">
        <f t="shared" si="0"/>
        <v>178.45714285714286</v>
      </c>
      <c r="E38" s="27">
        <f>VLOOKUP(A38,[2]進出口值表查詢結果!$A$2:$C$87,3,0)</f>
        <v>395</v>
      </c>
      <c r="F38" s="29">
        <f t="shared" si="4"/>
        <v>4.4537453179297636E-4</v>
      </c>
      <c r="G38" s="27">
        <f>VLOOKUP(A38,[2]進出口值表查詢結果!$A$2:$C$87,2,0)</f>
        <v>61429</v>
      </c>
      <c r="H38" s="24">
        <f t="shared" si="3"/>
        <v>7.0456027864724177E-5</v>
      </c>
      <c r="I38" s="25">
        <f t="shared" si="1"/>
        <v>155.51645569620254</v>
      </c>
    </row>
    <row r="39" spans="1:9">
      <c r="A39" s="445" t="s">
        <v>19</v>
      </c>
      <c r="B39" s="27">
        <f>VLOOKUP(A39,[1]進出口值表查詢結果!$A$3:$C$59,3,0)</f>
        <v>240</v>
      </c>
      <c r="C39" s="28">
        <f>VLOOKUP(A39,[1]進出口值表查詢結果!$A$3:$C$59,2,0)</f>
        <v>56650</v>
      </c>
      <c r="D39" s="23">
        <f t="shared" si="0"/>
        <v>236.04166666666666</v>
      </c>
      <c r="E39" s="27">
        <f>VLOOKUP(A39,[2]進出口值表查詢結果!$A$2:$C$87,3,0)</f>
        <v>578</v>
      </c>
      <c r="F39" s="29">
        <f t="shared" si="4"/>
        <v>6.5171260601605151E-4</v>
      </c>
      <c r="G39" s="27">
        <f>VLOOKUP(A39,[2]進出口值表查詢結果!$A$2:$C$87,2,0)</f>
        <v>148696</v>
      </c>
      <c r="H39" s="24">
        <f t="shared" si="3"/>
        <v>1.7054696510399042E-4</v>
      </c>
      <c r="I39" s="25">
        <f t="shared" si="1"/>
        <v>257.25951557093424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3046</v>
      </c>
      <c r="C41" s="33">
        <f>SUM(C42:C45)</f>
        <v>3320981</v>
      </c>
      <c r="D41" s="23">
        <f t="shared" si="0"/>
        <v>1090.2760998030203</v>
      </c>
      <c r="E41" s="33">
        <f>SUM(E42:E45)</f>
        <v>26336</v>
      </c>
      <c r="F41" s="24">
        <f>E41/$E$67</f>
        <v>2.9694642200759052E-2</v>
      </c>
      <c r="G41" s="33">
        <f>SUM(G42:G45)</f>
        <v>18112067</v>
      </c>
      <c r="H41" s="24">
        <f>G41/$G$67</f>
        <v>2.0773645952884653E-2</v>
      </c>
      <c r="I41" s="25">
        <f t="shared" si="1"/>
        <v>687.73036907654921</v>
      </c>
    </row>
    <row r="42" spans="1:9">
      <c r="A42" s="444" t="s">
        <v>219</v>
      </c>
      <c r="B42" s="27">
        <f>VLOOKUP(A42,[1]進出口值表查詢結果!$A$3:$C$59,3,0)</f>
        <v>1681</v>
      </c>
      <c r="C42" s="28">
        <f>VLOOKUP(A42,[1]進出口值表查詢結果!$A$3:$C$59,2,0)</f>
        <v>2254487</v>
      </c>
      <c r="D42" s="23">
        <f t="shared" si="0"/>
        <v>1341.1582391433672</v>
      </c>
      <c r="E42" s="27">
        <f>VLOOKUP(A42,[2]進出口值表查詢結果!$A$2:$C$87,3,0)</f>
        <v>8090</v>
      </c>
      <c r="F42" s="29">
        <f>E42/$E$67</f>
        <v>9.1217214233042503E-3</v>
      </c>
      <c r="G42" s="27">
        <f>VLOOKUP(A42,[2]進出口值表查詢結果!$A$2:$C$87,2,0)</f>
        <v>10037296</v>
      </c>
      <c r="H42" s="29">
        <f>G42/$G$67</f>
        <v>1.1512282580906162E-2</v>
      </c>
      <c r="I42" s="25">
        <f t="shared" si="1"/>
        <v>1240.7040791100123</v>
      </c>
    </row>
    <row r="43" spans="1:9">
      <c r="A43" s="444" t="s">
        <v>220</v>
      </c>
      <c r="B43" s="27">
        <f>VLOOKUP(A43,[1]進出口值表查詢結果!$A$3:$C$59,3,0)</f>
        <v>1200</v>
      </c>
      <c r="C43" s="28">
        <f>VLOOKUP(A43,[1]進出口值表查詢結果!$A$3:$C$59,2,0)</f>
        <v>1026404</v>
      </c>
      <c r="D43" s="23">
        <f t="shared" si="0"/>
        <v>855.3366666666667</v>
      </c>
      <c r="E43" s="27">
        <f>VLOOKUP(A43,[2]進出口值表查詢結果!$A$2:$C$87,3,0)</f>
        <v>18026</v>
      </c>
      <c r="F43" s="29">
        <f>E43/$E$67</f>
        <v>2.0324864076203018E-2</v>
      </c>
      <c r="G43" s="27">
        <f>VLOOKUP(A43,[2]進出口值表查詢結果!$A$2:$C$87,2,0)</f>
        <v>7968246</v>
      </c>
      <c r="H43" s="29">
        <f>G43/$G$67</f>
        <v>9.1391844602545548E-3</v>
      </c>
      <c r="I43" s="25">
        <f t="shared" si="1"/>
        <v>442.04182846998782</v>
      </c>
    </row>
    <row r="44" spans="1:9">
      <c r="A44" s="444" t="s">
        <v>221</v>
      </c>
      <c r="B44" s="27">
        <f>VLOOKUP(A44,[1]進出口值表查詢結果!$A$3:$C$59,3,0)</f>
        <v>165</v>
      </c>
      <c r="C44" s="28">
        <f>VLOOKUP(A44,[1]進出口值表查詢結果!$A$3:$C$59,2,0)</f>
        <v>40090</v>
      </c>
      <c r="D44" s="23">
        <f t="shared" si="0"/>
        <v>242.96969696969697</v>
      </c>
      <c r="E44" s="27">
        <f>VLOOKUP(A44,[2]進出口值表查詢結果!$A$2:$C$87,3,0)</f>
        <v>220</v>
      </c>
      <c r="F44" s="29">
        <f>E44/$E$67</f>
        <v>2.4805670125178431E-4</v>
      </c>
      <c r="G44" s="27">
        <f>VLOOKUP(A44,[2]進出口值表查詢結果!$A$2:$C$87,2,0)</f>
        <v>106525</v>
      </c>
      <c r="H44" s="29">
        <f>G44/$G$67</f>
        <v>1.2217891172393728E-4</v>
      </c>
      <c r="I44" s="25">
        <f t="shared" si="1"/>
        <v>484.20454545454544</v>
      </c>
    </row>
    <row r="45" spans="1:9">
      <c r="A45" s="445" t="s">
        <v>21</v>
      </c>
      <c r="B45" s="27">
        <v>0</v>
      </c>
      <c r="C45" s="27"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29538</v>
      </c>
      <c r="C47" s="33">
        <f>SUM(C48:C65)</f>
        <v>38407558</v>
      </c>
      <c r="D47" s="23">
        <f t="shared" si="0"/>
        <v>1300.2761866070823</v>
      </c>
      <c r="E47" s="33">
        <f>SUM(E48:E65)</f>
        <v>236839</v>
      </c>
      <c r="F47" s="24">
        <f t="shared" ref="F47:F65" si="5">E47/$E$67</f>
        <v>0.26704318667168792</v>
      </c>
      <c r="G47" s="33">
        <f>SUM(G48:G65)</f>
        <v>250047999</v>
      </c>
      <c r="H47" s="24">
        <f t="shared" ref="H47:H66" si="6">G47/$G$67</f>
        <v>0.2867927002728764</v>
      </c>
      <c r="I47" s="25">
        <f t="shared" si="1"/>
        <v>1055.7720603447913</v>
      </c>
    </row>
    <row r="48" spans="1:9">
      <c r="A48" s="476" t="s">
        <v>162</v>
      </c>
      <c r="B48" s="27">
        <f>VLOOKUP(A48,[1]進出口值表查詢結果!$A$3:$C$59,3,0)</f>
        <v>5548</v>
      </c>
      <c r="C48" s="28">
        <f>VLOOKUP(A48,[1]進出口值表查詢結果!$A$3:$C$59,2,0)</f>
        <v>5662431</v>
      </c>
      <c r="D48" s="23">
        <f t="shared" si="0"/>
        <v>1020.6256308579668</v>
      </c>
      <c r="E48" s="27">
        <f>VLOOKUP(A48,[2]進出口值表查詢結果!$A$2:$C$87,3,0)</f>
        <v>52478</v>
      </c>
      <c r="F48" s="29">
        <f t="shared" ref="F48" si="7">E48/$E$67</f>
        <v>5.9170543492232441E-2</v>
      </c>
      <c r="G48" s="27">
        <f>VLOOKUP(A48,[2]進出口值表查詢結果!$A$2:$C$87,2,0)</f>
        <v>45373049</v>
      </c>
      <c r="H48" s="29">
        <f t="shared" ref="H48" si="8">G48/$G$67</f>
        <v>5.2040645373544997E-2</v>
      </c>
      <c r="I48" s="25">
        <f t="shared" si="1"/>
        <v>864.61086550554523</v>
      </c>
    </row>
    <row r="49" spans="1:9">
      <c r="A49" s="444" t="s">
        <v>222</v>
      </c>
      <c r="B49" s="27">
        <f>VLOOKUP(A49,[1]進出口值表查詢結果!$A$3:$C$59,3,0)</f>
        <v>7044</v>
      </c>
      <c r="C49" s="28">
        <f>VLOOKUP(A49,[1]進出口值表查詢結果!$A$3:$C$59,2,0)</f>
        <v>4717173</v>
      </c>
      <c r="D49" s="23">
        <f t="shared" si="0"/>
        <v>669.67248722316867</v>
      </c>
      <c r="E49" s="27">
        <f>VLOOKUP(A49,[2]進出口值表查詢結果!$A$2:$C$87,3,0)</f>
        <v>34714</v>
      </c>
      <c r="F49" s="29">
        <f t="shared" si="5"/>
        <v>3.9141092396611094E-2</v>
      </c>
      <c r="G49" s="27">
        <f>VLOOKUP(A49,[2]進出口值表查詢結果!$A$2:$C$87,2,0)</f>
        <v>26848653</v>
      </c>
      <c r="H49" s="29">
        <f t="shared" si="6"/>
        <v>3.0794078430355542E-2</v>
      </c>
      <c r="I49" s="25">
        <f t="shared" si="1"/>
        <v>773.42435328685838</v>
      </c>
    </row>
    <row r="50" spans="1:9">
      <c r="A50" s="289" t="s">
        <v>223</v>
      </c>
      <c r="B50" s="27">
        <f>VLOOKUP(A50,[1]進出口值表查詢結果!$A$3:$C$59,3,0)</f>
        <v>7</v>
      </c>
      <c r="C50" s="28">
        <f>VLOOKUP(A50,[1]進出口值表查詢結果!$A$3:$C$59,2,0)</f>
        <v>24532</v>
      </c>
      <c r="D50" s="23">
        <f t="shared" si="0"/>
        <v>3504.5714285714284</v>
      </c>
      <c r="E50" s="27">
        <f>VLOOKUP(A50,[2]進出口值表查詢結果!$A$2:$C$87,3,0)</f>
        <v>1238</v>
      </c>
      <c r="F50" s="29">
        <f t="shared" si="5"/>
        <v>1.3958827097714044E-3</v>
      </c>
      <c r="G50" s="27">
        <f>VLOOKUP(A50,[2]進出口值表查詢結果!$A$2:$C$87,2,0)</f>
        <v>1593043</v>
      </c>
      <c r="H50" s="29">
        <f t="shared" si="6"/>
        <v>1.8271416106025462E-3</v>
      </c>
      <c r="I50" s="25">
        <f t="shared" si="1"/>
        <v>1286.7875605815832</v>
      </c>
    </row>
    <row r="51" spans="1:9">
      <c r="A51" s="444" t="s">
        <v>224</v>
      </c>
      <c r="B51" s="27">
        <f>VLOOKUP(A51,[1]進出口值表查詢結果!$A$3:$C$59,3,0)</f>
        <v>201</v>
      </c>
      <c r="C51" s="28">
        <f>VLOOKUP(A51,[1]進出口值表查詢結果!$A$3:$C$59,2,0)</f>
        <v>324015</v>
      </c>
      <c r="D51" s="23">
        <f t="shared" si="0"/>
        <v>1612.0149253731342</v>
      </c>
      <c r="E51" s="27">
        <f>VLOOKUP(A51,[2]進出口值表查詢結果!$A$2:$C$87,3,0)</f>
        <v>2893</v>
      </c>
      <c r="F51" s="29">
        <f t="shared" si="5"/>
        <v>3.2619456214609639E-3</v>
      </c>
      <c r="G51" s="27">
        <f>VLOOKUP(A51,[2]進出口值表查詢結果!$A$2:$C$87,2,0)</f>
        <v>4385115</v>
      </c>
      <c r="H51" s="29">
        <f t="shared" si="6"/>
        <v>5.0295102415800355E-3</v>
      </c>
      <c r="I51" s="25">
        <f t="shared" si="1"/>
        <v>1515.7673695126166</v>
      </c>
    </row>
    <row r="52" spans="1:9">
      <c r="A52" s="445" t="s">
        <v>23</v>
      </c>
      <c r="B52" s="27">
        <v>0</v>
      </c>
      <c r="C52" s="28">
        <v>0</v>
      </c>
      <c r="D52" s="23">
        <f t="shared" si="0"/>
        <v>0</v>
      </c>
      <c r="E52" s="27">
        <f>VLOOKUP(A52,[2]進出口值表查詢結果!$A$2:$C$87,3,0)</f>
        <v>425</v>
      </c>
      <c r="F52" s="29">
        <f t="shared" si="5"/>
        <v>4.7920044560003787E-4</v>
      </c>
      <c r="G52" s="27">
        <f>VLOOKUP(A52,[2]進出口值表查詢結果!$A$2:$C$87,2,0)</f>
        <v>641676</v>
      </c>
      <c r="H52" s="29">
        <f t="shared" si="6"/>
        <v>7.3597066753690852E-4</v>
      </c>
      <c r="I52" s="25">
        <f t="shared" si="1"/>
        <v>1509.8258823529411</v>
      </c>
    </row>
    <row r="53" spans="1:9">
      <c r="A53" s="444" t="s">
        <v>225</v>
      </c>
      <c r="B53" s="27">
        <f>VLOOKUP(A53,[1]進出口值表查詢結果!$A$3:$C$59,3,0)</f>
        <v>89</v>
      </c>
      <c r="C53" s="28">
        <f>VLOOKUP(A53,[1]進出口值表查詢結果!$A$3:$C$59,2,0)</f>
        <v>148774</v>
      </c>
      <c r="D53" s="23">
        <f t="shared" si="0"/>
        <v>1671.6179775280898</v>
      </c>
      <c r="E53" s="27">
        <f>VLOOKUP(A53,[2]進出口值表查詢結果!$A$2:$C$87,3,0)</f>
        <v>1966</v>
      </c>
      <c r="F53" s="29">
        <f t="shared" si="5"/>
        <v>2.2167248848227634E-3</v>
      </c>
      <c r="G53" s="27">
        <f>VLOOKUP(A53,[2]進出口值表查詢結果!$A$2:$C$87,2,0)</f>
        <v>3116361</v>
      </c>
      <c r="H53" s="29">
        <f t="shared" si="6"/>
        <v>3.5743120912360565E-3</v>
      </c>
      <c r="I53" s="25">
        <f t="shared" si="1"/>
        <v>1585.1276703967446</v>
      </c>
    </row>
    <row r="54" spans="1:9">
      <c r="A54" s="445" t="s">
        <v>226</v>
      </c>
      <c r="B54" s="27">
        <f>VLOOKUP(A54,[1]進出口值表查詢結果!$A$3:$C$59,3,0)</f>
        <v>3709</v>
      </c>
      <c r="C54" s="28">
        <f>VLOOKUP(A54,[1]進出口值表查詢結果!$A$3:$C$59,2,0)</f>
        <v>6405262</v>
      </c>
      <c r="D54" s="23">
        <f t="shared" si="0"/>
        <v>1726.9511997843085</v>
      </c>
      <c r="E54" s="27">
        <f>VLOOKUP(A54,[2]進出口值表查詢結果!$A$2:$C$87,3,0)</f>
        <v>28157</v>
      </c>
      <c r="F54" s="29">
        <f t="shared" si="5"/>
        <v>3.1747875168847688E-2</v>
      </c>
      <c r="G54" s="27">
        <f>VLOOKUP(A54,[2]進出口值表查詢結果!$A$2:$C$87,2,0)</f>
        <v>42317493</v>
      </c>
      <c r="H54" s="29">
        <f t="shared" si="6"/>
        <v>4.8536073613004778E-2</v>
      </c>
      <c r="I54" s="25">
        <f t="shared" si="1"/>
        <v>1502.9119934652128</v>
      </c>
    </row>
    <row r="55" spans="1:9">
      <c r="A55" s="445" t="s">
        <v>24</v>
      </c>
      <c r="B55" s="27">
        <f>VLOOKUP(A55,[1]進出口值表查詢結果!$A$3:$C$59,3,0)</f>
        <v>432</v>
      </c>
      <c r="C55" s="28">
        <f>VLOOKUP(A55,[1]進出口值表查詢結果!$A$3:$C$59,2,0)</f>
        <v>487152</v>
      </c>
      <c r="D55" s="23">
        <f t="shared" si="0"/>
        <v>1127.6666666666667</v>
      </c>
      <c r="E55" s="27">
        <f>VLOOKUP(A55,[2]進出口值表查詢結果!$A$2:$C$87,3,0)</f>
        <v>2717</v>
      </c>
      <c r="F55" s="29">
        <f t="shared" si="5"/>
        <v>3.0635002604595361E-3</v>
      </c>
      <c r="G55" s="27">
        <f>VLOOKUP(A55,[2]進出口值表查詢結果!$A$2:$C$87,2,0)</f>
        <v>3132781</v>
      </c>
      <c r="H55" s="29">
        <f t="shared" si="6"/>
        <v>3.5931450199429989E-3</v>
      </c>
      <c r="I55" s="25">
        <f t="shared" si="1"/>
        <v>1153.0294442399706</v>
      </c>
    </row>
    <row r="56" spans="1:9">
      <c r="A56" s="445" t="s">
        <v>227</v>
      </c>
      <c r="B56" s="27">
        <f>VLOOKUP(A56,[1]進出口值表查詢結果!$A$3:$C$59,3,0)</f>
        <v>7938</v>
      </c>
      <c r="C56" s="28">
        <f>VLOOKUP(A56,[1]進出口值表查詢結果!$A$3:$C$59,2,0)</f>
        <v>12231378</v>
      </c>
      <c r="D56" s="23">
        <f t="shared" si="0"/>
        <v>1540.8639455782313</v>
      </c>
      <c r="E56" s="27">
        <f>VLOOKUP(A56,[2]進出口值表查詢結果!$A$2:$C$87,3,0)</f>
        <v>75746</v>
      </c>
      <c r="F56" s="29">
        <f t="shared" si="5"/>
        <v>8.5405922240989335E-2</v>
      </c>
      <c r="G56" s="27">
        <f>VLOOKUP(A56,[2]進出口值表查詢結果!$A$2:$C$87,2,0)</f>
        <v>71403315</v>
      </c>
      <c r="H56" s="29">
        <f t="shared" si="6"/>
        <v>8.1896074350448128E-2</v>
      </c>
      <c r="I56" s="25">
        <f t="shared" si="1"/>
        <v>942.66779763947932</v>
      </c>
    </row>
    <row r="57" spans="1:9">
      <c r="A57" s="447" t="s">
        <v>455</v>
      </c>
      <c r="B57" s="27">
        <f>VLOOKUP(A57,[1]進出口值表查詢結果!$A$3:$C$59,3,0)</f>
        <v>3225</v>
      </c>
      <c r="C57" s="28">
        <f>VLOOKUP(A57,[1]進出口值表查詢結果!$A$3:$C$59,2,0)</f>
        <v>5971627</v>
      </c>
      <c r="D57" s="23">
        <f t="shared" si="0"/>
        <v>1851.6672868217054</v>
      </c>
      <c r="E57" s="27">
        <f>VLOOKUP(A57,[2]進出口值表查詢結果!$A$2:$C$87,3,0)</f>
        <v>19723</v>
      </c>
      <c r="F57" s="29">
        <f t="shared" si="5"/>
        <v>2.2238283267222464E-2</v>
      </c>
      <c r="G57" s="27">
        <f>VLOOKUP(A57,[2]進出口值表查詢結果!$A$2:$C$87,2,0)</f>
        <v>27094369</v>
      </c>
      <c r="H57" s="29">
        <f t="shared" si="6"/>
        <v>3.107590254181444E-2</v>
      </c>
      <c r="I57" s="25">
        <f t="shared" si="1"/>
        <v>1373.7448156974092</v>
      </c>
    </row>
    <row r="58" spans="1:9">
      <c r="A58" s="445" t="s">
        <v>25</v>
      </c>
      <c r="B58" s="27">
        <v>0</v>
      </c>
      <c r="C58" s="28">
        <v>0</v>
      </c>
      <c r="D58" s="23">
        <f t="shared" si="0"/>
        <v>0</v>
      </c>
      <c r="E58" s="27">
        <f>VLOOKUP(A58,[2]進出口值表查詢結果!$A$2:$C$87,3,0)</f>
        <v>2863</v>
      </c>
      <c r="F58" s="29">
        <f t="shared" si="5"/>
        <v>3.2281197076539023E-3</v>
      </c>
      <c r="G58" s="27">
        <f>VLOOKUP(A58,[2]進出口值表查詢結果!$A$2:$C$87,2,0)</f>
        <v>1482547</v>
      </c>
      <c r="H58" s="29">
        <f t="shared" si="6"/>
        <v>1.7004081580810895E-3</v>
      </c>
      <c r="I58" s="25">
        <f t="shared" si="1"/>
        <v>517.82989870764936</v>
      </c>
    </row>
    <row r="59" spans="1:9">
      <c r="A59" s="445" t="s">
        <v>26</v>
      </c>
      <c r="B59" s="27">
        <v>0</v>
      </c>
      <c r="C59" s="27">
        <v>0</v>
      </c>
      <c r="D59" s="23">
        <f t="shared" si="0"/>
        <v>0</v>
      </c>
      <c r="E59" s="27">
        <f>VLOOKUP(A59,[2]進出口值表查詢結果!$A$2:$C$87,3,0)</f>
        <v>119</v>
      </c>
      <c r="F59" s="29">
        <f t="shared" si="5"/>
        <v>1.341761247680106E-4</v>
      </c>
      <c r="G59" s="27">
        <f>VLOOKUP(A59,[2]進出口值表查詢結果!$A$2:$C$87,2,0)</f>
        <v>44021</v>
      </c>
      <c r="H59" s="29">
        <f t="shared" si="6"/>
        <v>5.0489911973709865E-5</v>
      </c>
      <c r="I59" s="25">
        <f t="shared" si="1"/>
        <v>369.92436974789916</v>
      </c>
    </row>
    <row r="60" spans="1:9">
      <c r="A60" s="445" t="s">
        <v>27</v>
      </c>
      <c r="B60" s="27">
        <f>VLOOKUP(A60,[1]進出口值表查詢結果!$A$3:$C$59,3,0)</f>
        <v>366</v>
      </c>
      <c r="C60" s="28">
        <f>VLOOKUP(A60,[1]進出口值表查詢結果!$A$3:$C$59,2,0)</f>
        <v>617495</v>
      </c>
      <c r="D60" s="23">
        <f t="shared" si="0"/>
        <v>1687.1448087431695</v>
      </c>
      <c r="E60" s="27">
        <f>VLOOKUP(A60,[2]進出口值表查詢結果!$A$2:$C$87,3,0)</f>
        <v>4968</v>
      </c>
      <c r="F60" s="29">
        <f t="shared" si="5"/>
        <v>5.6015713264493837E-3</v>
      </c>
      <c r="G60" s="27">
        <f>VLOOKUP(A60,[2]進出口值表查詢結果!$A$2:$C$87,2,0)</f>
        <v>7740725</v>
      </c>
      <c r="H60" s="29">
        <f t="shared" si="6"/>
        <v>8.8782291148019193E-3</v>
      </c>
      <c r="I60" s="25">
        <f t="shared" si="1"/>
        <v>1558.1169484702093</v>
      </c>
    </row>
    <row r="61" spans="1:9">
      <c r="A61" s="446" t="s">
        <v>228</v>
      </c>
      <c r="B61" s="27">
        <f>VLOOKUP(A61,[1]進出口值表查詢結果!$A$3:$C$59,3,0)</f>
        <v>385</v>
      </c>
      <c r="C61" s="28">
        <f>VLOOKUP(A61,[1]進出口值表查詢結果!$A$3:$C$59,2,0)</f>
        <v>797062</v>
      </c>
      <c r="D61" s="23">
        <f t="shared" si="0"/>
        <v>2070.2909090909093</v>
      </c>
      <c r="E61" s="27">
        <f>VLOOKUP(A61,[2]進出口值表查詢結果!$A$2:$C$87,3,0)</f>
        <v>3188</v>
      </c>
      <c r="F61" s="29">
        <f t="shared" si="5"/>
        <v>3.594567107230402E-3</v>
      </c>
      <c r="G61" s="27">
        <f>VLOOKUP(A61,[2]進出口值表查詢結果!$A$2:$C$87,2,0)</f>
        <v>6373835</v>
      </c>
      <c r="H61" s="29">
        <f t="shared" si="6"/>
        <v>7.3104738212432935E-3</v>
      </c>
      <c r="I61" s="25">
        <f t="shared" si="1"/>
        <v>1999.3208908406525</v>
      </c>
    </row>
    <row r="62" spans="1:9">
      <c r="A62" s="445" t="s">
        <v>28</v>
      </c>
      <c r="B62" s="27">
        <v>0</v>
      </c>
      <c r="C62" s="28">
        <v>0</v>
      </c>
      <c r="D62" s="23">
        <f t="shared" si="0"/>
        <v>0</v>
      </c>
      <c r="E62" s="27">
        <f>VLOOKUP(A62,[2]進出口值表查詢結果!$A$2:$C$87,3,0)</f>
        <v>2373</v>
      </c>
      <c r="F62" s="29">
        <f t="shared" si="5"/>
        <v>2.6756297821385645E-3</v>
      </c>
      <c r="G62" s="27">
        <f>VLOOKUP(A62,[2]進出口值表查詢結果!$A$2:$C$87,2,0)</f>
        <v>3950019</v>
      </c>
      <c r="H62" s="29">
        <f t="shared" si="6"/>
        <v>4.5304766271661587E-3</v>
      </c>
      <c r="I62" s="25">
        <f t="shared" si="1"/>
        <v>1664.5676359039192</v>
      </c>
    </row>
    <row r="63" spans="1:9">
      <c r="A63" s="292" t="s">
        <v>229</v>
      </c>
      <c r="B63" s="27">
        <f>VLOOKUP(A63,[1]進出口值表查詢結果!$A$3:$C$59,3,0)</f>
        <v>49</v>
      </c>
      <c r="C63" s="28">
        <f>VLOOKUP(A63,[1]進出口值表查詢結果!$A$3:$C$59,2,0)</f>
        <v>61911</v>
      </c>
      <c r="D63" s="23">
        <f t="shared" si="0"/>
        <v>1263.4897959183672</v>
      </c>
      <c r="E63" s="27">
        <f>VLOOKUP(A63,[2]進出口值表查詢結果!$A$2:$C$87,3,0)</f>
        <v>328</v>
      </c>
      <c r="F63" s="29">
        <f t="shared" si="5"/>
        <v>3.6982999095720568E-4</v>
      </c>
      <c r="G63" s="27">
        <f>VLOOKUP(A63,[2]進出口值表查詢結果!$A$2:$C$87,2,0)</f>
        <v>465354</v>
      </c>
      <c r="H63" s="29">
        <f t="shared" si="6"/>
        <v>5.3373804540137165E-4</v>
      </c>
      <c r="I63" s="25">
        <f t="shared" si="1"/>
        <v>1418.7621951219512</v>
      </c>
    </row>
    <row r="64" spans="1:9">
      <c r="A64" s="445" t="s">
        <v>29</v>
      </c>
      <c r="B64" s="27">
        <f>VLOOKUP(A64,[1]進出口值表查詢結果!$A$3:$C$59,3,0)</f>
        <v>283</v>
      </c>
      <c r="C64" s="28">
        <f>VLOOKUP(A64,[1]進出口值表查詢結果!$A$3:$C$59,2,0)</f>
        <v>596642</v>
      </c>
      <c r="D64" s="23">
        <f t="shared" si="0"/>
        <v>2108.2756183745582</v>
      </c>
      <c r="E64" s="27">
        <f>VLOOKUP(A64,[2]進出口值表查詢結果!$A$2:$C$87,3,0)</f>
        <v>1333</v>
      </c>
      <c r="F64" s="29">
        <f t="shared" si="5"/>
        <v>1.5029981034937658E-3</v>
      </c>
      <c r="G64" s="27">
        <f>VLOOKUP(A64,[2]進出口值表查詢結果!$A$2:$C$87,2,0)</f>
        <v>2594777</v>
      </c>
      <c r="H64" s="29">
        <f t="shared" si="6"/>
        <v>2.9760810140934319E-3</v>
      </c>
      <c r="I64" s="25">
        <f t="shared" si="1"/>
        <v>1946.5693923480869</v>
      </c>
    </row>
    <row r="65" spans="1:256">
      <c r="A65" s="292" t="s">
        <v>230</v>
      </c>
      <c r="B65" s="27">
        <f>VLOOKUP(A65,[1]進出口值表查詢結果!$A$3:$C$59,3,0)</f>
        <v>262</v>
      </c>
      <c r="C65" s="28">
        <f>VLOOKUP(A65,[1]進出口值表查詢結果!$A$3:$C$59,2,0)</f>
        <v>362104</v>
      </c>
      <c r="D65" s="23">
        <f t="shared" si="0"/>
        <v>1382.0763358778627</v>
      </c>
      <c r="E65" s="27">
        <f>VLOOKUP(A65,[2]進出口值表查詢結果!$A$2:$C$87,3,0)</f>
        <v>1610</v>
      </c>
      <c r="F65" s="29">
        <f t="shared" si="5"/>
        <v>1.8153240409789671E-3</v>
      </c>
      <c r="G65" s="27">
        <f>VLOOKUP(A65,[2]進出口值表查詢結果!$A$2:$C$87,2,0)</f>
        <v>1490866</v>
      </c>
      <c r="H65" s="29">
        <f t="shared" si="6"/>
        <v>1.7099496400489978E-3</v>
      </c>
      <c r="I65" s="25">
        <f t="shared" si="1"/>
        <v>926.00372670807451</v>
      </c>
    </row>
    <row r="66" spans="1:256">
      <c r="A66" s="30" t="s">
        <v>30</v>
      </c>
      <c r="B66" s="27">
        <f>B67-B7-B12-B41-B47</f>
        <v>2146</v>
      </c>
      <c r="C66" s="27">
        <f>C67-C7-C12-C41-C47</f>
        <v>2997444</v>
      </c>
      <c r="D66" s="23">
        <f t="shared" si="0"/>
        <v>1396.7586206896551</v>
      </c>
      <c r="E66" s="27">
        <f>E67-E47-E41-E12-E7</f>
        <v>18460</v>
      </c>
      <c r="F66" s="29">
        <f>E66/$E$67</f>
        <v>2.0814212295945177E-2</v>
      </c>
      <c r="G66" s="27">
        <f>G67-G47-G41-G12-G7</f>
        <v>23971439</v>
      </c>
      <c r="H66" s="29">
        <f t="shared" si="6"/>
        <v>2.7494056132145013E-2</v>
      </c>
      <c r="I66" s="25">
        <f t="shared" si="1"/>
        <v>1298.561159263272</v>
      </c>
    </row>
    <row r="67" spans="1:256">
      <c r="A67" s="293" t="s">
        <v>401</v>
      </c>
      <c r="B67" s="27">
        <f>VLOOKUP(A67,[1]進出口值表查詢結果!$A$3:$C$59,3,0)</f>
        <v>104885</v>
      </c>
      <c r="C67" s="28">
        <f>VLOOKUP(A67,[1]進出口值表查詢結果!$A$3:$C$59,2,0)</f>
        <v>119683695</v>
      </c>
      <c r="D67" s="23">
        <f t="shared" si="0"/>
        <v>1141.0944844353339</v>
      </c>
      <c r="E67" s="27">
        <f>VLOOKUP(A67,[2]進出口值表查詢結果!$A$2:$C$87,3,0)</f>
        <v>886894</v>
      </c>
      <c r="F67" s="24">
        <f>E67/$E$67</f>
        <v>1</v>
      </c>
      <c r="G67" s="27">
        <f>VLOOKUP(A67,[2]進出口值表查詢結果!$A$2:$C$87,2,0)</f>
        <v>871877139</v>
      </c>
      <c r="H67" s="24">
        <f>G67/$G$67</f>
        <v>1</v>
      </c>
      <c r="I67" s="25">
        <f t="shared" si="1"/>
        <v>983.06803180537918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42" t="s">
        <v>153</v>
      </c>
      <c r="B69" s="543"/>
      <c r="C69" s="543"/>
      <c r="D69" s="543"/>
      <c r="E69" s="543"/>
      <c r="F69" s="543"/>
      <c r="G69" s="543"/>
      <c r="H69" s="543"/>
      <c r="I69" s="544"/>
    </row>
    <row r="70" spans="1:256">
      <c r="A70" s="8" t="s">
        <v>484</v>
      </c>
      <c r="B70" s="8" t="s">
        <v>485</v>
      </c>
      <c r="C70" s="8" t="s">
        <v>489</v>
      </c>
      <c r="D70" s="9" t="s">
        <v>1</v>
      </c>
      <c r="E70" s="10" t="s">
        <v>487</v>
      </c>
      <c r="F70" s="11" t="s">
        <v>2</v>
      </c>
      <c r="G70" s="73" t="s">
        <v>488</v>
      </c>
      <c r="H70" s="45" t="s">
        <v>2</v>
      </c>
      <c r="I70" s="43" t="s">
        <v>1</v>
      </c>
    </row>
    <row r="71" spans="1:256">
      <c r="A71" s="46"/>
      <c r="B71" s="47" t="s">
        <v>3</v>
      </c>
      <c r="C71" s="48" t="s">
        <v>4</v>
      </c>
      <c r="D71" s="525" t="s">
        <v>4</v>
      </c>
      <c r="E71" s="49" t="s">
        <v>3</v>
      </c>
      <c r="F71" s="44"/>
      <c r="G71" s="50" t="s">
        <v>4</v>
      </c>
      <c r="H71" s="51"/>
      <c r="I71" s="43" t="s">
        <v>4</v>
      </c>
    </row>
    <row r="72" spans="1:256">
      <c r="A72" s="32" t="s">
        <v>31</v>
      </c>
      <c r="B72" s="27">
        <v>2849</v>
      </c>
      <c r="C72" s="27">
        <v>726920</v>
      </c>
      <c r="D72" s="23">
        <f t="shared" ref="D72" si="9">IF(B72,C72/B72,0)</f>
        <v>255.14917514917514</v>
      </c>
      <c r="E72" s="27">
        <v>22410</v>
      </c>
      <c r="F72" s="508">
        <v>1</v>
      </c>
      <c r="G72" s="27">
        <v>8833418</v>
      </c>
      <c r="H72" s="53">
        <v>1</v>
      </c>
      <c r="I72" s="52">
        <f t="shared" ref="I72" si="10">IF(E72,G72/E72,0)</f>
        <v>394.17304774654173</v>
      </c>
    </row>
    <row r="73" spans="1:256" ht="9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" t="s">
        <v>32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0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16" customWidth="1"/>
    <col min="6" max="6" width="15.125" style="59" customWidth="1"/>
    <col min="7" max="7" width="12.25" style="60" customWidth="1"/>
    <col min="8" max="9" width="14.625" style="5" bestFit="1" customWidth="1"/>
    <col min="10" max="10" width="12.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500</v>
      </c>
      <c r="B1" s="1"/>
      <c r="C1" s="57"/>
      <c r="D1" s="58"/>
      <c r="E1" s="523"/>
      <c r="F1" s="57"/>
      <c r="G1" s="58"/>
    </row>
    <row r="3" spans="1:10">
      <c r="A3" s="111" t="s">
        <v>154</v>
      </c>
      <c r="B3" s="63"/>
      <c r="C3" s="66"/>
      <c r="D3" s="65"/>
      <c r="E3" s="517"/>
      <c r="F3" s="66"/>
      <c r="G3" s="200"/>
      <c r="H3" s="201"/>
      <c r="I3" s="68"/>
      <c r="J3" s="69"/>
    </row>
    <row r="4" spans="1:10">
      <c r="A4" s="70" t="s">
        <v>499</v>
      </c>
      <c r="B4" s="8" t="s">
        <v>458</v>
      </c>
      <c r="C4" s="71" t="s">
        <v>421</v>
      </c>
      <c r="D4" s="72" t="s">
        <v>159</v>
      </c>
      <c r="E4" s="518" t="s">
        <v>420</v>
      </c>
      <c r="F4" s="71" t="s">
        <v>421</v>
      </c>
      <c r="G4" s="74" t="s">
        <v>160</v>
      </c>
      <c r="H4" s="8" t="s">
        <v>420</v>
      </c>
      <c r="I4" s="71" t="s">
        <v>421</v>
      </c>
      <c r="J4" s="202" t="s">
        <v>117</v>
      </c>
    </row>
    <row r="5" spans="1:10">
      <c r="A5" s="46"/>
      <c r="B5" s="77" t="s">
        <v>33</v>
      </c>
      <c r="C5" s="76" t="s">
        <v>33</v>
      </c>
      <c r="D5" s="203" t="s">
        <v>2</v>
      </c>
      <c r="E5" s="519" t="s">
        <v>34</v>
      </c>
      <c r="F5" s="76" t="s">
        <v>34</v>
      </c>
      <c r="G5" s="203" t="s">
        <v>2</v>
      </c>
      <c r="H5" s="78" t="s">
        <v>35</v>
      </c>
      <c r="I5" s="79" t="s">
        <v>118</v>
      </c>
      <c r="J5" s="203" t="s">
        <v>2</v>
      </c>
    </row>
    <row r="6" spans="1:10">
      <c r="A6" s="20" t="s">
        <v>5</v>
      </c>
      <c r="B6" s="204"/>
      <c r="C6" s="81"/>
      <c r="D6" s="205"/>
      <c r="E6" s="520"/>
      <c r="F6" s="81"/>
      <c r="G6" s="206"/>
      <c r="H6" s="207"/>
      <c r="I6" s="84"/>
      <c r="J6" s="206"/>
    </row>
    <row r="7" spans="1:10">
      <c r="A7" s="122" t="s">
        <v>6</v>
      </c>
      <c r="B7" s="561">
        <f>SUM(B8:B10)</f>
        <v>4</v>
      </c>
      <c r="C7" s="208">
        <v>352</v>
      </c>
      <c r="D7" s="503">
        <f>IF(C7,(B7-C7)/C7,0)</f>
        <v>-0.98863636363636365</v>
      </c>
      <c r="E7" s="561">
        <f>SUM(E8:E10)</f>
        <v>3424</v>
      </c>
      <c r="F7" s="208">
        <v>379573</v>
      </c>
      <c r="G7" s="503">
        <f>IF(F7,(E7-F7)/F7,0)</f>
        <v>-0.99097933730797505</v>
      </c>
      <c r="H7" s="87">
        <f>IF(B7,E7/B7,0)</f>
        <v>856</v>
      </c>
      <c r="I7" s="88">
        <f>IF(C7,F7/C7,0)</f>
        <v>1078.3323863636363</v>
      </c>
      <c r="J7" s="500">
        <f>IF(I7,(H7-I7)/I7,0)</f>
        <v>-0.20618168310180116</v>
      </c>
    </row>
    <row r="8" spans="1:10">
      <c r="A8" s="77" t="s">
        <v>380</v>
      </c>
      <c r="B8" s="562">
        <f>折疊車!E8</f>
        <v>3</v>
      </c>
      <c r="C8" s="210">
        <v>330</v>
      </c>
      <c r="D8" s="503">
        <f t="shared" ref="D8:D68" si="0">IF(C8,(B8-C8)/C8,0)</f>
        <v>-0.99090909090909096</v>
      </c>
      <c r="E8" s="562">
        <f>折疊車!G8</f>
        <v>2833</v>
      </c>
      <c r="F8" s="210">
        <v>369409</v>
      </c>
      <c r="G8" s="503">
        <f t="shared" ref="G8:G68" si="1">IF(F8,(E8-F8)/F8,0)</f>
        <v>-0.99233099355998367</v>
      </c>
      <c r="H8" s="87">
        <f t="shared" ref="H8:H10" si="2">IF(B8,E8/B8,0)</f>
        <v>944.33333333333337</v>
      </c>
      <c r="I8" s="88">
        <f t="shared" ref="I8:I10" si="3">IF(C8,F8/C8,0)</f>
        <v>1119.4212121212122</v>
      </c>
      <c r="J8" s="500">
        <f t="shared" ref="J8:J68" si="4">IF(I8,(H8-I8)/I8,0)</f>
        <v>-0.15640929159820147</v>
      </c>
    </row>
    <row r="9" spans="1:10">
      <c r="A9" s="30" t="s">
        <v>7</v>
      </c>
      <c r="B9" s="562">
        <f>折疊車!E9</f>
        <v>1</v>
      </c>
      <c r="C9" s="210">
        <v>22</v>
      </c>
      <c r="D9" s="503">
        <f t="shared" si="0"/>
        <v>-0.95454545454545459</v>
      </c>
      <c r="E9" s="562">
        <f>折疊車!G9</f>
        <v>591</v>
      </c>
      <c r="F9" s="210">
        <v>10164</v>
      </c>
      <c r="G9" s="503">
        <f t="shared" si="1"/>
        <v>-0.94185360094450998</v>
      </c>
      <c r="H9" s="87">
        <f t="shared" si="2"/>
        <v>591</v>
      </c>
      <c r="I9" s="88">
        <f t="shared" si="3"/>
        <v>462</v>
      </c>
      <c r="J9" s="500">
        <f t="shared" si="4"/>
        <v>0.2792207792207792</v>
      </c>
    </row>
    <row r="10" spans="1:10">
      <c r="A10" s="30" t="s">
        <v>8</v>
      </c>
      <c r="B10" s="562">
        <f>折疊車!E10</f>
        <v>0</v>
      </c>
      <c r="C10" s="210">
        <v>0</v>
      </c>
      <c r="D10" s="503">
        <f t="shared" si="0"/>
        <v>0</v>
      </c>
      <c r="E10" s="562">
        <f>折疊車!G10</f>
        <v>0</v>
      </c>
      <c r="F10" s="210">
        <v>0</v>
      </c>
      <c r="G10" s="503">
        <f t="shared" si="1"/>
        <v>0</v>
      </c>
      <c r="H10" s="87">
        <f t="shared" si="2"/>
        <v>0</v>
      </c>
      <c r="I10" s="88">
        <f t="shared" si="3"/>
        <v>0</v>
      </c>
      <c r="J10" s="500">
        <f t="shared" si="4"/>
        <v>0</v>
      </c>
    </row>
    <row r="11" spans="1:10">
      <c r="A11" s="30"/>
      <c r="B11" s="556"/>
      <c r="C11" s="90"/>
      <c r="D11" s="503"/>
      <c r="E11" s="556"/>
      <c r="F11" s="90"/>
      <c r="G11" s="503"/>
      <c r="H11" s="87"/>
      <c r="I11" s="88"/>
      <c r="J11" s="500"/>
    </row>
    <row r="12" spans="1:10">
      <c r="A12" s="32" t="s">
        <v>9</v>
      </c>
      <c r="B12" s="555">
        <f>SUM(B13:B39)</f>
        <v>1578</v>
      </c>
      <c r="C12" s="91">
        <v>2754</v>
      </c>
      <c r="D12" s="503">
        <f t="shared" si="0"/>
        <v>-0.42701525054466233</v>
      </c>
      <c r="E12" s="555">
        <f>SUM(E13:E39)</f>
        <v>937853</v>
      </c>
      <c r="F12" s="91">
        <v>1249899</v>
      </c>
      <c r="G12" s="503">
        <f t="shared" si="1"/>
        <v>-0.24965697228336051</v>
      </c>
      <c r="H12" s="87">
        <f t="shared" ref="H12:H67" si="5">IF(B12,E12/B12,0)</f>
        <v>594.33016476552598</v>
      </c>
      <c r="I12" s="88">
        <f t="shared" ref="I12:I67" si="6">IF(C12,F12/C12,0)</f>
        <v>453.84858387799562</v>
      </c>
      <c r="J12" s="500">
        <f t="shared" si="4"/>
        <v>0.30953402936097923</v>
      </c>
    </row>
    <row r="13" spans="1:10">
      <c r="A13" s="444" t="s">
        <v>201</v>
      </c>
      <c r="B13" s="562">
        <f>折疊車!E13</f>
        <v>30</v>
      </c>
      <c r="C13" s="210">
        <v>171</v>
      </c>
      <c r="D13" s="503">
        <f t="shared" si="0"/>
        <v>-0.82456140350877194</v>
      </c>
      <c r="E13" s="562">
        <f>折疊車!G13</f>
        <v>13469</v>
      </c>
      <c r="F13" s="210">
        <v>75566</v>
      </c>
      <c r="G13" s="503">
        <f t="shared" si="1"/>
        <v>-0.8217584628007305</v>
      </c>
      <c r="H13" s="87">
        <f t="shared" si="5"/>
        <v>448.96666666666664</v>
      </c>
      <c r="I13" s="88">
        <f t="shared" si="6"/>
        <v>441.90643274853801</v>
      </c>
      <c r="J13" s="500">
        <f t="shared" si="4"/>
        <v>1.5976762035836169E-2</v>
      </c>
    </row>
    <row r="14" spans="1:10">
      <c r="A14" s="444" t="s">
        <v>202</v>
      </c>
      <c r="B14" s="562">
        <f>折疊車!E14</f>
        <v>0</v>
      </c>
      <c r="C14" s="210">
        <v>53</v>
      </c>
      <c r="D14" s="503">
        <f t="shared" si="0"/>
        <v>-1</v>
      </c>
      <c r="E14" s="562">
        <f>折疊車!G14</f>
        <v>0</v>
      </c>
      <c r="F14" s="210">
        <v>53975</v>
      </c>
      <c r="G14" s="503">
        <f t="shared" si="1"/>
        <v>-1</v>
      </c>
      <c r="H14" s="87">
        <f t="shared" si="5"/>
        <v>0</v>
      </c>
      <c r="I14" s="88">
        <f t="shared" si="6"/>
        <v>1018.3962264150944</v>
      </c>
      <c r="J14" s="500">
        <f t="shared" si="4"/>
        <v>-1</v>
      </c>
    </row>
    <row r="15" spans="1:10">
      <c r="A15" s="445" t="s">
        <v>10</v>
      </c>
      <c r="B15" s="562">
        <f>折疊車!E15</f>
        <v>48</v>
      </c>
      <c r="C15" s="210">
        <v>0</v>
      </c>
      <c r="D15" s="503">
        <f t="shared" si="0"/>
        <v>0</v>
      </c>
      <c r="E15" s="562">
        <f>折疊車!G15</f>
        <v>40131</v>
      </c>
      <c r="F15" s="210">
        <v>0</v>
      </c>
      <c r="G15" s="503">
        <f t="shared" si="1"/>
        <v>0</v>
      </c>
      <c r="H15" s="87">
        <f t="shared" si="5"/>
        <v>836.0625</v>
      </c>
      <c r="I15" s="88">
        <f t="shared" si="6"/>
        <v>0</v>
      </c>
      <c r="J15" s="500">
        <f t="shared" si="4"/>
        <v>0</v>
      </c>
    </row>
    <row r="16" spans="1:10">
      <c r="A16" s="444" t="s">
        <v>203</v>
      </c>
      <c r="B16" s="562">
        <f>折疊車!E16</f>
        <v>0</v>
      </c>
      <c r="C16" s="210">
        <v>0</v>
      </c>
      <c r="D16" s="503">
        <f t="shared" si="0"/>
        <v>0</v>
      </c>
      <c r="E16" s="562">
        <f>折疊車!G16</f>
        <v>0</v>
      </c>
      <c r="F16" s="210">
        <v>0</v>
      </c>
      <c r="G16" s="503">
        <f t="shared" si="1"/>
        <v>0</v>
      </c>
      <c r="H16" s="87">
        <f t="shared" si="5"/>
        <v>0</v>
      </c>
      <c r="I16" s="88">
        <f t="shared" si="6"/>
        <v>0</v>
      </c>
      <c r="J16" s="500">
        <f t="shared" si="4"/>
        <v>0</v>
      </c>
    </row>
    <row r="17" spans="1:10">
      <c r="A17" s="445" t="s">
        <v>11</v>
      </c>
      <c r="B17" s="562">
        <f>折疊車!E17</f>
        <v>0</v>
      </c>
      <c r="C17" s="210">
        <v>0</v>
      </c>
      <c r="D17" s="503">
        <f t="shared" si="0"/>
        <v>0</v>
      </c>
      <c r="E17" s="562">
        <f>折疊車!G17</f>
        <v>0</v>
      </c>
      <c r="F17" s="210">
        <v>0</v>
      </c>
      <c r="G17" s="503">
        <f t="shared" si="1"/>
        <v>0</v>
      </c>
      <c r="H17" s="87">
        <f t="shared" si="5"/>
        <v>0</v>
      </c>
      <c r="I17" s="88">
        <f t="shared" si="6"/>
        <v>0</v>
      </c>
      <c r="J17" s="500">
        <f t="shared" si="4"/>
        <v>0</v>
      </c>
    </row>
    <row r="18" spans="1:10">
      <c r="A18" s="445" t="s">
        <v>12</v>
      </c>
      <c r="B18" s="562">
        <f>折疊車!E18</f>
        <v>0</v>
      </c>
      <c r="C18" s="210">
        <v>0</v>
      </c>
      <c r="D18" s="503">
        <f t="shared" si="0"/>
        <v>0</v>
      </c>
      <c r="E18" s="562">
        <f>折疊車!G18</f>
        <v>0</v>
      </c>
      <c r="F18" s="210">
        <v>0</v>
      </c>
      <c r="G18" s="503">
        <f t="shared" si="1"/>
        <v>0</v>
      </c>
      <c r="H18" s="87">
        <f t="shared" si="5"/>
        <v>0</v>
      </c>
      <c r="I18" s="88">
        <f t="shared" si="6"/>
        <v>0</v>
      </c>
      <c r="J18" s="500">
        <f t="shared" si="4"/>
        <v>0</v>
      </c>
    </row>
    <row r="19" spans="1:10">
      <c r="A19" s="444" t="s">
        <v>204</v>
      </c>
      <c r="B19" s="562">
        <f>折疊車!E19</f>
        <v>0</v>
      </c>
      <c r="C19" s="210">
        <v>0</v>
      </c>
      <c r="D19" s="503">
        <f t="shared" si="0"/>
        <v>0</v>
      </c>
      <c r="E19" s="562">
        <f>折疊車!G19</f>
        <v>0</v>
      </c>
      <c r="F19" s="210">
        <v>0</v>
      </c>
      <c r="G19" s="503">
        <f t="shared" si="1"/>
        <v>0</v>
      </c>
      <c r="H19" s="87">
        <f t="shared" si="5"/>
        <v>0</v>
      </c>
      <c r="I19" s="88">
        <f t="shared" si="6"/>
        <v>0</v>
      </c>
      <c r="J19" s="500">
        <f t="shared" si="4"/>
        <v>0</v>
      </c>
    </row>
    <row r="20" spans="1:10">
      <c r="A20" s="445" t="s">
        <v>13</v>
      </c>
      <c r="B20" s="562">
        <f>折疊車!E20</f>
        <v>0</v>
      </c>
      <c r="C20" s="210">
        <v>0</v>
      </c>
      <c r="D20" s="503">
        <f t="shared" si="0"/>
        <v>0</v>
      </c>
      <c r="E20" s="562">
        <f>折疊車!G20</f>
        <v>0</v>
      </c>
      <c r="F20" s="210">
        <v>0</v>
      </c>
      <c r="G20" s="503">
        <f t="shared" si="1"/>
        <v>0</v>
      </c>
      <c r="H20" s="87">
        <f t="shared" si="5"/>
        <v>0</v>
      </c>
      <c r="I20" s="88">
        <f t="shared" si="6"/>
        <v>0</v>
      </c>
      <c r="J20" s="500">
        <f t="shared" si="4"/>
        <v>0</v>
      </c>
    </row>
    <row r="21" spans="1:10">
      <c r="A21" s="444" t="s">
        <v>206</v>
      </c>
      <c r="B21" s="562">
        <f>折疊車!E21</f>
        <v>0</v>
      </c>
      <c r="C21" s="210">
        <v>0</v>
      </c>
      <c r="D21" s="503">
        <f t="shared" si="0"/>
        <v>0</v>
      </c>
      <c r="E21" s="562">
        <f>折疊車!G21</f>
        <v>0</v>
      </c>
      <c r="F21" s="210">
        <v>0</v>
      </c>
      <c r="G21" s="503">
        <f t="shared" si="1"/>
        <v>0</v>
      </c>
      <c r="H21" s="87">
        <f t="shared" si="5"/>
        <v>0</v>
      </c>
      <c r="I21" s="88">
        <f t="shared" si="6"/>
        <v>0</v>
      </c>
      <c r="J21" s="500">
        <f t="shared" si="4"/>
        <v>0</v>
      </c>
    </row>
    <row r="22" spans="1:10">
      <c r="A22" s="445" t="s">
        <v>14</v>
      </c>
      <c r="B22" s="562">
        <f>折疊車!E22</f>
        <v>0</v>
      </c>
      <c r="C22" s="210">
        <v>0</v>
      </c>
      <c r="D22" s="503">
        <f t="shared" si="0"/>
        <v>0</v>
      </c>
      <c r="E22" s="562">
        <f>折疊車!G22</f>
        <v>0</v>
      </c>
      <c r="F22" s="210">
        <v>0</v>
      </c>
      <c r="G22" s="503">
        <f t="shared" si="1"/>
        <v>0</v>
      </c>
      <c r="H22" s="87">
        <f t="shared" si="5"/>
        <v>0</v>
      </c>
      <c r="I22" s="88">
        <f t="shared" si="6"/>
        <v>0</v>
      </c>
      <c r="J22" s="500">
        <f t="shared" si="4"/>
        <v>0</v>
      </c>
    </row>
    <row r="23" spans="1:10">
      <c r="A23" s="445" t="s">
        <v>15</v>
      </c>
      <c r="B23" s="562">
        <f>折疊車!E23</f>
        <v>0</v>
      </c>
      <c r="C23" s="210">
        <v>0</v>
      </c>
      <c r="D23" s="503">
        <f t="shared" si="0"/>
        <v>0</v>
      </c>
      <c r="E23" s="562">
        <f>折疊車!G23</f>
        <v>0</v>
      </c>
      <c r="F23" s="210">
        <v>0</v>
      </c>
      <c r="G23" s="503">
        <f t="shared" si="1"/>
        <v>0</v>
      </c>
      <c r="H23" s="87">
        <f t="shared" si="5"/>
        <v>0</v>
      </c>
      <c r="I23" s="88">
        <f t="shared" si="6"/>
        <v>0</v>
      </c>
      <c r="J23" s="500">
        <f t="shared" si="4"/>
        <v>0</v>
      </c>
    </row>
    <row r="24" spans="1:10">
      <c r="A24" s="445" t="s">
        <v>16</v>
      </c>
      <c r="B24" s="562">
        <f>折疊車!E24</f>
        <v>1500</v>
      </c>
      <c r="C24" s="210">
        <v>1380</v>
      </c>
      <c r="D24" s="503">
        <f t="shared" si="0"/>
        <v>8.6956521739130432E-2</v>
      </c>
      <c r="E24" s="562">
        <f>折疊車!G24</f>
        <v>884253</v>
      </c>
      <c r="F24" s="210">
        <v>892558</v>
      </c>
      <c r="G24" s="503">
        <f t="shared" si="1"/>
        <v>-9.304717452535298E-3</v>
      </c>
      <c r="H24" s="87">
        <f t="shared" si="5"/>
        <v>589.50199999999995</v>
      </c>
      <c r="I24" s="88">
        <f t="shared" si="6"/>
        <v>646.7811594202899</v>
      </c>
      <c r="J24" s="500">
        <f t="shared" si="4"/>
        <v>-8.8560340056332607E-2</v>
      </c>
    </row>
    <row r="25" spans="1:10">
      <c r="A25" s="444" t="s">
        <v>207</v>
      </c>
      <c r="B25" s="562">
        <f>折疊車!E25</f>
        <v>0</v>
      </c>
      <c r="C25" s="210">
        <v>0</v>
      </c>
      <c r="D25" s="503">
        <f t="shared" si="0"/>
        <v>0</v>
      </c>
      <c r="E25" s="562">
        <f>折疊車!G25</f>
        <v>0</v>
      </c>
      <c r="F25" s="210">
        <v>0</v>
      </c>
      <c r="G25" s="503">
        <f t="shared" si="1"/>
        <v>0</v>
      </c>
      <c r="H25" s="87">
        <f t="shared" si="5"/>
        <v>0</v>
      </c>
      <c r="I25" s="88">
        <f t="shared" si="6"/>
        <v>0</v>
      </c>
      <c r="J25" s="500">
        <f t="shared" si="4"/>
        <v>0</v>
      </c>
    </row>
    <row r="26" spans="1:10">
      <c r="A26" s="444" t="s">
        <v>208</v>
      </c>
      <c r="B26" s="562">
        <f>折疊車!E26</f>
        <v>0</v>
      </c>
      <c r="C26" s="210">
        <v>0</v>
      </c>
      <c r="D26" s="503">
        <f t="shared" si="0"/>
        <v>0</v>
      </c>
      <c r="E26" s="562">
        <f>折疊車!G26</f>
        <v>0</v>
      </c>
      <c r="F26" s="210">
        <v>0</v>
      </c>
      <c r="G26" s="503">
        <f t="shared" si="1"/>
        <v>0</v>
      </c>
      <c r="H26" s="87">
        <f t="shared" si="5"/>
        <v>0</v>
      </c>
      <c r="I26" s="88">
        <f t="shared" si="6"/>
        <v>0</v>
      </c>
      <c r="J26" s="500">
        <f t="shared" si="4"/>
        <v>0</v>
      </c>
    </row>
    <row r="27" spans="1:10">
      <c r="A27" s="292" t="s">
        <v>209</v>
      </c>
      <c r="B27" s="562">
        <f>折疊車!E27</f>
        <v>0</v>
      </c>
      <c r="C27" s="210">
        <v>0</v>
      </c>
      <c r="D27" s="503">
        <f t="shared" si="0"/>
        <v>0</v>
      </c>
      <c r="E27" s="562">
        <f>折疊車!G27</f>
        <v>0</v>
      </c>
      <c r="F27" s="210">
        <v>0</v>
      </c>
      <c r="G27" s="503">
        <f t="shared" si="1"/>
        <v>0</v>
      </c>
      <c r="H27" s="87">
        <f t="shared" si="5"/>
        <v>0</v>
      </c>
      <c r="I27" s="88">
        <f t="shared" si="6"/>
        <v>0</v>
      </c>
      <c r="J27" s="500">
        <f t="shared" si="4"/>
        <v>0</v>
      </c>
    </row>
    <row r="28" spans="1:10">
      <c r="A28" s="292" t="s">
        <v>210</v>
      </c>
      <c r="B28" s="562">
        <f>折疊車!E28</f>
        <v>0</v>
      </c>
      <c r="C28" s="210">
        <v>1150</v>
      </c>
      <c r="D28" s="503">
        <f t="shared" si="0"/>
        <v>-1</v>
      </c>
      <c r="E28" s="562">
        <f>折疊車!G28</f>
        <v>0</v>
      </c>
      <c r="F28" s="210">
        <v>227800</v>
      </c>
      <c r="G28" s="503">
        <f t="shared" si="1"/>
        <v>-1</v>
      </c>
      <c r="H28" s="87">
        <f t="shared" si="5"/>
        <v>0</v>
      </c>
      <c r="I28" s="88">
        <f t="shared" si="6"/>
        <v>198.08695652173913</v>
      </c>
      <c r="J28" s="500">
        <f t="shared" si="4"/>
        <v>-1</v>
      </c>
    </row>
    <row r="29" spans="1:10">
      <c r="A29" s="445" t="s">
        <v>211</v>
      </c>
      <c r="B29" s="562">
        <f>折疊車!E29</f>
        <v>0</v>
      </c>
      <c r="C29" s="210">
        <v>0</v>
      </c>
      <c r="D29" s="503">
        <f t="shared" si="0"/>
        <v>0</v>
      </c>
      <c r="E29" s="562">
        <f>折疊車!G29</f>
        <v>0</v>
      </c>
      <c r="F29" s="210">
        <v>0</v>
      </c>
      <c r="G29" s="503">
        <f t="shared" si="1"/>
        <v>0</v>
      </c>
      <c r="H29" s="87">
        <f t="shared" si="5"/>
        <v>0</v>
      </c>
      <c r="I29" s="88">
        <f t="shared" si="6"/>
        <v>0</v>
      </c>
      <c r="J29" s="500">
        <f t="shared" si="4"/>
        <v>0</v>
      </c>
    </row>
    <row r="30" spans="1:10">
      <c r="A30" s="445" t="s">
        <v>212</v>
      </c>
      <c r="B30" s="562">
        <f>折疊車!E30</f>
        <v>0</v>
      </c>
      <c r="C30" s="210">
        <v>0</v>
      </c>
      <c r="D30" s="503">
        <f t="shared" si="0"/>
        <v>0</v>
      </c>
      <c r="E30" s="562">
        <f>折疊車!G30</f>
        <v>0</v>
      </c>
      <c r="F30" s="210">
        <v>0</v>
      </c>
      <c r="G30" s="503">
        <f t="shared" si="1"/>
        <v>0</v>
      </c>
      <c r="H30" s="87">
        <f t="shared" si="5"/>
        <v>0</v>
      </c>
      <c r="I30" s="88">
        <f t="shared" si="6"/>
        <v>0</v>
      </c>
      <c r="J30" s="500">
        <f t="shared" si="4"/>
        <v>0</v>
      </c>
    </row>
    <row r="31" spans="1:10">
      <c r="A31" s="445" t="s">
        <v>17</v>
      </c>
      <c r="B31" s="562">
        <f>折疊車!E31</f>
        <v>0</v>
      </c>
      <c r="C31" s="210">
        <v>0</v>
      </c>
      <c r="D31" s="503">
        <f t="shared" si="0"/>
        <v>0</v>
      </c>
      <c r="E31" s="562">
        <f>折疊車!G31</f>
        <v>0</v>
      </c>
      <c r="F31" s="210">
        <v>0</v>
      </c>
      <c r="G31" s="503">
        <f t="shared" si="1"/>
        <v>0</v>
      </c>
      <c r="H31" s="87">
        <f t="shared" si="5"/>
        <v>0</v>
      </c>
      <c r="I31" s="88">
        <f t="shared" si="6"/>
        <v>0</v>
      </c>
      <c r="J31" s="500">
        <f t="shared" si="4"/>
        <v>0</v>
      </c>
    </row>
    <row r="32" spans="1:10">
      <c r="A32" s="445" t="s">
        <v>18</v>
      </c>
      <c r="B32" s="562">
        <f>折疊車!E32</f>
        <v>0</v>
      </c>
      <c r="C32" s="210">
        <v>0</v>
      </c>
      <c r="D32" s="503">
        <f t="shared" si="0"/>
        <v>0</v>
      </c>
      <c r="E32" s="562">
        <f>折疊車!G32</f>
        <v>0</v>
      </c>
      <c r="F32" s="210">
        <v>0</v>
      </c>
      <c r="G32" s="503">
        <f t="shared" si="1"/>
        <v>0</v>
      </c>
      <c r="H32" s="87">
        <f t="shared" si="5"/>
        <v>0</v>
      </c>
      <c r="I32" s="88">
        <f t="shared" si="6"/>
        <v>0</v>
      </c>
      <c r="J32" s="500">
        <f t="shared" si="4"/>
        <v>0</v>
      </c>
    </row>
    <row r="33" spans="1:10">
      <c r="A33" s="445" t="s">
        <v>213</v>
      </c>
      <c r="B33" s="562">
        <f>折疊車!E33</f>
        <v>0</v>
      </c>
      <c r="C33" s="210">
        <v>0</v>
      </c>
      <c r="D33" s="503">
        <f t="shared" si="0"/>
        <v>0</v>
      </c>
      <c r="E33" s="562">
        <f>折疊車!G33</f>
        <v>0</v>
      </c>
      <c r="F33" s="210">
        <v>0</v>
      </c>
      <c r="G33" s="503">
        <f t="shared" si="1"/>
        <v>0</v>
      </c>
      <c r="H33" s="87">
        <f t="shared" si="5"/>
        <v>0</v>
      </c>
      <c r="I33" s="88">
        <f t="shared" si="6"/>
        <v>0</v>
      </c>
      <c r="J33" s="500">
        <f t="shared" si="4"/>
        <v>0</v>
      </c>
    </row>
    <row r="34" spans="1:10">
      <c r="A34" s="445" t="s">
        <v>214</v>
      </c>
      <c r="B34" s="562">
        <f>折疊車!E34</f>
        <v>0</v>
      </c>
      <c r="C34" s="210">
        <v>0</v>
      </c>
      <c r="D34" s="503">
        <f t="shared" si="0"/>
        <v>0</v>
      </c>
      <c r="E34" s="562">
        <f>折疊車!G34</f>
        <v>0</v>
      </c>
      <c r="F34" s="210">
        <v>0</v>
      </c>
      <c r="G34" s="503">
        <f t="shared" si="1"/>
        <v>0</v>
      </c>
      <c r="H34" s="87">
        <f t="shared" si="5"/>
        <v>0</v>
      </c>
      <c r="I34" s="88">
        <f t="shared" si="6"/>
        <v>0</v>
      </c>
      <c r="J34" s="500">
        <f t="shared" si="4"/>
        <v>0</v>
      </c>
    </row>
    <row r="35" spans="1:10">
      <c r="A35" s="445" t="s">
        <v>215</v>
      </c>
      <c r="B35" s="562">
        <f>折疊車!E35</f>
        <v>0</v>
      </c>
      <c r="C35" s="210">
        <v>0</v>
      </c>
      <c r="D35" s="503">
        <f t="shared" si="0"/>
        <v>0</v>
      </c>
      <c r="E35" s="562">
        <f>折疊車!G35</f>
        <v>0</v>
      </c>
      <c r="F35" s="210">
        <v>0</v>
      </c>
      <c r="G35" s="503">
        <f t="shared" si="1"/>
        <v>0</v>
      </c>
      <c r="H35" s="87">
        <f t="shared" si="5"/>
        <v>0</v>
      </c>
      <c r="I35" s="88">
        <f t="shared" si="6"/>
        <v>0</v>
      </c>
      <c r="J35" s="500">
        <f t="shared" si="4"/>
        <v>0</v>
      </c>
    </row>
    <row r="36" spans="1:10">
      <c r="A36" s="445" t="s">
        <v>381</v>
      </c>
      <c r="B36" s="562">
        <f>折疊車!E36</f>
        <v>0</v>
      </c>
      <c r="C36" s="210">
        <v>0</v>
      </c>
      <c r="D36" s="503">
        <f t="shared" si="0"/>
        <v>0</v>
      </c>
      <c r="E36" s="562">
        <f>折疊車!G36</f>
        <v>0</v>
      </c>
      <c r="F36" s="210">
        <v>0</v>
      </c>
      <c r="G36" s="503">
        <f t="shared" si="1"/>
        <v>0</v>
      </c>
      <c r="H36" s="87">
        <f t="shared" si="5"/>
        <v>0</v>
      </c>
      <c r="I36" s="88">
        <f t="shared" si="6"/>
        <v>0</v>
      </c>
      <c r="J36" s="500">
        <f t="shared" si="4"/>
        <v>0</v>
      </c>
    </row>
    <row r="37" spans="1:10">
      <c r="A37" s="445" t="s">
        <v>217</v>
      </c>
      <c r="B37" s="562">
        <f>折疊車!E37</f>
        <v>0</v>
      </c>
      <c r="C37" s="210">
        <v>0</v>
      </c>
      <c r="D37" s="503">
        <f t="shared" si="0"/>
        <v>0</v>
      </c>
      <c r="E37" s="562">
        <f>折疊車!G37</f>
        <v>0</v>
      </c>
      <c r="F37" s="210">
        <v>0</v>
      </c>
      <c r="G37" s="503">
        <f t="shared" si="1"/>
        <v>0</v>
      </c>
      <c r="H37" s="87">
        <f t="shared" si="5"/>
        <v>0</v>
      </c>
      <c r="I37" s="88">
        <f t="shared" si="6"/>
        <v>0</v>
      </c>
      <c r="J37" s="500">
        <f t="shared" si="4"/>
        <v>0</v>
      </c>
    </row>
    <row r="38" spans="1:10">
      <c r="A38" s="445" t="s">
        <v>218</v>
      </c>
      <c r="B38" s="562">
        <f>折疊車!E38</f>
        <v>0</v>
      </c>
      <c r="C38" s="210">
        <v>0</v>
      </c>
      <c r="D38" s="503">
        <f t="shared" si="0"/>
        <v>0</v>
      </c>
      <c r="E38" s="562">
        <f>折疊車!G38</f>
        <v>0</v>
      </c>
      <c r="F38" s="210">
        <v>0</v>
      </c>
      <c r="G38" s="503">
        <f t="shared" si="1"/>
        <v>0</v>
      </c>
      <c r="H38" s="87">
        <f t="shared" si="5"/>
        <v>0</v>
      </c>
      <c r="I38" s="88">
        <f t="shared" si="6"/>
        <v>0</v>
      </c>
      <c r="J38" s="500">
        <f t="shared" si="4"/>
        <v>0</v>
      </c>
    </row>
    <row r="39" spans="1:10">
      <c r="A39" s="445" t="s">
        <v>19</v>
      </c>
      <c r="B39" s="562">
        <f>折疊車!E39</f>
        <v>0</v>
      </c>
      <c r="C39" s="210">
        <v>0</v>
      </c>
      <c r="D39" s="503">
        <f t="shared" si="0"/>
        <v>0</v>
      </c>
      <c r="E39" s="562">
        <f>折疊車!G39</f>
        <v>0</v>
      </c>
      <c r="F39" s="210">
        <v>0</v>
      </c>
      <c r="G39" s="503">
        <f t="shared" si="1"/>
        <v>0</v>
      </c>
      <c r="H39" s="87">
        <f t="shared" si="5"/>
        <v>0</v>
      </c>
      <c r="I39" s="88">
        <f t="shared" si="6"/>
        <v>0</v>
      </c>
      <c r="J39" s="500">
        <f t="shared" si="4"/>
        <v>0</v>
      </c>
    </row>
    <row r="40" spans="1:10">
      <c r="A40" s="30"/>
      <c r="B40" s="556"/>
      <c r="C40" s="90"/>
      <c r="D40" s="503"/>
      <c r="E40" s="556"/>
      <c r="F40" s="90"/>
      <c r="G40" s="503"/>
      <c r="H40" s="87"/>
      <c r="I40" s="88"/>
      <c r="J40" s="500"/>
    </row>
    <row r="41" spans="1:10" ht="16.149999999999999" customHeight="1">
      <c r="A41" s="36" t="s">
        <v>20</v>
      </c>
      <c r="B41" s="555">
        <f>SUM(B42:B45)</f>
        <v>0</v>
      </c>
      <c r="C41" s="33">
        <v>0</v>
      </c>
      <c r="D41" s="503">
        <f t="shared" si="0"/>
        <v>0</v>
      </c>
      <c r="E41" s="555">
        <f>SUM(E42:E45)</f>
        <v>0</v>
      </c>
      <c r="F41" s="91">
        <v>0</v>
      </c>
      <c r="G41" s="503">
        <f t="shared" si="1"/>
        <v>0</v>
      </c>
      <c r="H41" s="87">
        <f t="shared" si="5"/>
        <v>0</v>
      </c>
      <c r="I41" s="88">
        <f t="shared" si="6"/>
        <v>0</v>
      </c>
      <c r="J41" s="500">
        <f t="shared" si="4"/>
        <v>0</v>
      </c>
    </row>
    <row r="42" spans="1:10">
      <c r="A42" s="26" t="s">
        <v>219</v>
      </c>
      <c r="B42" s="556">
        <f>折疊車!E42</f>
        <v>0</v>
      </c>
      <c r="C42" s="210">
        <v>0</v>
      </c>
      <c r="D42" s="503">
        <f t="shared" si="0"/>
        <v>0</v>
      </c>
      <c r="E42" s="556">
        <f>折疊車!G42</f>
        <v>0</v>
      </c>
      <c r="F42" s="210">
        <v>0</v>
      </c>
      <c r="G42" s="503">
        <f t="shared" si="1"/>
        <v>0</v>
      </c>
      <c r="H42" s="87">
        <f t="shared" si="5"/>
        <v>0</v>
      </c>
      <c r="I42" s="88">
        <f t="shared" si="6"/>
        <v>0</v>
      </c>
      <c r="J42" s="500">
        <f t="shared" si="4"/>
        <v>0</v>
      </c>
    </row>
    <row r="43" spans="1:10">
      <c r="A43" s="26" t="s">
        <v>220</v>
      </c>
      <c r="B43" s="556">
        <f>折疊車!E43</f>
        <v>0</v>
      </c>
      <c r="C43" s="210">
        <v>0</v>
      </c>
      <c r="D43" s="503">
        <f t="shared" si="0"/>
        <v>0</v>
      </c>
      <c r="E43" s="556">
        <f>折疊車!G43</f>
        <v>0</v>
      </c>
      <c r="F43" s="210">
        <v>0</v>
      </c>
      <c r="G43" s="503">
        <f t="shared" si="1"/>
        <v>0</v>
      </c>
      <c r="H43" s="87">
        <f t="shared" si="5"/>
        <v>0</v>
      </c>
      <c r="I43" s="88">
        <f t="shared" si="6"/>
        <v>0</v>
      </c>
      <c r="J43" s="500">
        <f t="shared" si="4"/>
        <v>0</v>
      </c>
    </row>
    <row r="44" spans="1:10">
      <c r="A44" s="26" t="s">
        <v>221</v>
      </c>
      <c r="B44" s="556">
        <f>折疊車!E44</f>
        <v>0</v>
      </c>
      <c r="C44" s="210">
        <v>0</v>
      </c>
      <c r="D44" s="503">
        <f t="shared" si="0"/>
        <v>0</v>
      </c>
      <c r="E44" s="556">
        <f>折疊車!G44</f>
        <v>0</v>
      </c>
      <c r="F44" s="210">
        <v>0</v>
      </c>
      <c r="G44" s="503">
        <f t="shared" si="1"/>
        <v>0</v>
      </c>
      <c r="H44" s="87">
        <f t="shared" si="5"/>
        <v>0</v>
      </c>
      <c r="I44" s="88">
        <f t="shared" si="6"/>
        <v>0</v>
      </c>
      <c r="J44" s="500">
        <f t="shared" si="4"/>
        <v>0</v>
      </c>
    </row>
    <row r="45" spans="1:10">
      <c r="A45" s="30" t="s">
        <v>21</v>
      </c>
      <c r="B45" s="556">
        <f>折疊車!E45</f>
        <v>0</v>
      </c>
      <c r="C45" s="210">
        <v>0</v>
      </c>
      <c r="D45" s="503">
        <f t="shared" si="0"/>
        <v>0</v>
      </c>
      <c r="E45" s="556">
        <f>折疊車!G45</f>
        <v>0</v>
      </c>
      <c r="F45" s="210">
        <v>0</v>
      </c>
      <c r="G45" s="503">
        <f t="shared" si="1"/>
        <v>0</v>
      </c>
      <c r="H45" s="87">
        <f t="shared" si="5"/>
        <v>0</v>
      </c>
      <c r="I45" s="88">
        <f t="shared" si="6"/>
        <v>0</v>
      </c>
      <c r="J45" s="500">
        <f t="shared" si="4"/>
        <v>0</v>
      </c>
    </row>
    <row r="46" spans="1:10">
      <c r="A46" s="30"/>
      <c r="B46" s="556"/>
      <c r="C46" s="90"/>
      <c r="D46" s="503"/>
      <c r="E46" s="556"/>
      <c r="F46" s="90"/>
      <c r="G46" s="503"/>
      <c r="H46" s="87"/>
      <c r="I46" s="88"/>
      <c r="J46" s="500"/>
    </row>
    <row r="47" spans="1:10">
      <c r="A47" s="36" t="s">
        <v>22</v>
      </c>
      <c r="B47" s="555">
        <f>SUM(B48:B66)</f>
        <v>5872</v>
      </c>
      <c r="C47" s="91">
        <v>7100</v>
      </c>
      <c r="D47" s="503">
        <f t="shared" si="0"/>
        <v>-0.17295774647887324</v>
      </c>
      <c r="E47" s="555">
        <f>SUM(E48:E66)</f>
        <v>4126466</v>
      </c>
      <c r="F47" s="90">
        <v>5055881</v>
      </c>
      <c r="G47" s="530">
        <f t="shared" si="1"/>
        <v>-0.18382849596341369</v>
      </c>
      <c r="H47" s="87">
        <f t="shared" si="5"/>
        <v>702.73603542234332</v>
      </c>
      <c r="I47" s="509">
        <f t="shared" si="6"/>
        <v>712.09591549295772</v>
      </c>
      <c r="J47" s="500">
        <f t="shared" si="4"/>
        <v>-1.3144128293637094E-2</v>
      </c>
    </row>
    <row r="48" spans="1:10">
      <c r="A48" s="476" t="s">
        <v>162</v>
      </c>
      <c r="B48" s="556">
        <f>折疊車!E48</f>
        <v>0</v>
      </c>
      <c r="C48" s="210">
        <v>1100</v>
      </c>
      <c r="D48" s="503">
        <f t="shared" si="0"/>
        <v>-1</v>
      </c>
      <c r="E48" s="556">
        <f>折疊車!G48</f>
        <v>0</v>
      </c>
      <c r="F48" s="210">
        <v>256408</v>
      </c>
      <c r="G48" s="503">
        <f t="shared" si="1"/>
        <v>-1</v>
      </c>
      <c r="H48" s="87">
        <f t="shared" si="5"/>
        <v>0</v>
      </c>
      <c r="I48" s="88">
        <f t="shared" si="6"/>
        <v>233.09818181818181</v>
      </c>
      <c r="J48" s="500">
        <f t="shared" si="4"/>
        <v>-1</v>
      </c>
    </row>
    <row r="49" spans="1:10">
      <c r="A49" s="444" t="s">
        <v>222</v>
      </c>
      <c r="B49" s="556">
        <f>折疊車!E49</f>
        <v>884</v>
      </c>
      <c r="C49" s="210">
        <v>1396</v>
      </c>
      <c r="D49" s="503">
        <f t="shared" si="0"/>
        <v>-0.36676217765042979</v>
      </c>
      <c r="E49" s="556">
        <f>折疊車!G49</f>
        <v>698200</v>
      </c>
      <c r="F49" s="210">
        <v>829080</v>
      </c>
      <c r="G49" s="503">
        <f t="shared" si="1"/>
        <v>-0.15786172625078401</v>
      </c>
      <c r="H49" s="87">
        <f t="shared" si="5"/>
        <v>789.81900452488685</v>
      </c>
      <c r="I49" s="88">
        <f t="shared" si="6"/>
        <v>593.89684813753581</v>
      </c>
      <c r="J49" s="500">
        <f t="shared" si="4"/>
        <v>0.32989256804740441</v>
      </c>
    </row>
    <row r="50" spans="1:10">
      <c r="A50" s="289" t="s">
        <v>223</v>
      </c>
      <c r="B50" s="556">
        <f>折疊車!E50</f>
        <v>0</v>
      </c>
      <c r="C50" s="210">
        <v>0</v>
      </c>
      <c r="D50" s="503">
        <f t="shared" si="0"/>
        <v>0</v>
      </c>
      <c r="E50" s="556">
        <f>折疊車!G50</f>
        <v>0</v>
      </c>
      <c r="F50" s="210">
        <v>0</v>
      </c>
      <c r="G50" s="503">
        <f t="shared" si="1"/>
        <v>0</v>
      </c>
      <c r="H50" s="87">
        <f t="shared" si="5"/>
        <v>0</v>
      </c>
      <c r="I50" s="88">
        <f t="shared" si="6"/>
        <v>0</v>
      </c>
      <c r="J50" s="500">
        <f t="shared" si="4"/>
        <v>0</v>
      </c>
    </row>
    <row r="51" spans="1:10">
      <c r="A51" s="444" t="s">
        <v>224</v>
      </c>
      <c r="B51" s="556">
        <f>折疊車!E51</f>
        <v>0</v>
      </c>
      <c r="C51" s="210">
        <v>0</v>
      </c>
      <c r="D51" s="503">
        <f t="shared" si="0"/>
        <v>0</v>
      </c>
      <c r="E51" s="556">
        <f>折疊車!G51</f>
        <v>0</v>
      </c>
      <c r="F51" s="210">
        <v>0</v>
      </c>
      <c r="G51" s="503">
        <f t="shared" si="1"/>
        <v>0</v>
      </c>
      <c r="H51" s="87">
        <f t="shared" si="5"/>
        <v>0</v>
      </c>
      <c r="I51" s="88">
        <f t="shared" si="6"/>
        <v>0</v>
      </c>
      <c r="J51" s="500">
        <f t="shared" si="4"/>
        <v>0</v>
      </c>
    </row>
    <row r="52" spans="1:10">
      <c r="A52" s="445" t="s">
        <v>23</v>
      </c>
      <c r="B52" s="556">
        <f>折疊車!E52</f>
        <v>0</v>
      </c>
      <c r="C52" s="210">
        <v>0</v>
      </c>
      <c r="D52" s="503">
        <f t="shared" si="0"/>
        <v>0</v>
      </c>
      <c r="E52" s="556">
        <f>折疊車!G52</f>
        <v>0</v>
      </c>
      <c r="F52" s="210">
        <v>0</v>
      </c>
      <c r="G52" s="503">
        <f t="shared" si="1"/>
        <v>0</v>
      </c>
      <c r="H52" s="87">
        <f t="shared" si="5"/>
        <v>0</v>
      </c>
      <c r="I52" s="88">
        <f t="shared" si="6"/>
        <v>0</v>
      </c>
      <c r="J52" s="500">
        <f t="shared" si="4"/>
        <v>0</v>
      </c>
    </row>
    <row r="53" spans="1:10">
      <c r="A53" s="444" t="s">
        <v>225</v>
      </c>
      <c r="B53" s="556">
        <f>折疊車!E53</f>
        <v>0</v>
      </c>
      <c r="C53" s="210">
        <v>0</v>
      </c>
      <c r="D53" s="503">
        <f t="shared" si="0"/>
        <v>0</v>
      </c>
      <c r="E53" s="556">
        <f>折疊車!G53</f>
        <v>0</v>
      </c>
      <c r="F53" s="210">
        <v>0</v>
      </c>
      <c r="G53" s="503">
        <f t="shared" si="1"/>
        <v>0</v>
      </c>
      <c r="H53" s="87">
        <f t="shared" si="5"/>
        <v>0</v>
      </c>
      <c r="I53" s="88">
        <f t="shared" si="6"/>
        <v>0</v>
      </c>
      <c r="J53" s="500">
        <f t="shared" si="4"/>
        <v>0</v>
      </c>
    </row>
    <row r="54" spans="1:10">
      <c r="A54" s="445" t="s">
        <v>226</v>
      </c>
      <c r="B54" s="556">
        <f>折疊車!E54</f>
        <v>31</v>
      </c>
      <c r="C54" s="210">
        <v>44</v>
      </c>
      <c r="D54" s="503">
        <f t="shared" si="0"/>
        <v>-0.29545454545454547</v>
      </c>
      <c r="E54" s="556">
        <f>折疊車!G54</f>
        <v>14557</v>
      </c>
      <c r="F54" s="210">
        <v>43493</v>
      </c>
      <c r="G54" s="503">
        <f t="shared" si="1"/>
        <v>-0.66530246246522429</v>
      </c>
      <c r="H54" s="87">
        <f t="shared" si="5"/>
        <v>469.58064516129031</v>
      </c>
      <c r="I54" s="88">
        <f t="shared" si="6"/>
        <v>988.47727272727275</v>
      </c>
      <c r="J54" s="500">
        <f t="shared" si="4"/>
        <v>-0.52494543059580234</v>
      </c>
    </row>
    <row r="55" spans="1:10">
      <c r="A55" s="445" t="s">
        <v>24</v>
      </c>
      <c r="B55" s="556">
        <f>折疊車!E55</f>
        <v>0</v>
      </c>
      <c r="C55" s="210">
        <v>0</v>
      </c>
      <c r="D55" s="503">
        <f t="shared" si="0"/>
        <v>0</v>
      </c>
      <c r="E55" s="556">
        <f>折疊車!G55</f>
        <v>0</v>
      </c>
      <c r="F55" s="210">
        <v>0</v>
      </c>
      <c r="G55" s="503">
        <f t="shared" si="1"/>
        <v>0</v>
      </c>
      <c r="H55" s="87">
        <f t="shared" si="5"/>
        <v>0</v>
      </c>
      <c r="I55" s="88">
        <f t="shared" si="6"/>
        <v>0</v>
      </c>
      <c r="J55" s="500">
        <f t="shared" si="4"/>
        <v>0</v>
      </c>
    </row>
    <row r="56" spans="1:10">
      <c r="A56" s="445" t="s">
        <v>227</v>
      </c>
      <c r="B56" s="556">
        <f>折疊車!E56</f>
        <v>2600</v>
      </c>
      <c r="C56" s="210">
        <v>1171</v>
      </c>
      <c r="D56" s="503">
        <f t="shared" si="0"/>
        <v>1.2203245089666952</v>
      </c>
      <c r="E56" s="556">
        <f>折疊車!G56</f>
        <v>1623279</v>
      </c>
      <c r="F56" s="210">
        <v>1067408</v>
      </c>
      <c r="G56" s="530">
        <f t="shared" si="1"/>
        <v>0.52076712934510516</v>
      </c>
      <c r="H56" s="87">
        <f t="shared" si="5"/>
        <v>624.33807692307687</v>
      </c>
      <c r="I56" s="88">
        <f t="shared" si="6"/>
        <v>911.53543979504695</v>
      </c>
      <c r="J56" s="500">
        <f t="shared" si="4"/>
        <v>-0.31506988136033925</v>
      </c>
    </row>
    <row r="57" spans="1:10">
      <c r="A57" s="447" t="s">
        <v>455</v>
      </c>
      <c r="B57" s="556">
        <f>折疊車!E57</f>
        <v>1665</v>
      </c>
      <c r="C57" s="210">
        <v>2387</v>
      </c>
      <c r="D57" s="503">
        <f t="shared" si="0"/>
        <v>-0.30247172182656051</v>
      </c>
      <c r="E57" s="556">
        <f>折疊車!G57</f>
        <v>1347570</v>
      </c>
      <c r="F57" s="210">
        <v>2142176</v>
      </c>
      <c r="G57" s="530">
        <f t="shared" si="1"/>
        <v>-0.37093404090046755</v>
      </c>
      <c r="H57" s="87">
        <f t="shared" si="5"/>
        <v>809.35135135135135</v>
      </c>
      <c r="I57" s="88">
        <f t="shared" si="6"/>
        <v>897.43443653121074</v>
      </c>
      <c r="J57" s="500">
        <f t="shared" si="4"/>
        <v>-9.8149883260910564E-2</v>
      </c>
    </row>
    <row r="58" spans="1:10">
      <c r="A58" s="292" t="s">
        <v>382</v>
      </c>
      <c r="B58" s="556">
        <f>折疊車!E58</f>
        <v>267</v>
      </c>
      <c r="C58" s="210">
        <v>475</v>
      </c>
      <c r="D58" s="503">
        <f t="shared" si="0"/>
        <v>-0.43789473684210528</v>
      </c>
      <c r="E58" s="556">
        <f>折疊車!G58</f>
        <v>266569</v>
      </c>
      <c r="F58" s="210">
        <v>474249</v>
      </c>
      <c r="G58" s="530">
        <f t="shared" si="1"/>
        <v>-0.43791341679160106</v>
      </c>
      <c r="H58" s="87">
        <f t="shared" si="5"/>
        <v>998.38576779026221</v>
      </c>
      <c r="I58" s="88">
        <f t="shared" si="6"/>
        <v>998.41894736842107</v>
      </c>
      <c r="J58" s="500">
        <f t="shared" si="4"/>
        <v>-3.323211988946949E-5</v>
      </c>
    </row>
    <row r="59" spans="1:10">
      <c r="A59" s="445" t="s">
        <v>25</v>
      </c>
      <c r="B59" s="556">
        <f>折疊車!E59</f>
        <v>420</v>
      </c>
      <c r="C59" s="210">
        <v>440</v>
      </c>
      <c r="D59" s="503">
        <f t="shared" si="0"/>
        <v>-4.5454545454545456E-2</v>
      </c>
      <c r="E59" s="556">
        <f>折疊車!G59</f>
        <v>176030</v>
      </c>
      <c r="F59" s="210">
        <v>139662</v>
      </c>
      <c r="G59" s="503">
        <f t="shared" si="1"/>
        <v>0.26040010883418541</v>
      </c>
      <c r="H59" s="87">
        <f t="shared" si="5"/>
        <v>419.11904761904759</v>
      </c>
      <c r="I59" s="88">
        <f t="shared" si="6"/>
        <v>317.41363636363639</v>
      </c>
      <c r="J59" s="500">
        <f t="shared" si="4"/>
        <v>0.32041916163581308</v>
      </c>
    </row>
    <row r="60" spans="1:10">
      <c r="A60" s="445" t="s">
        <v>26</v>
      </c>
      <c r="B60" s="556">
        <f>折疊車!E60</f>
        <v>0</v>
      </c>
      <c r="C60" s="210">
        <v>0</v>
      </c>
      <c r="D60" s="503">
        <f t="shared" si="0"/>
        <v>0</v>
      </c>
      <c r="E60" s="556">
        <f>折疊車!G60</f>
        <v>0</v>
      </c>
      <c r="F60" s="210">
        <v>0</v>
      </c>
      <c r="G60" s="503">
        <f t="shared" si="1"/>
        <v>0</v>
      </c>
      <c r="H60" s="87">
        <f t="shared" si="5"/>
        <v>0</v>
      </c>
      <c r="I60" s="88">
        <f t="shared" si="6"/>
        <v>0</v>
      </c>
      <c r="J60" s="500">
        <f t="shared" si="4"/>
        <v>0</v>
      </c>
    </row>
    <row r="61" spans="1:10">
      <c r="A61" s="445" t="s">
        <v>27</v>
      </c>
      <c r="B61" s="556">
        <f>折疊車!E61</f>
        <v>0</v>
      </c>
      <c r="C61" s="210">
        <v>0</v>
      </c>
      <c r="D61" s="503">
        <f t="shared" si="0"/>
        <v>0</v>
      </c>
      <c r="E61" s="556">
        <f>折疊車!G61</f>
        <v>0</v>
      </c>
      <c r="F61" s="210">
        <v>0</v>
      </c>
      <c r="G61" s="503">
        <f t="shared" si="1"/>
        <v>0</v>
      </c>
      <c r="H61" s="87">
        <f t="shared" si="5"/>
        <v>0</v>
      </c>
      <c r="I61" s="88">
        <f t="shared" si="6"/>
        <v>0</v>
      </c>
      <c r="J61" s="500">
        <f t="shared" si="4"/>
        <v>0</v>
      </c>
    </row>
    <row r="62" spans="1:10">
      <c r="A62" s="292" t="s">
        <v>228</v>
      </c>
      <c r="B62" s="556">
        <f>折疊車!E62</f>
        <v>0</v>
      </c>
      <c r="C62" s="210">
        <v>0</v>
      </c>
      <c r="D62" s="503">
        <f t="shared" si="0"/>
        <v>0</v>
      </c>
      <c r="E62" s="556">
        <f>折疊車!G62</f>
        <v>0</v>
      </c>
      <c r="F62" s="210">
        <v>0</v>
      </c>
      <c r="G62" s="503">
        <f t="shared" si="1"/>
        <v>0</v>
      </c>
      <c r="H62" s="87">
        <f t="shared" si="5"/>
        <v>0</v>
      </c>
      <c r="I62" s="88">
        <f t="shared" si="6"/>
        <v>0</v>
      </c>
      <c r="J62" s="500">
        <f t="shared" si="4"/>
        <v>0</v>
      </c>
    </row>
    <row r="63" spans="1:10">
      <c r="A63" s="445" t="s">
        <v>28</v>
      </c>
      <c r="B63" s="556">
        <f>折疊車!E63</f>
        <v>0</v>
      </c>
      <c r="C63" s="210">
        <v>0</v>
      </c>
      <c r="D63" s="503">
        <f t="shared" si="0"/>
        <v>0</v>
      </c>
      <c r="E63" s="556">
        <f>折疊車!G63</f>
        <v>0</v>
      </c>
      <c r="F63" s="210">
        <v>0</v>
      </c>
      <c r="G63" s="503">
        <f t="shared" si="1"/>
        <v>0</v>
      </c>
      <c r="H63" s="87">
        <f t="shared" si="5"/>
        <v>0</v>
      </c>
      <c r="I63" s="88">
        <f t="shared" si="6"/>
        <v>0</v>
      </c>
      <c r="J63" s="500">
        <f t="shared" si="4"/>
        <v>0</v>
      </c>
    </row>
    <row r="64" spans="1:10">
      <c r="A64" s="292" t="s">
        <v>229</v>
      </c>
      <c r="B64" s="556">
        <f>折疊車!E64</f>
        <v>0</v>
      </c>
      <c r="C64" s="210">
        <v>0</v>
      </c>
      <c r="D64" s="503">
        <f t="shared" si="0"/>
        <v>0</v>
      </c>
      <c r="E64" s="556">
        <f>折疊車!G64</f>
        <v>0</v>
      </c>
      <c r="F64" s="210">
        <v>0</v>
      </c>
      <c r="G64" s="503">
        <f t="shared" si="1"/>
        <v>0</v>
      </c>
      <c r="H64" s="87">
        <f t="shared" si="5"/>
        <v>0</v>
      </c>
      <c r="I64" s="88">
        <f t="shared" si="6"/>
        <v>0</v>
      </c>
      <c r="J64" s="500">
        <f t="shared" si="4"/>
        <v>0</v>
      </c>
    </row>
    <row r="65" spans="1:10">
      <c r="A65" s="445" t="s">
        <v>29</v>
      </c>
      <c r="B65" s="556">
        <f>折疊車!E65</f>
        <v>0</v>
      </c>
      <c r="C65" s="210">
        <v>78</v>
      </c>
      <c r="D65" s="503">
        <f t="shared" si="0"/>
        <v>-1</v>
      </c>
      <c r="E65" s="556">
        <f>折疊車!G65</f>
        <v>0</v>
      </c>
      <c r="F65" s="210">
        <v>99783</v>
      </c>
      <c r="G65" s="503">
        <f t="shared" si="1"/>
        <v>-1</v>
      </c>
      <c r="H65" s="87">
        <f t="shared" si="5"/>
        <v>0</v>
      </c>
      <c r="I65" s="88">
        <f t="shared" si="6"/>
        <v>1279.2692307692307</v>
      </c>
      <c r="J65" s="500">
        <f t="shared" si="4"/>
        <v>-1</v>
      </c>
    </row>
    <row r="66" spans="1:10">
      <c r="A66" s="292" t="s">
        <v>230</v>
      </c>
      <c r="B66" s="556">
        <f>折疊車!E66</f>
        <v>5</v>
      </c>
      <c r="C66" s="210">
        <v>9</v>
      </c>
      <c r="D66" s="503">
        <f t="shared" si="0"/>
        <v>-0.44444444444444442</v>
      </c>
      <c r="E66" s="556">
        <f>折疊車!G66</f>
        <v>261</v>
      </c>
      <c r="F66" s="210">
        <v>3622</v>
      </c>
      <c r="G66" s="503">
        <f t="shared" si="1"/>
        <v>-0.9279403644395362</v>
      </c>
      <c r="H66" s="87">
        <f t="shared" si="5"/>
        <v>52.2</v>
      </c>
      <c r="I66" s="509">
        <f t="shared" si="6"/>
        <v>402.44444444444446</v>
      </c>
      <c r="J66" s="529">
        <f t="shared" si="4"/>
        <v>-0.87029265599116512</v>
      </c>
    </row>
    <row r="67" spans="1:10">
      <c r="A67" s="30" t="s">
        <v>30</v>
      </c>
      <c r="B67" s="556">
        <f>B68-B47-B41-B12-B7</f>
        <v>6</v>
      </c>
      <c r="C67" s="90">
        <v>302</v>
      </c>
      <c r="D67" s="503">
        <f t="shared" si="0"/>
        <v>-0.98013245033112584</v>
      </c>
      <c r="E67" s="556">
        <f>折疊車!G67</f>
        <v>3221</v>
      </c>
      <c r="F67" s="90">
        <v>173137</v>
      </c>
      <c r="G67" s="530">
        <f t="shared" si="1"/>
        <v>-0.98139623535119591</v>
      </c>
      <c r="H67" s="87">
        <f t="shared" si="5"/>
        <v>536.83333333333337</v>
      </c>
      <c r="I67" s="509">
        <f t="shared" si="6"/>
        <v>573.30132450331121</v>
      </c>
      <c r="J67" s="529">
        <f t="shared" si="4"/>
        <v>-6.3610512676858827E-2</v>
      </c>
    </row>
    <row r="68" spans="1:10">
      <c r="A68" s="32" t="s">
        <v>400</v>
      </c>
      <c r="B68" s="555">
        <f>折疊車!E68</f>
        <v>7460</v>
      </c>
      <c r="C68" s="210">
        <v>10508</v>
      </c>
      <c r="D68" s="503">
        <f t="shared" si="0"/>
        <v>-0.29006471259992389</v>
      </c>
      <c r="E68" s="555">
        <f>折疊車!G68</f>
        <v>5070964</v>
      </c>
      <c r="F68" s="210">
        <v>6858490</v>
      </c>
      <c r="G68" s="530">
        <f t="shared" si="1"/>
        <v>-0.26062967212899635</v>
      </c>
      <c r="H68" s="87">
        <f t="shared" ref="H68" si="7">E68/B68</f>
        <v>679.75388739946379</v>
      </c>
      <c r="I68" s="509">
        <f>F68/C68</f>
        <v>652.69223448800915</v>
      </c>
      <c r="J68" s="529">
        <f t="shared" si="4"/>
        <v>4.146158247567109E-2</v>
      </c>
    </row>
    <row r="69" spans="1:10" ht="6" customHeight="1">
      <c r="A69" s="38"/>
      <c r="B69" s="39"/>
      <c r="C69" s="150"/>
      <c r="D69" s="211"/>
      <c r="E69" s="521"/>
      <c r="F69" s="150"/>
      <c r="G69" s="211"/>
    </row>
    <row r="70" spans="1:10" ht="12.75" customHeight="1">
      <c r="A70" s="55" t="s">
        <v>57</v>
      </c>
      <c r="B70" s="13"/>
      <c r="E70" s="522"/>
      <c r="G70" s="60" t="s">
        <v>119</v>
      </c>
    </row>
  </sheetData>
  <phoneticPr fontId="3" type="noConversion"/>
  <conditionalFormatting sqref="D4">
    <cfRule type="cellIs" dxfId="61" priority="3" operator="greaterThanOrEqual">
      <formula>0</formula>
    </cfRule>
    <cfRule type="cellIs" dxfId="60" priority="4" operator="lessThan">
      <formula>0</formula>
    </cfRule>
  </conditionalFormatting>
  <conditionalFormatting sqref="G4">
    <cfRule type="cellIs" dxfId="59" priority="1" operator="greaterThanOrEqual">
      <formula>0</formula>
    </cfRule>
    <cfRule type="cellIs" dxfId="58" priority="2" operator="lessThan">
      <formula>0</formula>
    </cfRule>
  </conditionalFormatting>
  <conditionalFormatting sqref="J1:J3 J6:J1048576">
    <cfRule type="cellIs" dxfId="57" priority="5" operator="greaterThanOrEqual">
      <formula>0</formula>
    </cfRule>
    <cfRule type="cellIs" dxfId="56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4" customWidth="1"/>
    <col min="4" max="4" width="10.75" style="305" customWidth="1"/>
    <col min="5" max="5" width="14.625" style="5" customWidth="1"/>
    <col min="6" max="6" width="15.625" style="304" customWidth="1"/>
    <col min="7" max="7" width="11" style="305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501</v>
      </c>
      <c r="B1" s="128"/>
      <c r="C1" s="302"/>
      <c r="D1" s="303"/>
      <c r="E1" s="128"/>
      <c r="F1" s="302"/>
      <c r="G1" s="303"/>
      <c r="I1"/>
      <c r="J1"/>
      <c r="K1"/>
      <c r="L1"/>
      <c r="M1"/>
      <c r="N1"/>
      <c r="O1"/>
      <c r="P1"/>
    </row>
    <row r="2" spans="1:16" ht="6.75" customHeight="1">
      <c r="I2"/>
      <c r="J2"/>
      <c r="K2"/>
      <c r="L2"/>
      <c r="M2"/>
      <c r="N2"/>
      <c r="O2"/>
      <c r="P2"/>
    </row>
    <row r="3" spans="1:16" s="121" customFormat="1" ht="18" customHeight="1">
      <c r="A3" s="131" t="s">
        <v>419</v>
      </c>
      <c r="B3" s="132"/>
      <c r="C3" s="133"/>
      <c r="D3" s="134"/>
      <c r="E3" s="132"/>
      <c r="F3" s="135"/>
      <c r="G3" s="136"/>
      <c r="I3"/>
      <c r="J3"/>
      <c r="K3"/>
      <c r="L3"/>
      <c r="M3"/>
      <c r="N3"/>
      <c r="O3"/>
      <c r="P3"/>
    </row>
    <row r="4" spans="1:16" ht="18" customHeight="1">
      <c r="A4" s="137" t="s">
        <v>460</v>
      </c>
      <c r="B4" s="68"/>
      <c r="C4" s="306"/>
      <c r="D4" s="307"/>
      <c r="E4" s="68"/>
      <c r="F4" s="308"/>
      <c r="G4" s="141"/>
      <c r="I4"/>
      <c r="J4"/>
      <c r="K4"/>
      <c r="L4"/>
      <c r="M4"/>
      <c r="N4"/>
      <c r="O4"/>
      <c r="P4"/>
    </row>
    <row r="5" spans="1:16" ht="18" customHeight="1">
      <c r="A5" s="77" t="s">
        <v>52</v>
      </c>
      <c r="B5" s="163" t="s">
        <v>53</v>
      </c>
      <c r="C5" s="164"/>
      <c r="D5" s="165"/>
      <c r="E5" s="166" t="s">
        <v>54</v>
      </c>
      <c r="F5" s="164"/>
      <c r="G5" s="165"/>
      <c r="I5"/>
      <c r="J5"/>
      <c r="K5"/>
      <c r="L5"/>
      <c r="M5"/>
      <c r="N5"/>
      <c r="O5"/>
      <c r="P5"/>
    </row>
    <row r="6" spans="1:16" ht="18" customHeight="1">
      <c r="A6" s="94"/>
      <c r="B6" s="537" t="s">
        <v>432</v>
      </c>
      <c r="C6" s="535" t="s">
        <v>433</v>
      </c>
      <c r="D6" s="309" t="s">
        <v>62</v>
      </c>
      <c r="E6" s="537" t="s">
        <v>432</v>
      </c>
      <c r="F6" s="535" t="s">
        <v>433</v>
      </c>
      <c r="G6" s="309" t="s">
        <v>62</v>
      </c>
      <c r="I6" s="478"/>
      <c r="J6" s="478"/>
      <c r="K6" s="478"/>
      <c r="L6" s="478"/>
    </row>
    <row r="7" spans="1:16" ht="18" customHeight="1">
      <c r="A7" s="31">
        <v>1</v>
      </c>
      <c r="B7" s="538">
        <v>102575</v>
      </c>
      <c r="C7" s="536">
        <v>77057</v>
      </c>
      <c r="D7" s="500">
        <f t="shared" ref="D7:D19" si="0">(B7-C7)/C7</f>
        <v>0.33115745487106946</v>
      </c>
      <c r="E7" s="538">
        <v>157168031</v>
      </c>
      <c r="F7" s="536">
        <v>109267734</v>
      </c>
      <c r="G7" s="500">
        <f t="shared" ref="G7:G19" si="1">(E7-F7)/F7</f>
        <v>0.43837549518506536</v>
      </c>
      <c r="I7" s="478"/>
      <c r="J7" s="478"/>
    </row>
    <row r="8" spans="1:16" ht="18" customHeight="1">
      <c r="A8" s="31">
        <v>2</v>
      </c>
      <c r="B8" s="538">
        <v>68335</v>
      </c>
      <c r="C8" s="536">
        <v>84202</v>
      </c>
      <c r="D8" s="500">
        <f t="shared" si="0"/>
        <v>-0.18843970452008266</v>
      </c>
      <c r="E8" s="538">
        <v>114935015</v>
      </c>
      <c r="F8" s="536">
        <v>117807310</v>
      </c>
      <c r="G8" s="500">
        <f t="shared" si="1"/>
        <v>-2.4381296882171402E-2</v>
      </c>
      <c r="I8" s="478"/>
      <c r="J8" s="478"/>
      <c r="K8" s="478"/>
      <c r="L8" s="478"/>
    </row>
    <row r="9" spans="1:16" ht="18" customHeight="1">
      <c r="A9" s="31">
        <v>3</v>
      </c>
      <c r="B9" s="538">
        <v>67324</v>
      </c>
      <c r="C9" s="536">
        <v>92178</v>
      </c>
      <c r="D9" s="500">
        <f t="shared" si="0"/>
        <v>-0.26963049751567619</v>
      </c>
      <c r="E9" s="538">
        <v>108657809</v>
      </c>
      <c r="F9" s="536">
        <v>132866407</v>
      </c>
      <c r="G9" s="500">
        <f t="shared" si="1"/>
        <v>-0.18220254876012415</v>
      </c>
      <c r="J9" s="478"/>
      <c r="K9" s="478"/>
    </row>
    <row r="10" spans="1:16" ht="18" customHeight="1">
      <c r="A10" s="31">
        <v>4</v>
      </c>
      <c r="B10" s="538">
        <v>78722</v>
      </c>
      <c r="C10" s="536">
        <v>79297</v>
      </c>
      <c r="D10" s="500">
        <f t="shared" si="0"/>
        <v>-7.2512200965988627E-3</v>
      </c>
      <c r="E10" s="539">
        <v>135497637</v>
      </c>
      <c r="F10" s="536">
        <v>114259116</v>
      </c>
      <c r="G10" s="500">
        <f>(E10-F10)/F10</f>
        <v>0.18588031960618354</v>
      </c>
    </row>
    <row r="11" spans="1:16" ht="18" customHeight="1">
      <c r="A11" s="31">
        <v>5</v>
      </c>
      <c r="B11" s="538">
        <v>66723</v>
      </c>
      <c r="C11" s="536">
        <v>87198</v>
      </c>
      <c r="D11" s="500">
        <f t="shared" si="0"/>
        <v>-0.23481043143191357</v>
      </c>
      <c r="E11" s="538">
        <v>116784135</v>
      </c>
      <c r="F11" s="536">
        <v>130912557</v>
      </c>
      <c r="G11" s="500">
        <f>(E11-F11)/F11</f>
        <v>-0.10792258835796784</v>
      </c>
    </row>
    <row r="12" spans="1:16" ht="18" customHeight="1">
      <c r="A12" s="31">
        <v>6</v>
      </c>
      <c r="B12" s="538">
        <v>63099</v>
      </c>
      <c r="C12" s="536">
        <v>76230</v>
      </c>
      <c r="D12" s="529">
        <f t="shared" si="0"/>
        <v>-0.17225501770956317</v>
      </c>
      <c r="E12" s="538">
        <v>106973248</v>
      </c>
      <c r="F12" s="536">
        <v>122116613</v>
      </c>
      <c r="G12" s="500">
        <f>(E12-F12)/F12</f>
        <v>-0.12400741085080701</v>
      </c>
      <c r="J12" s="478"/>
      <c r="K12" s="478"/>
    </row>
    <row r="13" spans="1:16" ht="18" customHeight="1">
      <c r="A13" s="31">
        <v>7</v>
      </c>
      <c r="B13" s="538">
        <v>50927</v>
      </c>
      <c r="C13" s="536">
        <v>101495</v>
      </c>
      <c r="D13" s="529">
        <f t="shared" si="0"/>
        <v>-0.49823143997241243</v>
      </c>
      <c r="E13" s="538">
        <v>88792506</v>
      </c>
      <c r="F13" s="536">
        <v>159255261</v>
      </c>
      <c r="G13" s="500">
        <f>(E13-F13)/F13</f>
        <v>-0.44245166255449481</v>
      </c>
    </row>
    <row r="14" spans="1:16" ht="18" customHeight="1">
      <c r="A14" s="31">
        <v>8</v>
      </c>
      <c r="B14" s="379"/>
      <c r="C14" s="536"/>
      <c r="D14" s="500"/>
      <c r="E14" s="379"/>
      <c r="F14" s="536"/>
      <c r="G14" s="500"/>
      <c r="J14" s="478"/>
      <c r="K14" s="478"/>
    </row>
    <row r="15" spans="1:16" ht="18" customHeight="1">
      <c r="A15" s="31">
        <v>9</v>
      </c>
      <c r="B15" s="27"/>
      <c r="C15" s="536"/>
      <c r="D15" s="500"/>
      <c r="E15" s="27"/>
      <c r="F15" s="536"/>
      <c r="G15" s="500"/>
    </row>
    <row r="16" spans="1:16" ht="18" customHeight="1">
      <c r="A16" s="31">
        <v>10</v>
      </c>
      <c r="B16" s="27"/>
      <c r="C16" s="536"/>
      <c r="D16" s="500"/>
      <c r="E16" s="27"/>
      <c r="F16" s="536"/>
      <c r="G16" s="500"/>
    </row>
    <row r="17" spans="1:18" ht="18" customHeight="1">
      <c r="A17" s="31">
        <v>11</v>
      </c>
      <c r="B17" s="27"/>
      <c r="C17" s="536"/>
      <c r="D17" s="500"/>
      <c r="E17" s="27"/>
      <c r="F17" s="536"/>
      <c r="G17" s="500"/>
    </row>
    <row r="18" spans="1:18" ht="18" customHeight="1">
      <c r="A18" s="31">
        <v>12</v>
      </c>
      <c r="B18" s="27"/>
      <c r="C18" s="536"/>
      <c r="D18" s="500"/>
      <c r="E18" s="27"/>
      <c r="F18" s="536"/>
      <c r="G18" s="500"/>
      <c r="I18" s="479"/>
      <c r="J18" s="479"/>
      <c r="K18" s="479"/>
      <c r="L18" s="479"/>
      <c r="M18"/>
      <c r="N18"/>
      <c r="O18"/>
      <c r="P18"/>
      <c r="Q18"/>
      <c r="R18"/>
    </row>
    <row r="19" spans="1:18" s="114" customFormat="1" ht="18" customHeight="1">
      <c r="A19" s="32" t="s">
        <v>51</v>
      </c>
      <c r="B19" s="538">
        <f>SUM(B7:B18)</f>
        <v>497705</v>
      </c>
      <c r="C19" s="536">
        <f>SUM(C7:C18)</f>
        <v>597657</v>
      </c>
      <c r="D19" s="500">
        <f t="shared" si="0"/>
        <v>-0.16723973784294335</v>
      </c>
      <c r="E19" s="538">
        <f>SUM(E7:E18)</f>
        <v>828808381</v>
      </c>
      <c r="F19" s="536">
        <f>SUM(F7:F18)</f>
        <v>886484998</v>
      </c>
      <c r="G19" s="500">
        <f t="shared" si="1"/>
        <v>-6.5062146714410615E-2</v>
      </c>
      <c r="H19" s="5"/>
      <c r="I19" s="479"/>
      <c r="J19" s="479"/>
      <c r="K19" s="479"/>
      <c r="L19" s="479"/>
      <c r="M19"/>
      <c r="N19"/>
      <c r="O19"/>
      <c r="P19"/>
      <c r="Q19"/>
      <c r="R19"/>
    </row>
    <row r="20" spans="1:18" s="114" customFormat="1" ht="7.5" customHeight="1">
      <c r="A20" s="38"/>
      <c r="B20" s="39"/>
      <c r="C20" s="480"/>
      <c r="D20" s="310"/>
      <c r="E20" s="39"/>
      <c r="F20" s="480"/>
      <c r="G20" s="310"/>
      <c r="H20" s="5"/>
      <c r="I20" s="479"/>
      <c r="J20" s="479"/>
      <c r="K20"/>
      <c r="L20"/>
      <c r="M20"/>
      <c r="N20"/>
      <c r="O20"/>
      <c r="P20"/>
      <c r="Q20"/>
      <c r="R20"/>
    </row>
    <row r="21" spans="1:18" s="114" customFormat="1" ht="7.5" customHeight="1">
      <c r="A21" s="38"/>
      <c r="B21" s="39"/>
      <c r="C21" s="480"/>
      <c r="D21" s="310"/>
      <c r="E21" s="39"/>
      <c r="F21" s="480"/>
      <c r="G21" s="310"/>
      <c r="H21" s="5"/>
      <c r="I21" s="479"/>
      <c r="J21" s="479"/>
      <c r="K21" s="479"/>
      <c r="L21" s="479"/>
      <c r="M21"/>
      <c r="N21"/>
      <c r="O21"/>
      <c r="P21"/>
      <c r="Q21"/>
      <c r="R21"/>
    </row>
    <row r="22" spans="1:18" ht="19.5">
      <c r="A22" s="1" t="s">
        <v>502</v>
      </c>
      <c r="B22" s="128"/>
      <c r="C22" s="302"/>
      <c r="D22" s="303"/>
      <c r="E22" s="128"/>
      <c r="F22" s="302"/>
      <c r="G22" s="303"/>
      <c r="I22"/>
      <c r="J22"/>
      <c r="K22"/>
      <c r="L22"/>
      <c r="M22"/>
      <c r="N22"/>
      <c r="O22"/>
      <c r="P22"/>
      <c r="Q22"/>
      <c r="R22"/>
    </row>
    <row r="23" spans="1:18" ht="6.75" customHeight="1">
      <c r="A23" s="1"/>
      <c r="B23" s="128"/>
      <c r="C23" s="302"/>
      <c r="D23" s="303"/>
      <c r="E23" s="128"/>
      <c r="F23" s="302"/>
      <c r="G23" s="303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2" t="s">
        <v>415</v>
      </c>
      <c r="B24" s="153"/>
      <c r="C24" s="154"/>
      <c r="D24" s="155"/>
      <c r="E24" s="153"/>
      <c r="F24" s="156"/>
      <c r="G24" s="157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7" t="s">
        <v>456</v>
      </c>
      <c r="B25" s="158"/>
      <c r="C25" s="311"/>
      <c r="D25" s="312"/>
      <c r="E25" s="158"/>
      <c r="F25" s="313"/>
      <c r="G25" s="162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52</v>
      </c>
      <c r="B26" s="163" t="s">
        <v>53</v>
      </c>
      <c r="C26" s="164"/>
      <c r="D26" s="165"/>
      <c r="E26" s="166" t="s">
        <v>54</v>
      </c>
      <c r="F26" s="164"/>
      <c r="G26" s="165"/>
    </row>
    <row r="27" spans="1:18" ht="18" customHeight="1">
      <c r="A27" s="94"/>
      <c r="B27" s="537" t="s">
        <v>478</v>
      </c>
      <c r="C27" s="535" t="s">
        <v>477</v>
      </c>
      <c r="D27" s="309" t="s">
        <v>409</v>
      </c>
      <c r="E27" s="537" t="s">
        <v>478</v>
      </c>
      <c r="F27" s="535" t="s">
        <v>477</v>
      </c>
      <c r="G27" s="309" t="s">
        <v>410</v>
      </c>
    </row>
    <row r="28" spans="1:18" ht="18" customHeight="1">
      <c r="A28" s="31">
        <v>1</v>
      </c>
      <c r="B28" s="538">
        <v>661</v>
      </c>
      <c r="C28" s="536">
        <v>1361</v>
      </c>
      <c r="D28" s="500">
        <f t="shared" ref="D28:D34" si="2">(B28-C28)/C28</f>
        <v>-0.51432770022042618</v>
      </c>
      <c r="E28" s="538">
        <v>457222</v>
      </c>
      <c r="F28" s="536">
        <v>889149</v>
      </c>
      <c r="G28" s="500">
        <f t="shared" ref="G28:G34" si="3">(E28-F28)/F28</f>
        <v>-0.48577572487850745</v>
      </c>
    </row>
    <row r="29" spans="1:18" ht="18" customHeight="1">
      <c r="A29" s="31">
        <v>2</v>
      </c>
      <c r="B29" s="538">
        <v>306</v>
      </c>
      <c r="C29" s="536">
        <v>1529</v>
      </c>
      <c r="D29" s="500">
        <f t="shared" si="2"/>
        <v>-0.79986919555264879</v>
      </c>
      <c r="E29" s="538">
        <v>343954</v>
      </c>
      <c r="F29" s="536">
        <v>1057175</v>
      </c>
      <c r="G29" s="500">
        <f t="shared" si="3"/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538">
        <v>1748</v>
      </c>
      <c r="C30" s="536">
        <v>2239</v>
      </c>
      <c r="D30" s="500">
        <f t="shared" si="2"/>
        <v>-0.21929432782492184</v>
      </c>
      <c r="E30" s="538">
        <v>1134184</v>
      </c>
      <c r="F30" s="536">
        <v>1443327</v>
      </c>
      <c r="G30" s="500">
        <f t="shared" si="3"/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538">
        <v>413</v>
      </c>
      <c r="C31" s="536">
        <v>161</v>
      </c>
      <c r="D31" s="500">
        <f t="shared" si="2"/>
        <v>1.5652173913043479</v>
      </c>
      <c r="E31" s="539">
        <v>387680</v>
      </c>
      <c r="F31" s="536">
        <v>188582</v>
      </c>
      <c r="G31" s="500">
        <f t="shared" si="3"/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538">
        <v>2715</v>
      </c>
      <c r="C32" s="536">
        <v>896</v>
      </c>
      <c r="D32" s="500">
        <f t="shared" si="2"/>
        <v>2.0301339285714284</v>
      </c>
      <c r="E32" s="538">
        <v>1301531</v>
      </c>
      <c r="F32" s="536">
        <v>627673</v>
      </c>
      <c r="G32" s="500">
        <f t="shared" si="3"/>
        <v>1.0735813074642369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538">
        <v>947</v>
      </c>
      <c r="C33" s="536">
        <v>1539</v>
      </c>
      <c r="D33" s="500">
        <f t="shared" si="2"/>
        <v>-0.38466536712150745</v>
      </c>
      <c r="E33" s="538">
        <v>961015</v>
      </c>
      <c r="F33" s="536">
        <v>1266801</v>
      </c>
      <c r="G33" s="500">
        <f t="shared" si="3"/>
        <v>-0.24138440054909965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538">
        <v>670</v>
      </c>
      <c r="C34" s="536">
        <v>2783</v>
      </c>
      <c r="D34" s="500">
        <f t="shared" si="2"/>
        <v>-0.75925260510240744</v>
      </c>
      <c r="E34" s="538">
        <v>485378</v>
      </c>
      <c r="F34" s="536">
        <v>1385783</v>
      </c>
      <c r="G34" s="500">
        <f t="shared" si="3"/>
        <v>-0.64974458483038111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538"/>
      <c r="C35" s="536"/>
      <c r="D35" s="500"/>
      <c r="E35" s="379"/>
      <c r="F35" s="536"/>
      <c r="G35" s="500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36"/>
      <c r="D36" s="500"/>
      <c r="E36" s="27"/>
      <c r="F36" s="536"/>
      <c r="G36" s="500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36"/>
      <c r="D37" s="500"/>
      <c r="E37" s="27"/>
      <c r="F37" s="536"/>
      <c r="G37" s="500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536"/>
      <c r="D38" s="500"/>
      <c r="E38" s="27"/>
      <c r="F38" s="536"/>
      <c r="G38" s="500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536"/>
      <c r="D39" s="500"/>
      <c r="E39" s="27"/>
      <c r="F39" s="536"/>
      <c r="G39" s="500"/>
      <c r="I39" s="479"/>
      <c r="J39" s="479"/>
      <c r="K39"/>
      <c r="L39"/>
      <c r="M39"/>
      <c r="N39"/>
      <c r="O39"/>
      <c r="P39"/>
    </row>
    <row r="40" spans="1:16" s="114" customFormat="1" ht="18" customHeight="1">
      <c r="A40" s="32" t="s">
        <v>51</v>
      </c>
      <c r="B40" s="538">
        <f>SUM(B28:B39)</f>
        <v>7460</v>
      </c>
      <c r="C40" s="536">
        <f>SUM(C28:C39)</f>
        <v>10508</v>
      </c>
      <c r="D40" s="500">
        <f t="shared" ref="D40" si="4">(B40-C40)/C40</f>
        <v>-0.29006471259992389</v>
      </c>
      <c r="E40" s="538">
        <f>SUM(E28:E39)</f>
        <v>5070964</v>
      </c>
      <c r="F40" s="536">
        <f>SUM(F28:F39)</f>
        <v>6858490</v>
      </c>
      <c r="G40" s="500">
        <f t="shared" ref="G40" si="5">(E40-F40)/F40</f>
        <v>-0.26062967212899635</v>
      </c>
      <c r="H40" s="5"/>
      <c r="I40"/>
      <c r="J40"/>
      <c r="K40"/>
      <c r="L40"/>
      <c r="M40"/>
      <c r="N40"/>
      <c r="O40"/>
      <c r="P40"/>
    </row>
    <row r="41" spans="1:16" s="114" customFormat="1" ht="4.5" customHeight="1">
      <c r="A41" s="38"/>
      <c r="B41" s="39"/>
      <c r="C41" s="480"/>
      <c r="D41" s="310"/>
      <c r="E41" s="39"/>
      <c r="F41" s="480"/>
      <c r="G41" s="310"/>
      <c r="H41" s="5"/>
      <c r="I41" s="479"/>
      <c r="J41" s="479"/>
      <c r="K41" s="479"/>
      <c r="L41" s="479"/>
      <c r="M41"/>
      <c r="N41"/>
      <c r="O41"/>
      <c r="P41"/>
    </row>
    <row r="42" spans="1:16" s="13" customFormat="1">
      <c r="A42" s="54" t="s">
        <v>411</v>
      </c>
      <c r="C42" s="168"/>
      <c r="D42" s="169"/>
      <c r="F42" s="168"/>
      <c r="G42" s="169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11">
    <cfRule type="cellIs" dxfId="55" priority="2" operator="lessThan">
      <formula>0</formula>
    </cfRule>
  </conditionalFormatting>
  <conditionalFormatting sqref="B7:C10 C11:C18 B12:C14 B19:C19">
    <cfRule type="cellIs" dxfId="54" priority="7" operator="lessThan">
      <formula>0</formula>
    </cfRule>
  </conditionalFormatting>
  <conditionalFormatting sqref="B28:C35 C30:C39 B40:C40">
    <cfRule type="cellIs" dxfId="53" priority="17" operator="lessThan">
      <formula>0</formula>
    </cfRule>
  </conditionalFormatting>
  <conditionalFormatting sqref="D7:D19">
    <cfRule type="cellIs" dxfId="52" priority="10" operator="greaterThanOrEqual">
      <formula>0</formula>
    </cfRule>
    <cfRule type="cellIs" dxfId="51" priority="11" operator="lessThan">
      <formula>0</formula>
    </cfRule>
  </conditionalFormatting>
  <conditionalFormatting sqref="D28:D40">
    <cfRule type="cellIs" dxfId="50" priority="33" operator="greaterThanOrEqual">
      <formula>0</formula>
    </cfRule>
    <cfRule type="cellIs" dxfId="49" priority="34" operator="lessThan">
      <formula>0</formula>
    </cfRule>
  </conditionalFormatting>
  <conditionalFormatting sqref="E7:E9">
    <cfRule type="cellIs" dxfId="48" priority="12" operator="lessThan">
      <formula>0</formula>
    </cfRule>
  </conditionalFormatting>
  <conditionalFormatting sqref="E11:E14">
    <cfRule type="cellIs" dxfId="47" priority="4" operator="lessThan">
      <formula>0</formula>
    </cfRule>
  </conditionalFormatting>
  <conditionalFormatting sqref="E28:E30">
    <cfRule type="cellIs" dxfId="46" priority="45" operator="lessThan">
      <formula>0</formula>
    </cfRule>
  </conditionalFormatting>
  <conditionalFormatting sqref="E32:E35">
    <cfRule type="cellIs" dxfId="45" priority="1" operator="lessThan">
      <formula>0</formula>
    </cfRule>
  </conditionalFormatting>
  <conditionalFormatting sqref="E19:F19">
    <cfRule type="cellIs" dxfId="44" priority="5" operator="lessThan">
      <formula>0</formula>
    </cfRule>
  </conditionalFormatting>
  <conditionalFormatting sqref="E40:F40">
    <cfRule type="cellIs" dxfId="43" priority="14" operator="lessThan">
      <formula>0</formula>
    </cfRule>
  </conditionalFormatting>
  <conditionalFormatting sqref="F7:F18">
    <cfRule type="cellIs" dxfId="42" priority="6" operator="lessThan">
      <formula>0</formula>
    </cfRule>
  </conditionalFormatting>
  <conditionalFormatting sqref="F28:F39">
    <cfRule type="cellIs" dxfId="41" priority="16" operator="lessThan">
      <formula>0</formula>
    </cfRule>
  </conditionalFormatting>
  <conditionalFormatting sqref="G7:G19">
    <cfRule type="cellIs" dxfId="40" priority="8" operator="greaterThanOrEqual">
      <formula>0</formula>
    </cfRule>
    <cfRule type="cellIs" dxfId="39" priority="9" operator="lessThan">
      <formula>0</formula>
    </cfRule>
  </conditionalFormatting>
  <conditionalFormatting sqref="G28:G40">
    <cfRule type="cellIs" dxfId="38" priority="29" operator="greaterThanOrEqual">
      <formula>0</formula>
    </cfRule>
    <cfRule type="cellIs" dxfId="37" priority="30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18.875" style="13" customWidth="1"/>
    <col min="2" max="2" width="1.5" style="13" customWidth="1"/>
    <col min="3" max="3" width="15.625" style="318" customWidth="1"/>
    <col min="4" max="4" width="16.625" style="318" customWidth="1"/>
    <col min="5" max="5" width="2.375" style="318" customWidth="1"/>
    <col min="6" max="6" width="17.125" style="318" customWidth="1"/>
    <col min="7" max="7" width="19" style="318" customWidth="1"/>
    <col min="8" max="8" width="2.125" style="318" customWidth="1"/>
    <col min="9" max="9" width="15.625" style="318" customWidth="1"/>
    <col min="10" max="10" width="17.875" style="318" customWidth="1"/>
    <col min="11" max="11" width="2.5" style="318" customWidth="1"/>
    <col min="12" max="12" width="17.125" style="318" customWidth="1"/>
    <col min="13" max="13" width="18.5" style="318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5" customFormat="1" ht="19.5">
      <c r="A1" s="1" t="s">
        <v>503</v>
      </c>
      <c r="B1" s="1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s="315" customFormat="1" ht="15.75" customHeight="1">
      <c r="A2" s="1"/>
      <c r="B2" s="1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6" t="s">
        <v>474</v>
      </c>
    </row>
    <row r="3" spans="1:13">
      <c r="M3" s="316" t="s">
        <v>475</v>
      </c>
    </row>
    <row r="4" spans="1:13" s="315" customFormat="1">
      <c r="A4" s="319" t="s">
        <v>63</v>
      </c>
      <c r="B4" s="320"/>
      <c r="C4" s="527" t="s">
        <v>504</v>
      </c>
      <c r="D4" s="528" t="s">
        <v>505</v>
      </c>
      <c r="E4" s="320"/>
      <c r="F4" s="321" t="s">
        <v>506</v>
      </c>
      <c r="G4" s="322" t="s">
        <v>507</v>
      </c>
      <c r="H4" s="320"/>
      <c r="I4" s="527" t="s">
        <v>508</v>
      </c>
      <c r="J4" s="528" t="s">
        <v>509</v>
      </c>
      <c r="K4" s="320"/>
      <c r="L4" s="321" t="s">
        <v>510</v>
      </c>
      <c r="M4" s="322" t="s">
        <v>511</v>
      </c>
    </row>
    <row r="5" spans="1:13">
      <c r="A5" s="323">
        <v>85121010001</v>
      </c>
      <c r="B5" s="471"/>
      <c r="C5" s="470"/>
      <c r="D5" s="324"/>
      <c r="E5" s="470"/>
      <c r="F5" s="470"/>
      <c r="G5" s="324"/>
      <c r="H5" s="470"/>
      <c r="I5" s="470"/>
      <c r="J5" s="324"/>
      <c r="K5" s="470"/>
      <c r="L5" s="470"/>
      <c r="M5" s="324"/>
    </row>
    <row r="6" spans="1:13">
      <c r="A6" s="325" t="s">
        <v>64</v>
      </c>
      <c r="B6" s="315"/>
      <c r="C6" s="459">
        <v>7454</v>
      </c>
      <c r="D6" s="459">
        <v>1028311</v>
      </c>
      <c r="F6" s="459">
        <v>54056</v>
      </c>
      <c r="G6" s="459">
        <v>6410333</v>
      </c>
      <c r="I6" s="459">
        <v>2595</v>
      </c>
      <c r="J6" s="459">
        <v>175405</v>
      </c>
      <c r="L6" s="459">
        <v>27101</v>
      </c>
      <c r="M6" s="459">
        <v>2121116</v>
      </c>
    </row>
    <row r="7" spans="1:13">
      <c r="A7" s="325" t="s">
        <v>65</v>
      </c>
      <c r="B7" s="13" t="s">
        <v>66</v>
      </c>
      <c r="C7" s="459">
        <v>59757</v>
      </c>
      <c r="D7" s="458" t="s">
        <v>393</v>
      </c>
      <c r="E7" s="13" t="s">
        <v>66</v>
      </c>
      <c r="F7" s="459">
        <v>455820</v>
      </c>
      <c r="G7" s="458" t="s">
        <v>393</v>
      </c>
      <c r="H7" s="13" t="s">
        <v>66</v>
      </c>
      <c r="I7" s="459">
        <v>74969</v>
      </c>
      <c r="J7" s="458" t="s">
        <v>393</v>
      </c>
      <c r="K7" s="318" t="s">
        <v>66</v>
      </c>
      <c r="L7" s="459">
        <v>545698</v>
      </c>
      <c r="M7" s="458" t="s">
        <v>393</v>
      </c>
    </row>
    <row r="8" spans="1:13">
      <c r="A8" s="327">
        <v>85121020009</v>
      </c>
      <c r="B8" s="469"/>
      <c r="C8" s="464"/>
      <c r="D8" s="467"/>
      <c r="E8" s="468"/>
      <c r="F8" s="464"/>
      <c r="G8" s="460"/>
      <c r="H8" s="468"/>
      <c r="I8" s="464"/>
      <c r="J8" s="467"/>
      <c r="K8" s="468"/>
      <c r="L8" s="464"/>
      <c r="M8" s="467"/>
    </row>
    <row r="9" spans="1:13">
      <c r="A9" s="325" t="s">
        <v>67</v>
      </c>
      <c r="B9" s="315"/>
      <c r="C9" s="459">
        <v>1477</v>
      </c>
      <c r="D9" s="459">
        <v>388282</v>
      </c>
      <c r="F9" s="459">
        <v>22672</v>
      </c>
      <c r="G9" s="459">
        <v>4057175</v>
      </c>
      <c r="I9" s="459">
        <v>948</v>
      </c>
      <c r="J9" s="459">
        <v>66886</v>
      </c>
      <c r="L9" s="459">
        <v>13704</v>
      </c>
      <c r="M9" s="459">
        <v>1155254</v>
      </c>
    </row>
    <row r="10" spans="1:13">
      <c r="A10" s="325" t="s">
        <v>68</v>
      </c>
      <c r="B10" s="13" t="s">
        <v>66</v>
      </c>
      <c r="C10" s="459">
        <v>26795</v>
      </c>
      <c r="D10" s="458" t="s">
        <v>393</v>
      </c>
      <c r="E10" s="13" t="s">
        <v>66</v>
      </c>
      <c r="F10" s="459">
        <v>275194</v>
      </c>
      <c r="G10" s="458" t="s">
        <v>393</v>
      </c>
      <c r="H10" s="13" t="s">
        <v>66</v>
      </c>
      <c r="I10" s="459">
        <v>21681</v>
      </c>
      <c r="J10" s="458" t="s">
        <v>392</v>
      </c>
      <c r="K10" s="318" t="s">
        <v>66</v>
      </c>
      <c r="L10" s="459">
        <v>269532</v>
      </c>
      <c r="M10" s="458" t="s">
        <v>392</v>
      </c>
    </row>
    <row r="11" spans="1:13">
      <c r="A11" s="328">
        <v>87149120007</v>
      </c>
      <c r="B11" s="463"/>
      <c r="C11" s="531"/>
      <c r="D11" s="467"/>
      <c r="E11" s="462"/>
      <c r="F11" s="464"/>
      <c r="G11" s="460"/>
      <c r="H11" s="462"/>
      <c r="I11" s="464"/>
      <c r="J11" s="460"/>
      <c r="K11" s="462"/>
      <c r="L11" s="464"/>
      <c r="M11" s="467"/>
    </row>
    <row r="12" spans="1:13">
      <c r="A12" s="325" t="s">
        <v>70</v>
      </c>
      <c r="B12" s="315"/>
      <c r="C12" s="459">
        <f>VLOOKUP(A11,[12]進出口值表查詢結果!$A$3:$E$19,4,0)</f>
        <v>769176</v>
      </c>
      <c r="D12" s="459">
        <f>VLOOKUP(A11,[12]進出口值表查詢結果!$A$3:$E$19,3,0)</f>
        <v>51781052</v>
      </c>
      <c r="F12" s="459">
        <f>VLOOKUP(A11,[13]進出口值表查詢結果!$A$2:$E$18,4,0)</f>
        <v>7177518</v>
      </c>
      <c r="G12" s="459">
        <f>VLOOKUP(A11,[13]進出口值表查詢結果!$A$2:$E$18,3,0)</f>
        <v>467121988</v>
      </c>
      <c r="I12" s="459">
        <f>VLOOKUP(A11,[14]進出口值表查詢結果!$A$2:$E$18,4,0)</f>
        <v>440234</v>
      </c>
      <c r="J12" s="459">
        <f>VLOOKUP(A11,[14]進出口值表查詢結果!$A$2:$E$18,3,0)</f>
        <v>31780911</v>
      </c>
      <c r="L12" s="459">
        <f>VLOOKUP(A11,[15]進出口值表查詢結果!$A$3:$E$19,4,0)</f>
        <v>3901064</v>
      </c>
      <c r="M12" s="459">
        <f>VLOOKUP(A11,[15]進出口值表查詢結果!$A$3:$E$19,3,0)</f>
        <v>243164825</v>
      </c>
    </row>
    <row r="13" spans="1:13">
      <c r="A13" s="325" t="s">
        <v>71</v>
      </c>
      <c r="B13" s="13" t="s">
        <v>66</v>
      </c>
      <c r="C13" s="459">
        <f>VLOOKUP(A11,[16]出!$B$11:$G$350,6,0)</f>
        <v>0</v>
      </c>
      <c r="D13" s="458"/>
      <c r="E13" s="13" t="s">
        <v>66</v>
      </c>
      <c r="F13" s="459">
        <f>VLOOKUP(A11,[16]出同!$B$11:$J$301,9,0)</f>
        <v>0</v>
      </c>
      <c r="G13" s="458"/>
      <c r="I13" s="459"/>
      <c r="J13" s="458"/>
      <c r="L13" s="459"/>
      <c r="M13" s="458"/>
    </row>
    <row r="14" spans="1:13">
      <c r="A14" s="328">
        <v>87149200108</v>
      </c>
      <c r="B14" s="463"/>
      <c r="C14" s="464"/>
      <c r="D14" s="460"/>
      <c r="E14" s="462"/>
      <c r="F14" s="464"/>
      <c r="G14" s="460"/>
      <c r="H14" s="462"/>
      <c r="I14" s="464"/>
      <c r="J14" s="460"/>
      <c r="K14" s="462"/>
      <c r="L14" s="464"/>
      <c r="M14" s="460"/>
    </row>
    <row r="15" spans="1:13">
      <c r="A15" s="325" t="s">
        <v>72</v>
      </c>
      <c r="B15" s="315"/>
      <c r="C15" s="459">
        <f>VLOOKUP(A14,[12]進出口值表查詢結果!$A$3:$E$19,4,0)</f>
        <v>90898</v>
      </c>
      <c r="D15" s="459">
        <f>VLOOKUP(A14,[12]進出口值表查詢結果!$A$3:$E$19,3,0)</f>
        <v>2596842</v>
      </c>
      <c r="F15" s="459">
        <f>VLOOKUP(A14,[13]進出口值表查詢結果!$A$2:$E$18,4,0)</f>
        <v>970376</v>
      </c>
      <c r="G15" s="459">
        <f>VLOOKUP(A14,[13]進出口值表查詢結果!$A$2:$E$18,3,0)</f>
        <v>21567278</v>
      </c>
      <c r="I15" s="459">
        <f>VLOOKUP(A14,[14]進出口值表查詢結果!$A$2:$E$18,4,0)</f>
        <v>75058</v>
      </c>
      <c r="J15" s="459">
        <f>VLOOKUP(A14,[14]進出口值表查詢結果!$A$2:$E$18,3,0)</f>
        <v>4710322</v>
      </c>
      <c r="L15" s="459">
        <f>VLOOKUP(A14,[15]進出口值表查詢結果!$A$3:$E$19,4,0)</f>
        <v>573973</v>
      </c>
      <c r="M15" s="459">
        <f>VLOOKUP(A14,[15]進出口值表查詢結果!$A$3:$E$19,3,0)</f>
        <v>38455168</v>
      </c>
    </row>
    <row r="16" spans="1:13">
      <c r="A16" s="325"/>
      <c r="B16" s="13" t="s">
        <v>66</v>
      </c>
      <c r="C16" s="459">
        <f>VLOOKUP(A14,[12]進出口值表查詢結果!$A$3:$E$19,5,0)</f>
        <v>183008</v>
      </c>
      <c r="D16" s="458" t="s">
        <v>155</v>
      </c>
      <c r="E16" s="13" t="s">
        <v>66</v>
      </c>
      <c r="F16" s="459">
        <f>VLOOKUP(A14,[13]進出口值表查詢結果!$A$2:$E$18,5,0)</f>
        <v>1829185</v>
      </c>
      <c r="G16" s="458" t="s">
        <v>69</v>
      </c>
      <c r="H16" s="13" t="s">
        <v>66</v>
      </c>
      <c r="I16" s="459">
        <f>VLOOKUP(A14,[14]進出口值表查詢結果!$A$2:$E$18,5,0)</f>
        <v>138724</v>
      </c>
      <c r="J16" s="458" t="s">
        <v>69</v>
      </c>
      <c r="K16" s="318" t="s">
        <v>66</v>
      </c>
      <c r="L16" s="459">
        <f>VLOOKUP(A14,[15]進出口值表查詢結果!$A$3:$E$19,5,0)</f>
        <v>1065791</v>
      </c>
      <c r="M16" s="458" t="s">
        <v>69</v>
      </c>
    </row>
    <row r="17" spans="1:13">
      <c r="A17" s="328">
        <v>87149200206</v>
      </c>
      <c r="B17" s="463"/>
      <c r="C17" s="464"/>
      <c r="D17" s="460"/>
      <c r="E17" s="462"/>
      <c r="F17" s="464"/>
      <c r="G17" s="460"/>
      <c r="H17" s="462"/>
      <c r="I17" s="461"/>
      <c r="J17" s="460"/>
      <c r="K17" s="462"/>
      <c r="L17" s="461"/>
      <c r="M17" s="460"/>
    </row>
    <row r="18" spans="1:13">
      <c r="A18" s="325" t="s">
        <v>58</v>
      </c>
      <c r="B18" s="315"/>
      <c r="C18" s="459">
        <f>VLOOKUP(A17,[12]進出口值表查詢結果!$A$3:$E$19,4,0)</f>
        <v>44288</v>
      </c>
      <c r="D18" s="459">
        <f>VLOOKUP(A17,[12]進出口值表查詢結果!$A$3:$E$19,3,0)</f>
        <v>731374</v>
      </c>
      <c r="F18" s="459">
        <f>VLOOKUP(A17,[13]進出口值表查詢結果!$A$2:$E$18,4,0)</f>
        <v>445535</v>
      </c>
      <c r="G18" s="459">
        <f>VLOOKUP(A17,[13]進出口值表查詢結果!$A$2:$E$18,3,0)</f>
        <v>5855815</v>
      </c>
      <c r="I18" s="459">
        <f>VLOOKUP(A17,[14]進出口值表查詢結果!$A$2:$E$18,4,0)</f>
        <v>8015</v>
      </c>
      <c r="J18" s="459">
        <f>VLOOKUP(A17,[14]進出口值表查詢結果!$A$2:$E$18,3,0)</f>
        <v>511186</v>
      </c>
      <c r="L18" s="459">
        <f>VLOOKUP(A17,[15]進出口值表查詢結果!$A$3:$E$19,4,0)</f>
        <v>62045</v>
      </c>
      <c r="M18" s="459">
        <f>VLOOKUP(A17,[15]進出口值表查詢結果!$A$3:$E$19,3,0)</f>
        <v>4467265</v>
      </c>
    </row>
    <row r="19" spans="1:13">
      <c r="A19" s="325"/>
      <c r="B19" s="13" t="s">
        <v>66</v>
      </c>
      <c r="C19" s="459">
        <f>VLOOKUP(A17,[12]進出口值表查詢結果!$A$3:$E$19,5,0)</f>
        <v>6768569</v>
      </c>
      <c r="D19" s="458" t="s">
        <v>155</v>
      </c>
      <c r="E19" s="13" t="s">
        <v>66</v>
      </c>
      <c r="F19" s="459">
        <f>VLOOKUP(A17,[13]進出口值表查詢結果!$A$2:$E$18,5,0)</f>
        <v>62856568</v>
      </c>
      <c r="G19" s="458" t="s">
        <v>69</v>
      </c>
      <c r="H19" s="13" t="s">
        <v>66</v>
      </c>
      <c r="I19" s="459">
        <f>VLOOKUP(A17,[14]進出口值表查詢結果!$A$2:$E$18,5,0)</f>
        <v>1171626</v>
      </c>
      <c r="J19" s="458" t="s">
        <v>69</v>
      </c>
      <c r="K19" s="318" t="s">
        <v>66</v>
      </c>
      <c r="L19" s="459">
        <f>VLOOKUP(A17,[15]進出口值表查詢結果!$A$3:$E$19,5,0)</f>
        <v>11577921</v>
      </c>
      <c r="M19" s="458" t="s">
        <v>69</v>
      </c>
    </row>
    <row r="20" spans="1:13">
      <c r="A20" s="328">
        <v>87149200304</v>
      </c>
      <c r="B20" s="463"/>
      <c r="C20" s="464"/>
      <c r="D20" s="460"/>
      <c r="E20" s="462"/>
      <c r="F20" s="464"/>
      <c r="G20" s="460"/>
      <c r="H20" s="462"/>
      <c r="I20" s="461"/>
      <c r="J20" s="460"/>
      <c r="K20" s="462"/>
      <c r="L20" s="461"/>
      <c r="M20" s="460"/>
    </row>
    <row r="21" spans="1:13">
      <c r="A21" s="325" t="s">
        <v>59</v>
      </c>
      <c r="B21" s="315"/>
      <c r="C21" s="459">
        <f>VLOOKUP(A20,[12]進出口值表查詢結果!$A$3:$E$19,4,0)</f>
        <v>35107</v>
      </c>
      <c r="D21" s="459">
        <f>VLOOKUP(A20,[12]進出口值表查詢結果!$A$3:$E$19,3,0)</f>
        <v>5287734</v>
      </c>
      <c r="E21" s="318">
        <f>[17]二全年出口類別合計驗算!U18</f>
        <v>0</v>
      </c>
      <c r="F21" s="459">
        <f>VLOOKUP(A20,[13]進出口值表查詢結果!$A$2:$E$18,4,0)</f>
        <v>460474</v>
      </c>
      <c r="G21" s="459">
        <f>VLOOKUP(A20,[13]進出口值表查詢結果!$A$2:$E$18,3,0)</f>
        <v>55505465</v>
      </c>
      <c r="I21" s="459">
        <f>VLOOKUP(A20,[14]進出口值表查詢結果!$A$2:$E$18,4,0)</f>
        <v>14415</v>
      </c>
      <c r="J21" s="459">
        <f>VLOOKUP(A20,[14]進出口值表查詢結果!$A$2:$E$18,3,0)</f>
        <v>859681</v>
      </c>
      <c r="L21" s="459">
        <f>VLOOKUP(A20,[15]進出口值表查詢結果!$A$3:$E$19,4,0)</f>
        <v>113278</v>
      </c>
      <c r="M21" s="459">
        <f>VLOOKUP(A20,[15]進出口值表查詢結果!$A$3:$E$19,3,0)</f>
        <v>5410832</v>
      </c>
    </row>
    <row r="22" spans="1:13">
      <c r="A22" s="328">
        <v>87149310007</v>
      </c>
      <c r="B22" s="463"/>
      <c r="C22" s="464"/>
      <c r="D22" s="460"/>
      <c r="E22" s="462"/>
      <c r="F22" s="464"/>
      <c r="G22" s="460"/>
      <c r="H22" s="462"/>
      <c r="I22" s="461"/>
      <c r="J22" s="460"/>
      <c r="K22" s="462"/>
      <c r="L22" s="461"/>
      <c r="M22" s="460"/>
    </row>
    <row r="23" spans="1:13">
      <c r="A23" s="325" t="s">
        <v>73</v>
      </c>
      <c r="B23" s="315"/>
      <c r="C23" s="459">
        <f>VLOOKUP(A22,[12]進出口值表查詢結果!$A$3:$E$19,4,0)</f>
        <v>88152</v>
      </c>
      <c r="D23" s="459">
        <f>VLOOKUP(A22,[12]進出口值表查詢結果!$A$3:$E$19,3,0)</f>
        <v>4060430</v>
      </c>
      <c r="F23" s="459">
        <f>VLOOKUP(A22,[13]進出口值表查詢結果!$A$2:$E$18,4,0)</f>
        <v>614936</v>
      </c>
      <c r="G23" s="459">
        <f>VLOOKUP(A22,[13]進出口值表查詢結果!$A$2:$E$18,3,0)</f>
        <v>33636792</v>
      </c>
      <c r="I23" s="459">
        <f>VLOOKUP(A22,[14]進出口值表查詢結果!$A$2:$E$18,4,0)</f>
        <v>70674</v>
      </c>
      <c r="J23" s="459">
        <f>VLOOKUP(A22,[14]進出口值表查詢結果!$A$2:$E$18,3,0)</f>
        <v>2965770</v>
      </c>
      <c r="L23" s="459">
        <f>VLOOKUP(A22,[15]進出口值表查詢結果!$A$3:$E$19,4,0)</f>
        <v>745448</v>
      </c>
      <c r="M23" s="459">
        <f>VLOOKUP(A22,[15]進出口值表查詢結果!$A$3:$E$19,3,0)</f>
        <v>27509028</v>
      </c>
    </row>
    <row r="24" spans="1:13">
      <c r="A24" s="325" t="s">
        <v>74</v>
      </c>
      <c r="B24" s="315"/>
      <c r="C24" s="459"/>
      <c r="D24" s="458"/>
      <c r="F24" s="459"/>
      <c r="G24" s="458"/>
      <c r="I24" s="459"/>
      <c r="J24" s="458"/>
      <c r="L24" s="459"/>
      <c r="M24" s="458"/>
    </row>
    <row r="25" spans="1:13">
      <c r="A25" s="325" t="s">
        <v>75</v>
      </c>
      <c r="B25" s="315"/>
      <c r="C25" s="459"/>
      <c r="D25" s="458"/>
      <c r="F25" s="459"/>
      <c r="G25" s="458"/>
      <c r="I25" s="459"/>
      <c r="J25" s="458"/>
      <c r="L25" s="459"/>
      <c r="M25" s="458"/>
    </row>
    <row r="26" spans="1:13">
      <c r="A26" s="328">
        <v>87149320103</v>
      </c>
      <c r="B26" s="463"/>
      <c r="C26" s="464"/>
      <c r="D26" s="460"/>
      <c r="E26" s="462"/>
      <c r="F26" s="464"/>
      <c r="G26" s="460"/>
      <c r="H26" s="462"/>
      <c r="I26" s="461"/>
      <c r="J26" s="460"/>
      <c r="K26" s="462"/>
      <c r="L26" s="461"/>
      <c r="M26" s="460"/>
    </row>
    <row r="27" spans="1:13" ht="33" customHeight="1">
      <c r="A27" s="563" t="s">
        <v>405</v>
      </c>
      <c r="B27" s="315"/>
      <c r="C27" s="459">
        <f>VLOOKUP(A26,[12]進出口值表查詢結果!$A$3:$E$19,4,0)</f>
        <v>357</v>
      </c>
      <c r="D27" s="459">
        <f>VLOOKUP(A26,[12]進出口值表查詢結果!$A$3:$E$19,3,0)</f>
        <v>11105</v>
      </c>
      <c r="F27" s="459">
        <f>VLOOKUP(A26,[13]進出口值表查詢結果!$A$2:$E$18,4,0)</f>
        <v>15257</v>
      </c>
      <c r="G27" s="459">
        <f>VLOOKUP(A26,[13]進出口值表查詢結果!$A$2:$E$18,3,0)</f>
        <v>530962</v>
      </c>
      <c r="I27" s="459">
        <f>VLOOKUP(A26,[14]進出口值表查詢結果!$A$2:$E$18,4,0)</f>
        <v>10066</v>
      </c>
      <c r="J27" s="459">
        <f>VLOOKUP(A26,[14]進出口值表查詢結果!$A$2:$E$18,3,0)</f>
        <v>440802</v>
      </c>
      <c r="L27" s="459">
        <f>VLOOKUP(A26,[15]進出口值表查詢結果!$A$3:$E$19,4,0)</f>
        <v>70966</v>
      </c>
      <c r="M27" s="459">
        <f>VLOOKUP(A26,[15]進出口值表查詢結果!$A$3:$E$19,3,0)</f>
        <v>3719182</v>
      </c>
    </row>
    <row r="28" spans="1:13">
      <c r="A28" s="328">
        <v>87149410006</v>
      </c>
      <c r="B28" s="463"/>
      <c r="C28" s="464"/>
      <c r="D28" s="460"/>
      <c r="E28" s="462"/>
      <c r="F28" s="464"/>
      <c r="G28" s="460"/>
      <c r="H28" s="462"/>
      <c r="I28" s="461"/>
      <c r="J28" s="460"/>
      <c r="K28" s="462"/>
      <c r="L28" s="461"/>
      <c r="M28" s="460"/>
    </row>
    <row r="29" spans="1:13">
      <c r="A29" s="325" t="s">
        <v>76</v>
      </c>
      <c r="B29" s="315"/>
      <c r="C29" s="459">
        <f>VLOOKUP(A28,[12]進出口值表查詢結果!$A$3:$E$19,4,0)</f>
        <v>8519</v>
      </c>
      <c r="D29" s="459">
        <f>VLOOKUP(A28,[12]進出口值表查詢結果!$A$3:$E$19,3,0)</f>
        <v>342026</v>
      </c>
      <c r="F29" s="459">
        <f>VLOOKUP(A28,[13]進出口值表查詢結果!$A$2:$E$18,4,0)</f>
        <v>131427</v>
      </c>
      <c r="G29" s="459">
        <f>VLOOKUP(A28,[13]進出口值表查詢結果!$A$2:$E$18,3,0)</f>
        <v>3483801</v>
      </c>
      <c r="I29" s="459">
        <f>VLOOKUP(A28,[14]進出口值表查詢結果!$A$2:$E$18,4,0)</f>
        <v>2738</v>
      </c>
      <c r="J29" s="459">
        <f>VLOOKUP(A28,[14]進出口值表查詢結果!$A$2:$E$18,3,0)</f>
        <v>176761</v>
      </c>
      <c r="L29" s="459">
        <f>VLOOKUP(A28,[15]進出口值表查詢結果!$A$3:$E$19,4,0)</f>
        <v>43827</v>
      </c>
      <c r="M29" s="459">
        <f>VLOOKUP(A28,[15]進出口值表查詢結果!$A$3:$E$19,3,0)</f>
        <v>2118989</v>
      </c>
    </row>
    <row r="30" spans="1:13">
      <c r="A30" s="325" t="s">
        <v>77</v>
      </c>
      <c r="B30" s="315"/>
      <c r="C30" s="459"/>
      <c r="D30" s="458"/>
      <c r="F30" s="459"/>
      <c r="G30" s="458"/>
      <c r="I30" s="459"/>
      <c r="J30" s="458"/>
      <c r="L30" s="459"/>
      <c r="M30" s="458"/>
    </row>
    <row r="31" spans="1:13">
      <c r="A31" s="328">
        <v>87149490009</v>
      </c>
      <c r="B31" s="463"/>
      <c r="C31" s="464"/>
      <c r="D31" s="460"/>
      <c r="E31" s="462"/>
      <c r="F31" s="464"/>
      <c r="G31" s="460"/>
      <c r="H31" s="462"/>
      <c r="I31" s="461"/>
      <c r="J31" s="460"/>
      <c r="K31" s="462"/>
      <c r="L31" s="461"/>
      <c r="M31" s="460"/>
    </row>
    <row r="32" spans="1:13">
      <c r="A32" s="325" t="s">
        <v>78</v>
      </c>
      <c r="B32" s="315"/>
      <c r="C32" s="459">
        <f>VLOOKUP(A31,[12]進出口值表查詢結果!$A$3:$E$19,4,0)</f>
        <v>220194</v>
      </c>
      <c r="D32" s="459">
        <f>VLOOKUP(A31,[12]進出口值表查詢結果!$A$3:$E$19,3,0)</f>
        <v>12292155</v>
      </c>
      <c r="F32" s="459">
        <f>VLOOKUP(A31,[13]進出口值表查詢結果!$A$2:$E$18,4,0)</f>
        <v>2420889</v>
      </c>
      <c r="G32" s="459">
        <f>VLOOKUP(A31,[13]進出口值表查詢結果!$A$2:$E$18,3,0)</f>
        <v>126619022</v>
      </c>
      <c r="I32" s="459">
        <f>VLOOKUP(A31,[14]進出口值表查詢結果!$A$2:$E$18,4,0)</f>
        <v>123059</v>
      </c>
      <c r="J32" s="459">
        <f>VLOOKUP(A31,[14]進出口值表查詢結果!$A$2:$E$18,3,0)</f>
        <v>9201053</v>
      </c>
      <c r="L32" s="459">
        <f>VLOOKUP(A31,[15]進出口值表查詢結果!$A$3:$E$19,4,0)</f>
        <v>964972</v>
      </c>
      <c r="M32" s="459">
        <f>VLOOKUP(A31,[15]進出口值表查詢結果!$A$3:$E$19,3,0)</f>
        <v>71589508</v>
      </c>
    </row>
    <row r="33" spans="1:13">
      <c r="A33" s="325" t="s">
        <v>79</v>
      </c>
      <c r="B33" s="315"/>
      <c r="C33" s="459"/>
      <c r="D33" s="458"/>
      <c r="F33" s="459"/>
      <c r="G33" s="458"/>
      <c r="I33" s="459"/>
      <c r="J33" s="458"/>
      <c r="L33" s="459"/>
      <c r="M33" s="458"/>
    </row>
    <row r="34" spans="1:13">
      <c r="A34" s="328">
        <v>87149500007</v>
      </c>
      <c r="B34" s="463"/>
      <c r="C34" s="461"/>
      <c r="D34" s="460"/>
      <c r="E34" s="462"/>
      <c r="F34" s="461"/>
      <c r="G34" s="460"/>
      <c r="H34" s="462"/>
      <c r="I34" s="461"/>
      <c r="J34" s="460"/>
      <c r="K34" s="462"/>
      <c r="L34" s="461"/>
      <c r="M34" s="460"/>
    </row>
    <row r="35" spans="1:13">
      <c r="A35" s="325" t="s">
        <v>80</v>
      </c>
      <c r="B35" s="315"/>
      <c r="C35" s="459">
        <f>VLOOKUP(A34,[12]進出口值表查詢結果!$A$3:$E$19,4,0)</f>
        <v>112842</v>
      </c>
      <c r="D35" s="459">
        <f>VLOOKUP(A34,[12]進出口值表查詢結果!$A$3:$E$19,3,0)</f>
        <v>2961140</v>
      </c>
      <c r="F35" s="459">
        <f>VLOOKUP(A34,[13]進出口值表查詢結果!$A$2:$E$18,4,0)</f>
        <v>909828</v>
      </c>
      <c r="G35" s="459">
        <f>VLOOKUP(A34,[13]進出口值表查詢結果!$A$2:$E$18,3,0)</f>
        <v>22863840</v>
      </c>
      <c r="I35" s="459">
        <f>VLOOKUP(A34,[14]進出口值表查詢結果!$A$2:$E$18,4,0)</f>
        <v>55598</v>
      </c>
      <c r="J35" s="459">
        <f>VLOOKUP(A34,[14]進出口值表查詢結果!$A$2:$E$18,3,0)</f>
        <v>1102894</v>
      </c>
      <c r="L35" s="459">
        <f>VLOOKUP(A34,[15]進出口值表查詢結果!$A$3:$E$19,4,0)</f>
        <v>438080</v>
      </c>
      <c r="M35" s="459">
        <f>VLOOKUP(A34,[15]進出口值表查詢結果!$A$3:$E$19,3,0)</f>
        <v>7109313</v>
      </c>
    </row>
    <row r="36" spans="1:13">
      <c r="A36" s="328">
        <v>87149610004</v>
      </c>
      <c r="B36" s="463"/>
      <c r="C36" s="461"/>
      <c r="D36" s="460"/>
      <c r="E36" s="462"/>
      <c r="F36" s="461"/>
      <c r="G36" s="460"/>
      <c r="H36" s="462"/>
      <c r="I36" s="461"/>
      <c r="J36" s="460"/>
      <c r="K36" s="462"/>
      <c r="L36" s="461"/>
      <c r="M36" s="460"/>
    </row>
    <row r="37" spans="1:13">
      <c r="A37" s="325" t="s">
        <v>81</v>
      </c>
      <c r="B37" s="315"/>
      <c r="C37" s="459">
        <f>VLOOKUP(A36,[12]進出口值表查詢結果!$A$3:$E$19,4,0)</f>
        <v>124103</v>
      </c>
      <c r="D37" s="459">
        <f>VLOOKUP(A36,[12]進出口值表查詢結果!$A$3:$E$19,3,0)</f>
        <v>2696901</v>
      </c>
      <c r="F37" s="459">
        <f>VLOOKUP(A36,[13]進出口值表查詢結果!$A$2:$E$18,4,0)</f>
        <v>1263957</v>
      </c>
      <c r="G37" s="459">
        <f>VLOOKUP(A36,[13]進出口值表查詢結果!$A$2:$E$18,3,0)</f>
        <v>30529735</v>
      </c>
      <c r="I37" s="459">
        <f>VLOOKUP(A36,[14]進出口值表查詢結果!$A$2:$E$18,4,0)</f>
        <v>16066</v>
      </c>
      <c r="J37" s="459">
        <f>VLOOKUP(A36,[14]進出口值表查詢結果!$A$2:$E$18,3,0)</f>
        <v>136042</v>
      </c>
      <c r="L37" s="459">
        <f>VLOOKUP(A36,[15]進出口值表查詢結果!$A$3:$E$19,4,0)</f>
        <v>147657</v>
      </c>
      <c r="M37" s="459">
        <f>VLOOKUP(A36,[15]進出口值表查詢結果!$A$3:$E$19,3,0)</f>
        <v>1794558</v>
      </c>
    </row>
    <row r="38" spans="1:13">
      <c r="A38" s="328">
        <v>87149620002</v>
      </c>
      <c r="B38" s="463"/>
      <c r="C38" s="464"/>
      <c r="D38" s="460"/>
      <c r="E38" s="462"/>
      <c r="F38" s="464"/>
      <c r="G38" s="460"/>
      <c r="H38" s="462"/>
      <c r="I38" s="461"/>
      <c r="J38" s="460"/>
      <c r="K38" s="462"/>
      <c r="L38" s="461"/>
      <c r="M38" s="460"/>
    </row>
    <row r="39" spans="1:13">
      <c r="A39" s="325" t="s">
        <v>82</v>
      </c>
      <c r="B39" s="315"/>
      <c r="C39" s="459">
        <f>VLOOKUP(A38,[12]進出口值表查詢結果!$A$3:$E$19,4,0)</f>
        <v>134836</v>
      </c>
      <c r="D39" s="459">
        <f>VLOOKUP(A38,[12]進出口值表查詢結果!$A$3:$E$19,3,0)</f>
        <v>7540188</v>
      </c>
      <c r="F39" s="459">
        <f>VLOOKUP(A38,[13]進出口值表查詢結果!$A$2:$E$18,4,0)</f>
        <v>1174424</v>
      </c>
      <c r="G39" s="459">
        <f>VLOOKUP(A38,[13]進出口值表查詢結果!$A$2:$E$18,3,0)</f>
        <v>63196306</v>
      </c>
      <c r="I39" s="459">
        <f>VLOOKUP(A38,[14]進出口值表查詢結果!$A$2:$E$18,4,0)</f>
        <v>92009</v>
      </c>
      <c r="J39" s="459">
        <f>VLOOKUP(A38,[14]進出口值表查詢結果!$A$2:$E$18,3,0)</f>
        <v>3137749</v>
      </c>
      <c r="L39" s="459">
        <f>VLOOKUP(A38,[15]進出口值表查詢結果!$A$3:$E$19,4,0)</f>
        <v>773807</v>
      </c>
      <c r="M39" s="459">
        <f>VLOOKUP(A38,[15]進出口值表查詢結果!$A$3:$E$19,3,0)</f>
        <v>23576226</v>
      </c>
    </row>
    <row r="40" spans="1:13">
      <c r="A40" s="325" t="s">
        <v>77</v>
      </c>
      <c r="B40" s="315"/>
      <c r="C40" s="459"/>
      <c r="D40" s="459"/>
      <c r="F40" s="459"/>
      <c r="G40" s="459"/>
      <c r="I40" s="459"/>
      <c r="J40" s="459"/>
      <c r="L40" s="459"/>
      <c r="M40" s="459"/>
    </row>
    <row r="41" spans="1:13">
      <c r="A41" s="328">
        <v>73151100209</v>
      </c>
      <c r="B41" s="463"/>
      <c r="C41" s="531"/>
      <c r="D41" s="467"/>
      <c r="E41" s="462"/>
      <c r="F41" s="461"/>
      <c r="G41" s="460"/>
      <c r="H41" s="462"/>
      <c r="I41" s="461"/>
      <c r="J41" s="460"/>
      <c r="K41" s="462"/>
      <c r="L41" s="461"/>
      <c r="M41" s="460"/>
    </row>
    <row r="42" spans="1:13">
      <c r="A42" s="325" t="s">
        <v>83</v>
      </c>
      <c r="B42" s="315"/>
      <c r="C42" s="459">
        <v>62598</v>
      </c>
      <c r="D42" s="459">
        <v>1595484</v>
      </c>
      <c r="F42" s="459">
        <v>868432</v>
      </c>
      <c r="G42" s="459">
        <v>23075790</v>
      </c>
      <c r="I42" s="459">
        <v>33678</v>
      </c>
      <c r="J42" s="459">
        <v>477003</v>
      </c>
      <c r="L42" s="459">
        <v>543126</v>
      </c>
      <c r="M42" s="459">
        <v>7040784</v>
      </c>
    </row>
    <row r="43" spans="1:13">
      <c r="A43" s="325" t="s">
        <v>84</v>
      </c>
      <c r="B43" s="315"/>
      <c r="C43" s="459"/>
      <c r="D43" s="458"/>
      <c r="F43" s="459"/>
      <c r="G43" s="458"/>
      <c r="I43" s="459"/>
      <c r="J43" s="458"/>
      <c r="L43" s="459"/>
      <c r="M43" s="458"/>
    </row>
    <row r="44" spans="1:13">
      <c r="A44" s="328">
        <v>87149990111</v>
      </c>
      <c r="B44" s="463"/>
      <c r="C44" s="464"/>
      <c r="D44" s="460"/>
      <c r="E44" s="462"/>
      <c r="F44" s="464"/>
      <c r="G44" s="460"/>
      <c r="H44" s="462"/>
      <c r="I44" s="461"/>
      <c r="J44" s="460"/>
      <c r="K44" s="462"/>
      <c r="L44" s="461"/>
      <c r="M44" s="460"/>
    </row>
    <row r="45" spans="1:13">
      <c r="A45" s="329" t="s">
        <v>85</v>
      </c>
      <c r="B45" s="317"/>
      <c r="C45" s="459">
        <f>VLOOKUP(A44,[12]進出口值表查詢結果!$A$3:$E$19,4,0)</f>
        <v>83208</v>
      </c>
      <c r="D45" s="459">
        <f>VLOOKUP(A44,[12]進出口值表查詢結果!$A$3:$E$19,3,0)</f>
        <v>9026272</v>
      </c>
      <c r="F45" s="459">
        <f>VLOOKUP(A44,[13]進出口值表查詢結果!$A$2:$E$18,4,0)</f>
        <v>637711</v>
      </c>
      <c r="G45" s="459">
        <f>VLOOKUP(A44,[13]進出口值表查詢結果!$A$2:$E$18,3,0)</f>
        <v>72238850</v>
      </c>
      <c r="I45" s="459">
        <f>VLOOKUP(A44,[14]進出口值表查詢結果!$A$2:$E$18,4,0)</f>
        <v>50563</v>
      </c>
      <c r="J45" s="459">
        <f>VLOOKUP(A44,[14]進出口值表查詢結果!$A$2:$E$18,3,0)</f>
        <v>5440741</v>
      </c>
      <c r="L45" s="459">
        <f>VLOOKUP(A44,[15]進出口值表查詢結果!$A$3:$E$19,4,0)</f>
        <v>356663</v>
      </c>
      <c r="M45" s="459">
        <f>VLOOKUP(A44,[15]進出口值表查詢結果!$A$3:$E$19,3,0)</f>
        <v>37010752</v>
      </c>
    </row>
    <row r="46" spans="1:13">
      <c r="A46" s="325" t="s">
        <v>86</v>
      </c>
      <c r="B46" s="315"/>
      <c r="C46" s="459"/>
      <c r="D46" s="458"/>
      <c r="F46" s="459"/>
      <c r="G46" s="458"/>
      <c r="I46" s="459"/>
      <c r="J46" s="458"/>
      <c r="L46" s="459"/>
      <c r="M46" s="458"/>
    </row>
    <row r="47" spans="1:13">
      <c r="A47" s="328">
        <v>87149320906</v>
      </c>
      <c r="B47" s="463"/>
      <c r="C47" s="464"/>
      <c r="D47" s="460"/>
      <c r="E47" s="462"/>
      <c r="F47" s="464"/>
      <c r="G47" s="460"/>
      <c r="H47" s="462"/>
      <c r="I47" s="461"/>
      <c r="J47" s="460"/>
      <c r="K47" s="462"/>
      <c r="L47" s="461"/>
      <c r="M47" s="460"/>
    </row>
    <row r="48" spans="1:13">
      <c r="A48" s="325" t="s">
        <v>406</v>
      </c>
      <c r="B48" s="315"/>
      <c r="C48" s="459">
        <f>VLOOKUP(A47,[12]進出口值表查詢結果!$A$3:$E$19,4,0)</f>
        <v>133033</v>
      </c>
      <c r="D48" s="459">
        <f>VLOOKUP(A47,[12]進出口值表查詢結果!$A$3:$E$19,3,0)</f>
        <v>6732734</v>
      </c>
      <c r="F48" s="459">
        <f>VLOOKUP(A47,[13]進出口值表查詢結果!$A$2:$E$18,4,0)</f>
        <v>1409998</v>
      </c>
      <c r="G48" s="459">
        <f>VLOOKUP(A47,[13]進出口值表查詢結果!$A$2:$E$18,3,0)</f>
        <v>72939179</v>
      </c>
      <c r="I48" s="459">
        <f>VLOOKUP(A47,[14]進出口值表查詢結果!$A$2:$E$18,4,0)</f>
        <v>31674</v>
      </c>
      <c r="J48" s="459">
        <f>VLOOKUP(A47,[14]進出口值表查詢結果!$A$2:$E$18,3,0)</f>
        <v>1360755</v>
      </c>
      <c r="L48" s="459">
        <f>VLOOKUP(A47,[15]進出口值表查詢結果!$A$3:$E$19,4,0)</f>
        <v>309473</v>
      </c>
      <c r="M48" s="459">
        <f>VLOOKUP(A47,[15]進出口值表查詢結果!$A$3:$E$19,3,0)</f>
        <v>10959488</v>
      </c>
    </row>
    <row r="49" spans="1:13">
      <c r="A49" s="328">
        <v>87149990139</v>
      </c>
      <c r="B49" s="463"/>
      <c r="C49" s="464"/>
      <c r="D49" s="460"/>
      <c r="E49" s="462"/>
      <c r="F49" s="464"/>
      <c r="G49" s="460"/>
      <c r="H49" s="462"/>
      <c r="I49" s="461"/>
      <c r="J49" s="460"/>
      <c r="K49" s="462"/>
      <c r="L49" s="461"/>
      <c r="M49" s="460"/>
    </row>
    <row r="50" spans="1:13">
      <c r="A50" s="325" t="s">
        <v>87</v>
      </c>
      <c r="B50" s="315"/>
      <c r="C50" s="459">
        <f>VLOOKUP(A49,[12]進出口值表查詢結果!$A$3:$E$19,4,0)</f>
        <v>20845</v>
      </c>
      <c r="D50" s="459">
        <f>VLOOKUP(A49,[12]進出口值表查詢結果!$A$3:$E$19,3,0)</f>
        <v>298355</v>
      </c>
      <c r="F50" s="459">
        <f>VLOOKUP(A49,[13]進出口值表查詢結果!$A$2:$E$18,4,0)</f>
        <v>111907</v>
      </c>
      <c r="G50" s="459">
        <f>VLOOKUP(A49,[13]進出口值表查詢結果!$A$2:$E$18,3,0)</f>
        <v>2127252</v>
      </c>
      <c r="I50" s="459">
        <f>VLOOKUP(A49,[14]進出口值表查詢結果!$A$2:$E$18,4,0)</f>
        <v>6459</v>
      </c>
      <c r="J50" s="459">
        <f>VLOOKUP(A49,[14]進出口值表查詢結果!$A$2:$E$18,3,0)</f>
        <v>115495</v>
      </c>
      <c r="L50" s="459">
        <f>VLOOKUP(A49,[15]進出口值表查詢結果!$A$3:$E$19,4,0)</f>
        <v>60022</v>
      </c>
      <c r="M50" s="459">
        <f>VLOOKUP(A49,[15]進出口值表查詢結果!$A$3:$E$19,3,0)</f>
        <v>856548</v>
      </c>
    </row>
    <row r="51" spans="1:13">
      <c r="A51" s="328">
        <v>87149990148</v>
      </c>
      <c r="B51" s="463"/>
      <c r="C51" s="464"/>
      <c r="D51" s="460"/>
      <c r="E51" s="462"/>
      <c r="F51" s="464"/>
      <c r="G51" s="460"/>
      <c r="H51" s="462"/>
      <c r="I51" s="461"/>
      <c r="J51" s="460"/>
      <c r="K51" s="462"/>
      <c r="L51" s="461"/>
      <c r="M51" s="460"/>
    </row>
    <row r="52" spans="1:13">
      <c r="A52" s="330" t="s">
        <v>88</v>
      </c>
      <c r="B52" s="466"/>
      <c r="C52" s="459">
        <f>VLOOKUP(A51,[12]進出口值表查詢結果!$A$3:$E$19,4,0)</f>
        <v>63839</v>
      </c>
      <c r="D52" s="459">
        <f>VLOOKUP(A51,[12]進出口值表查詢結果!$A$3:$E$19,3,0)</f>
        <v>2551354</v>
      </c>
      <c r="F52" s="459">
        <f>VLOOKUP(A51,[13]進出口值表查詢結果!$A$2:$E$18,4,0)</f>
        <v>491344</v>
      </c>
      <c r="G52" s="459">
        <f>VLOOKUP(A51,[13]進出口值表查詢結果!$A$2:$E$18,3,0)</f>
        <v>19199255</v>
      </c>
      <c r="I52" s="459">
        <f>VLOOKUP(A51,[14]進出口值表查詢結果!$A$2:$E$18,4,0)</f>
        <v>4424</v>
      </c>
      <c r="J52" s="459">
        <f>VLOOKUP(A51,[14]進出口值表查詢結果!$A$2:$E$18,3,0)</f>
        <v>162843</v>
      </c>
      <c r="L52" s="459">
        <f>VLOOKUP(A51,[15]進出口值表查詢結果!$A$3:$E$19,4,0)</f>
        <v>107391</v>
      </c>
      <c r="M52" s="459">
        <f>VLOOKUP(A51,[15]進出口值表查詢結果!$A$3:$E$19,3,0)</f>
        <v>2891068</v>
      </c>
    </row>
    <row r="53" spans="1:13">
      <c r="A53" s="325" t="s">
        <v>89</v>
      </c>
      <c r="B53" s="315"/>
      <c r="C53" s="459"/>
      <c r="D53" s="458"/>
      <c r="F53" s="459"/>
      <c r="G53" s="458"/>
      <c r="I53" s="459"/>
      <c r="J53" s="465"/>
      <c r="L53" s="459"/>
      <c r="M53" s="458"/>
    </row>
    <row r="54" spans="1:13">
      <c r="A54" s="328">
        <v>87149990157</v>
      </c>
      <c r="B54" s="463"/>
      <c r="C54" s="464"/>
      <c r="D54" s="460"/>
      <c r="E54" s="462"/>
      <c r="F54" s="464"/>
      <c r="G54" s="460"/>
      <c r="H54" s="462"/>
      <c r="I54" s="461"/>
      <c r="J54" s="460"/>
      <c r="K54" s="462"/>
      <c r="L54" s="461"/>
      <c r="M54" s="460"/>
    </row>
    <row r="55" spans="1:13">
      <c r="A55" s="325" t="s">
        <v>90</v>
      </c>
      <c r="B55" s="315"/>
      <c r="C55" s="459">
        <f>VLOOKUP(A54,[12]進出口值表查詢結果!$A$3:$E$19,4,0)</f>
        <v>94388</v>
      </c>
      <c r="D55" s="459">
        <f>VLOOKUP(A54,[12]進出口值表查詢結果!$A$3:$E$19,3,0)</f>
        <v>4199713</v>
      </c>
      <c r="F55" s="459">
        <f>VLOOKUP(A54,[13]進出口值表查詢結果!$A$2:$E$18,4,0)</f>
        <v>909450</v>
      </c>
      <c r="G55" s="459">
        <f>VLOOKUP(A54,[13]進出口值表查詢結果!$A$2:$E$18,3,0)</f>
        <v>41717932</v>
      </c>
      <c r="I55" s="459">
        <f>VLOOKUP(A54,[14]進出口值表查詢結果!$A$2:$E$18,4,0)</f>
        <v>19931</v>
      </c>
      <c r="J55" s="459">
        <f>VLOOKUP(A54,[14]進出口值表查詢結果!$A$2:$E$18,3,0)</f>
        <v>1120135</v>
      </c>
      <c r="L55" s="459">
        <f>VLOOKUP(A54,[15]進出口值表查詢結果!$A$3:$E$19,4,0)</f>
        <v>227636</v>
      </c>
      <c r="M55" s="459">
        <f>VLOOKUP(A54,[15]進出口值表查詢結果!$A$3:$E$19,3,0)</f>
        <v>7563584</v>
      </c>
    </row>
    <row r="56" spans="1:13">
      <c r="A56" s="325" t="s">
        <v>91</v>
      </c>
      <c r="B56" s="315"/>
      <c r="C56" s="459"/>
      <c r="D56" s="458"/>
      <c r="F56" s="459"/>
      <c r="G56" s="458"/>
      <c r="I56" s="459"/>
      <c r="J56" s="459"/>
      <c r="L56" s="459"/>
      <c r="M56" s="458"/>
    </row>
    <row r="57" spans="1:13">
      <c r="A57" s="328">
        <v>87149990166</v>
      </c>
      <c r="B57" s="463"/>
      <c r="C57" s="464"/>
      <c r="D57" s="460"/>
      <c r="E57" s="462"/>
      <c r="F57" s="464"/>
      <c r="G57" s="460"/>
      <c r="H57" s="462"/>
      <c r="I57" s="461"/>
      <c r="J57" s="540"/>
      <c r="K57" s="462"/>
      <c r="L57" s="461"/>
      <c r="M57" s="460"/>
    </row>
    <row r="58" spans="1:13">
      <c r="A58" s="325" t="s">
        <v>88</v>
      </c>
      <c r="B58" s="315"/>
      <c r="C58" s="459">
        <f>VLOOKUP(A57,[12]進出口值表查詢結果!$A$3:$E$19,4,0)</f>
        <v>123443</v>
      </c>
      <c r="D58" s="459">
        <f>VLOOKUP(A57,[12]進出口值表查詢結果!$A$3:$E$19,3,0)</f>
        <v>4320524</v>
      </c>
      <c r="F58" s="459">
        <f>VLOOKUP(A57,[13]進出口值表查詢結果!$A$2:$E$18,4,0)</f>
        <v>954036</v>
      </c>
      <c r="G58" s="459">
        <f>VLOOKUP(A57,[13]進出口值表查詢結果!$A$2:$E$18,3,0)</f>
        <v>32647261</v>
      </c>
      <c r="I58" s="459">
        <f>VLOOKUP(A57,[14]進出口值表查詢結果!$A$2:$E$18,4,0)</f>
        <v>27055</v>
      </c>
      <c r="J58" s="459">
        <f>VLOOKUP(A57,[14]進出口值表查詢結果!$A$2:$E$18,3,0)</f>
        <v>1932783</v>
      </c>
      <c r="L58" s="459">
        <f>VLOOKUP(A57,[15]進出口值表查詢結果!$A$3:$E$19,4,0)</f>
        <v>260973</v>
      </c>
      <c r="M58" s="459">
        <f>VLOOKUP(A57,[15]進出口值表查詢結果!$A$3:$E$19,3,0)</f>
        <v>13664791</v>
      </c>
    </row>
    <row r="59" spans="1:13">
      <c r="A59" s="328">
        <v>40115000008</v>
      </c>
      <c r="B59" s="463"/>
      <c r="C59" s="461"/>
      <c r="D59" s="461"/>
      <c r="E59" s="462"/>
      <c r="F59" s="461"/>
      <c r="G59" s="461"/>
      <c r="H59" s="462"/>
      <c r="I59" s="461"/>
      <c r="J59" s="540"/>
      <c r="K59" s="462"/>
      <c r="L59" s="461"/>
      <c r="M59" s="460"/>
    </row>
    <row r="60" spans="1:13">
      <c r="A60" s="325" t="s">
        <v>92</v>
      </c>
      <c r="B60" s="315"/>
      <c r="C60" s="459">
        <v>359003</v>
      </c>
      <c r="D60" s="459">
        <v>6479242</v>
      </c>
      <c r="F60" s="459">
        <v>2886766</v>
      </c>
      <c r="G60" s="459">
        <v>51942781</v>
      </c>
      <c r="I60" s="459">
        <v>137856</v>
      </c>
      <c r="J60" s="459">
        <v>2024438</v>
      </c>
      <c r="L60" s="459">
        <v>1308049</v>
      </c>
      <c r="M60" s="459">
        <v>14218939</v>
      </c>
    </row>
    <row r="61" spans="1:13">
      <c r="A61" s="325" t="s">
        <v>93</v>
      </c>
      <c r="B61" s="315" t="s">
        <v>66</v>
      </c>
      <c r="C61" s="459">
        <v>511596</v>
      </c>
      <c r="D61" s="458" t="s">
        <v>69</v>
      </c>
      <c r="E61" s="13" t="s">
        <v>66</v>
      </c>
      <c r="F61" s="459">
        <v>3927940</v>
      </c>
      <c r="G61" s="458" t="s">
        <v>69</v>
      </c>
      <c r="H61" s="13" t="s">
        <v>66</v>
      </c>
      <c r="I61" s="459">
        <v>222197</v>
      </c>
      <c r="J61" s="458" t="s">
        <v>69</v>
      </c>
      <c r="K61" s="318" t="s">
        <v>66</v>
      </c>
      <c r="L61" s="459">
        <v>1864282</v>
      </c>
      <c r="M61" s="458" t="s">
        <v>69</v>
      </c>
    </row>
    <row r="62" spans="1:13">
      <c r="A62" s="328">
        <v>40132000003</v>
      </c>
      <c r="B62" s="463"/>
      <c r="C62" s="461"/>
      <c r="D62" s="461"/>
      <c r="E62" s="462"/>
      <c r="F62" s="461"/>
      <c r="G62" s="461"/>
      <c r="H62" s="462"/>
      <c r="I62" s="461"/>
      <c r="J62" s="461"/>
      <c r="K62" s="462"/>
      <c r="L62" s="461"/>
      <c r="M62" s="460"/>
    </row>
    <row r="63" spans="1:13">
      <c r="A63" s="325" t="s">
        <v>94</v>
      </c>
      <c r="B63" s="315"/>
      <c r="C63" s="459">
        <v>36377</v>
      </c>
      <c r="D63" s="459">
        <v>334607</v>
      </c>
      <c r="F63" s="459">
        <v>393470</v>
      </c>
      <c r="G63" s="459">
        <v>4042363</v>
      </c>
      <c r="I63" s="459">
        <v>17602</v>
      </c>
      <c r="J63" s="459">
        <v>117160</v>
      </c>
      <c r="L63" s="459">
        <v>233487</v>
      </c>
      <c r="M63" s="459">
        <v>1564967</v>
      </c>
    </row>
    <row r="64" spans="1:13">
      <c r="A64" s="325" t="s">
        <v>95</v>
      </c>
      <c r="B64" s="315" t="s">
        <v>66</v>
      </c>
      <c r="C64" s="459">
        <v>186585</v>
      </c>
      <c r="D64" s="458" t="s">
        <v>69</v>
      </c>
      <c r="E64" s="13" t="s">
        <v>66</v>
      </c>
      <c r="F64" s="459">
        <v>2149191</v>
      </c>
      <c r="G64" s="458" t="s">
        <v>69</v>
      </c>
      <c r="H64" s="13" t="s">
        <v>66</v>
      </c>
      <c r="I64" s="459">
        <v>99717</v>
      </c>
      <c r="J64" s="458" t="s">
        <v>69</v>
      </c>
      <c r="K64" s="318" t="s">
        <v>66</v>
      </c>
      <c r="L64" s="459">
        <v>1178421</v>
      </c>
      <c r="M64" s="458" t="s">
        <v>69</v>
      </c>
    </row>
    <row r="65" spans="1:13">
      <c r="A65" s="325"/>
      <c r="B65" s="315"/>
      <c r="D65" s="326"/>
      <c r="G65" s="326"/>
      <c r="J65" s="326"/>
      <c r="M65" s="326"/>
    </row>
    <row r="66" spans="1:13">
      <c r="A66" s="319" t="s">
        <v>96</v>
      </c>
      <c r="B66" s="331"/>
      <c r="C66" s="332">
        <f>SUM(C5:C65)-C64-C61-C19-C16-C10-C7-C13</f>
        <v>2614137</v>
      </c>
      <c r="D66" s="333">
        <f>SUM(D5:D65)</f>
        <v>127255825</v>
      </c>
      <c r="E66" s="332"/>
      <c r="F66" s="332">
        <f>SUM(F5:F65)-F64-F61-F19-F16-F10-F7-F13</f>
        <v>24324463</v>
      </c>
      <c r="G66" s="333">
        <f>SUM(G6:G65)</f>
        <v>1161309175</v>
      </c>
      <c r="H66" s="332"/>
      <c r="I66" s="332">
        <f>SUM(I5:I65)-I64-I61-I19-I16-I10-I7</f>
        <v>1240717</v>
      </c>
      <c r="J66" s="333">
        <f>SUM(J5:J65)</f>
        <v>68016815</v>
      </c>
      <c r="K66" s="332"/>
      <c r="L66" s="332">
        <f>SUM(L5:L65)-L64-L61-L19-L16-L10-L7</f>
        <v>11282742</v>
      </c>
      <c r="M66" s="333">
        <f>SUM(M5:M65)</f>
        <v>527962185</v>
      </c>
    </row>
    <row r="67" spans="1:13" ht="8.25" customHeight="1">
      <c r="G67" s="5"/>
    </row>
    <row r="68" spans="1:13">
      <c r="A68" s="55" t="s">
        <v>32</v>
      </c>
      <c r="B68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6"/>
  <sheetViews>
    <sheetView zoomScaleNormal="100"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18" customWidth="1"/>
    <col min="3" max="3" width="17.25" style="361" customWidth="1"/>
    <col min="4" max="4" width="15.75" style="362" customWidth="1"/>
    <col min="5" max="5" width="16.75" style="318" customWidth="1"/>
    <col min="6" max="6" width="16.875" style="361" customWidth="1"/>
    <col min="7" max="7" width="14.875" style="36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5" customFormat="1" ht="21">
      <c r="A1" s="334" t="s">
        <v>512</v>
      </c>
      <c r="B1" s="335"/>
      <c r="C1" s="336"/>
      <c r="D1" s="337"/>
      <c r="E1" s="335"/>
      <c r="F1" s="336"/>
      <c r="G1" s="337"/>
    </row>
    <row r="2" spans="1:7" s="315" customFormat="1" ht="14.25" customHeight="1">
      <c r="A2" s="317"/>
      <c r="B2" s="316"/>
      <c r="C2" s="338"/>
      <c r="D2" s="339"/>
      <c r="E2" s="316"/>
      <c r="F2" s="338"/>
      <c r="G2" s="339"/>
    </row>
    <row r="3" spans="1:7">
      <c r="A3" s="42" t="s">
        <v>97</v>
      </c>
      <c r="B3" s="513" t="s">
        <v>420</v>
      </c>
      <c r="C3" s="71" t="s">
        <v>421</v>
      </c>
      <c r="D3" s="340" t="s">
        <v>37</v>
      </c>
      <c r="E3" s="73" t="s">
        <v>420</v>
      </c>
      <c r="F3" s="71" t="s">
        <v>421</v>
      </c>
      <c r="G3" s="202" t="s">
        <v>37</v>
      </c>
    </row>
    <row r="4" spans="1:7" s="315" customFormat="1" ht="18" customHeight="1">
      <c r="A4" s="46"/>
      <c r="B4" s="77" t="s">
        <v>98</v>
      </c>
      <c r="C4" s="76" t="s">
        <v>98</v>
      </c>
      <c r="D4" s="203" t="s">
        <v>2</v>
      </c>
      <c r="E4" s="77" t="s">
        <v>34</v>
      </c>
      <c r="F4" s="76" t="s">
        <v>99</v>
      </c>
      <c r="G4" s="203" t="s">
        <v>2</v>
      </c>
    </row>
    <row r="5" spans="1:7">
      <c r="A5" s="341">
        <v>85121010001</v>
      </c>
      <c r="B5" s="342"/>
      <c r="C5" s="343"/>
      <c r="D5" s="344"/>
      <c r="E5" s="342"/>
      <c r="F5" s="343"/>
      <c r="G5" s="345"/>
    </row>
    <row r="6" spans="1:7">
      <c r="A6" s="325" t="s">
        <v>64</v>
      </c>
      <c r="B6" s="346">
        <f>零件進出口!F6</f>
        <v>54056</v>
      </c>
      <c r="C6" s="347">
        <v>139204</v>
      </c>
      <c r="D6" s="501">
        <f>(B6-C6)/C6</f>
        <v>-0.61167782534984627</v>
      </c>
      <c r="E6" s="346">
        <f>零件進出口!G6</f>
        <v>6410333</v>
      </c>
      <c r="F6" s="347">
        <v>17528970</v>
      </c>
      <c r="G6" s="501">
        <f>(E6-F6)/F6</f>
        <v>-0.63430064630152261</v>
      </c>
    </row>
    <row r="7" spans="1:7">
      <c r="A7" s="325" t="s">
        <v>65</v>
      </c>
      <c r="B7" s="346"/>
      <c r="C7" s="350"/>
      <c r="D7" s="349"/>
      <c r="E7" s="350"/>
      <c r="F7" s="347"/>
      <c r="G7" s="350"/>
    </row>
    <row r="8" spans="1:7">
      <c r="A8" s="327">
        <v>85121020009</v>
      </c>
      <c r="B8" s="351"/>
      <c r="C8" s="351"/>
      <c r="D8" s="352"/>
      <c r="E8" s="351"/>
      <c r="F8" s="351"/>
      <c r="G8" s="351"/>
    </row>
    <row r="9" spans="1:7">
      <c r="A9" s="325" t="s">
        <v>67</v>
      </c>
      <c r="B9" s="346">
        <f>零件進出口!F9</f>
        <v>22672</v>
      </c>
      <c r="C9" s="347">
        <v>53108</v>
      </c>
      <c r="D9" s="502">
        <f>(B9-C9)/C9</f>
        <v>-0.57309633200271148</v>
      </c>
      <c r="E9" s="346">
        <f>零件進出口!G9</f>
        <v>4057175</v>
      </c>
      <c r="F9" s="347">
        <v>7670386</v>
      </c>
      <c r="G9" s="502">
        <f>(E9-F9)/F9</f>
        <v>-0.47105986582683063</v>
      </c>
    </row>
    <row r="10" spans="1:7">
      <c r="A10" s="325" t="s">
        <v>68</v>
      </c>
      <c r="B10" s="346"/>
      <c r="C10" s="350"/>
      <c r="D10" s="353"/>
      <c r="E10" s="350"/>
      <c r="F10" s="347"/>
      <c r="G10" s="350"/>
    </row>
    <row r="11" spans="1:7">
      <c r="A11" s="328">
        <v>87149120007</v>
      </c>
      <c r="B11" s="351"/>
      <c r="C11" s="351"/>
      <c r="D11" s="355"/>
      <c r="E11" s="356"/>
      <c r="F11" s="351"/>
      <c r="G11" s="356"/>
    </row>
    <row r="12" spans="1:7">
      <c r="A12" s="325" t="s">
        <v>70</v>
      </c>
      <c r="B12" s="346">
        <f>零件進出口!F12</f>
        <v>7177518</v>
      </c>
      <c r="C12" s="347">
        <v>12533898</v>
      </c>
      <c r="D12" s="501">
        <f>(B12-C12)/C12</f>
        <v>-0.42735149113228782</v>
      </c>
      <c r="E12" s="346">
        <f>零件進出口!G12</f>
        <v>467121988</v>
      </c>
      <c r="F12" s="347">
        <v>674930290</v>
      </c>
      <c r="G12" s="502">
        <f>(E12-F12)/F12</f>
        <v>-0.30789594878013254</v>
      </c>
    </row>
    <row r="13" spans="1:7">
      <c r="A13" s="325" t="s">
        <v>71</v>
      </c>
      <c r="B13" s="353"/>
      <c r="C13" s="348"/>
      <c r="D13" s="346"/>
      <c r="E13" s="350"/>
      <c r="F13" s="347"/>
      <c r="G13" s="350"/>
    </row>
    <row r="14" spans="1:7">
      <c r="A14" s="328">
        <v>87149200108</v>
      </c>
      <c r="B14" s="351"/>
      <c r="C14" s="354"/>
      <c r="D14" s="355"/>
      <c r="E14" s="356"/>
      <c r="F14" s="357"/>
      <c r="G14" s="356"/>
    </row>
    <row r="15" spans="1:7">
      <c r="A15" s="325" t="s">
        <v>72</v>
      </c>
      <c r="B15" s="346">
        <f>零件進出口!F15</f>
        <v>970376</v>
      </c>
      <c r="C15" s="347">
        <v>1584196</v>
      </c>
      <c r="D15" s="502">
        <f>(B15-C15)/C15</f>
        <v>-0.38746468240041004</v>
      </c>
      <c r="E15" s="346">
        <f>零件進出口!G15</f>
        <v>21567278</v>
      </c>
      <c r="F15" s="347">
        <v>33811171</v>
      </c>
      <c r="G15" s="501">
        <f>(E15-F15)/F15</f>
        <v>-0.36212567142380253</v>
      </c>
    </row>
    <row r="16" spans="1:7">
      <c r="A16" s="325"/>
      <c r="B16" s="346"/>
      <c r="C16" s="348"/>
      <c r="D16" s="346"/>
      <c r="E16" s="350"/>
      <c r="F16" s="347"/>
      <c r="G16" s="350"/>
    </row>
    <row r="17" spans="1:7">
      <c r="A17" s="328">
        <v>87149200206</v>
      </c>
      <c r="B17" s="351"/>
      <c r="C17" s="354"/>
      <c r="D17" s="355"/>
      <c r="E17" s="356"/>
      <c r="F17" s="357"/>
      <c r="G17" s="356"/>
    </row>
    <row r="18" spans="1:7">
      <c r="A18" s="325" t="s">
        <v>58</v>
      </c>
      <c r="B18" s="346">
        <f>零件進出口!F18</f>
        <v>445535</v>
      </c>
      <c r="C18" s="347">
        <v>1266041</v>
      </c>
      <c r="D18" s="502">
        <f>(B18-C18)/C18</f>
        <v>-0.64808801610690336</v>
      </c>
      <c r="E18" s="346">
        <f>零件進出口!G18</f>
        <v>5855815</v>
      </c>
      <c r="F18" s="347">
        <v>13291622</v>
      </c>
      <c r="G18" s="502">
        <f>(E18-F18)/F18</f>
        <v>-0.55943563547022324</v>
      </c>
    </row>
    <row r="19" spans="1:7">
      <c r="A19" s="325"/>
      <c r="B19" s="346"/>
      <c r="C19" s="348"/>
      <c r="D19" s="346"/>
      <c r="E19" s="350"/>
      <c r="F19" s="347"/>
      <c r="G19" s="350"/>
    </row>
    <row r="20" spans="1:7">
      <c r="A20" s="328">
        <v>87149200304</v>
      </c>
      <c r="B20" s="351"/>
      <c r="C20" s="354"/>
      <c r="D20" s="355"/>
      <c r="E20" s="356"/>
      <c r="F20" s="357"/>
      <c r="G20" s="356"/>
    </row>
    <row r="21" spans="1:7">
      <c r="A21" s="325" t="s">
        <v>59</v>
      </c>
      <c r="B21" s="346">
        <f>零件進出口!F21</f>
        <v>460474</v>
      </c>
      <c r="C21" s="347">
        <v>703191</v>
      </c>
      <c r="D21" s="501">
        <f>(B21-C21)/C21</f>
        <v>-0.34516511161263441</v>
      </c>
      <c r="E21" s="346">
        <f>零件進出口!G21</f>
        <v>55505465</v>
      </c>
      <c r="F21" s="347">
        <v>58724149</v>
      </c>
      <c r="G21" s="502">
        <f>(E21-F21)/F21</f>
        <v>-5.4810228071589424E-2</v>
      </c>
    </row>
    <row r="22" spans="1:7">
      <c r="A22" s="328">
        <v>87149310007</v>
      </c>
      <c r="B22" s="351"/>
      <c r="C22" s="354"/>
      <c r="D22" s="355"/>
      <c r="E22" s="356"/>
      <c r="F22" s="357"/>
      <c r="G22" s="356"/>
    </row>
    <row r="23" spans="1:7">
      <c r="A23" s="325" t="s">
        <v>73</v>
      </c>
      <c r="B23" s="346">
        <f>零件進出口!F23</f>
        <v>614936</v>
      </c>
      <c r="C23" s="347">
        <v>1069438</v>
      </c>
      <c r="D23" s="502">
        <f>(B23-C23)/C23</f>
        <v>-0.42499144410428658</v>
      </c>
      <c r="E23" s="346">
        <f>零件進出口!G23</f>
        <v>33636792</v>
      </c>
      <c r="F23" s="347">
        <v>58763900</v>
      </c>
      <c r="G23" s="502">
        <f>(E23-F23)/F23</f>
        <v>-0.42759428833008023</v>
      </c>
    </row>
    <row r="24" spans="1:7">
      <c r="A24" s="325" t="s">
        <v>100</v>
      </c>
      <c r="B24" s="346"/>
      <c r="C24" s="348"/>
      <c r="D24" s="346"/>
      <c r="E24" s="350"/>
      <c r="F24" s="347"/>
      <c r="G24" s="350"/>
    </row>
    <row r="25" spans="1:7">
      <c r="A25" s="328">
        <v>87149320103</v>
      </c>
      <c r="B25" s="351"/>
      <c r="C25" s="354"/>
      <c r="D25" s="355"/>
      <c r="E25" s="356"/>
      <c r="F25" s="357"/>
      <c r="G25" s="356"/>
    </row>
    <row r="26" spans="1:7">
      <c r="A26" s="325" t="s">
        <v>405</v>
      </c>
      <c r="B26" s="346">
        <f>零件進出口!F27</f>
        <v>15257</v>
      </c>
      <c r="C26" s="347">
        <v>17236</v>
      </c>
      <c r="D26" s="502">
        <v>0</v>
      </c>
      <c r="E26" s="346">
        <f>零件進出口!G27</f>
        <v>530962</v>
      </c>
      <c r="F26" s="347">
        <v>608092</v>
      </c>
      <c r="G26" s="502">
        <v>0</v>
      </c>
    </row>
    <row r="27" spans="1:7">
      <c r="A27" s="328">
        <v>87149410006</v>
      </c>
      <c r="B27" s="351"/>
      <c r="C27" s="354"/>
      <c r="D27" s="355"/>
      <c r="E27" s="356"/>
      <c r="F27" s="357"/>
      <c r="G27" s="356"/>
    </row>
    <row r="28" spans="1:7">
      <c r="A28" s="325" t="s">
        <v>76</v>
      </c>
      <c r="B28" s="346">
        <f>零件進出口!F29</f>
        <v>131427</v>
      </c>
      <c r="C28" s="347">
        <v>228867</v>
      </c>
      <c r="D28" s="502">
        <f>(B28-C28)/C28</f>
        <v>-0.42574945273892695</v>
      </c>
      <c r="E28" s="346">
        <f>零件進出口!G29</f>
        <v>3483801</v>
      </c>
      <c r="F28" s="347">
        <v>5972311</v>
      </c>
      <c r="G28" s="501">
        <f>(E28-F28)/F28</f>
        <v>-0.41667455027040623</v>
      </c>
    </row>
    <row r="29" spans="1:7">
      <c r="A29" s="325" t="s">
        <v>77</v>
      </c>
      <c r="B29" s="346"/>
      <c r="C29" s="348"/>
      <c r="D29" s="346"/>
      <c r="E29" s="350"/>
      <c r="F29" s="347"/>
      <c r="G29" s="350"/>
    </row>
    <row r="30" spans="1:7">
      <c r="A30" s="328">
        <v>87149490009</v>
      </c>
      <c r="B30" s="351"/>
      <c r="C30" s="354"/>
      <c r="D30" s="355"/>
      <c r="E30" s="356"/>
      <c r="F30" s="357"/>
      <c r="G30" s="356"/>
    </row>
    <row r="31" spans="1:7">
      <c r="A31" s="325" t="s">
        <v>78</v>
      </c>
      <c r="B31" s="346">
        <f>零件進出口!F32</f>
        <v>2420889</v>
      </c>
      <c r="C31" s="347">
        <v>6569862</v>
      </c>
      <c r="D31" s="501">
        <f>(B31-C31)/C31</f>
        <v>-0.63151600444575551</v>
      </c>
      <c r="E31" s="346">
        <f>零件進出口!G32</f>
        <v>126619022</v>
      </c>
      <c r="F31" s="347">
        <v>268373216</v>
      </c>
      <c r="G31" s="502">
        <f>(E31-F31)/F31</f>
        <v>-0.52819799275349444</v>
      </c>
    </row>
    <row r="32" spans="1:7">
      <c r="A32" s="325" t="s">
        <v>79</v>
      </c>
      <c r="B32" s="346"/>
      <c r="C32" s="348"/>
      <c r="D32" s="346"/>
      <c r="E32" s="350"/>
      <c r="F32" s="347"/>
      <c r="G32" s="350"/>
    </row>
    <row r="33" spans="1:7">
      <c r="A33" s="328">
        <v>87149500007</v>
      </c>
      <c r="B33" s="355"/>
      <c r="C33" s="354"/>
      <c r="D33" s="355"/>
      <c r="E33" s="356"/>
      <c r="F33" s="357"/>
      <c r="G33" s="356"/>
    </row>
    <row r="34" spans="1:7">
      <c r="A34" s="325" t="s">
        <v>80</v>
      </c>
      <c r="B34" s="346">
        <f>零件進出口!F35</f>
        <v>909828</v>
      </c>
      <c r="C34" s="347">
        <v>1674377</v>
      </c>
      <c r="D34" s="502">
        <f>(B34-C34)/C34</f>
        <v>-0.45661699844180853</v>
      </c>
      <c r="E34" s="346">
        <f>零件進出口!G35</f>
        <v>22863840</v>
      </c>
      <c r="F34" s="347">
        <v>36766866</v>
      </c>
      <c r="G34" s="502">
        <f>(E34-F34)/F34</f>
        <v>-0.37814008950341321</v>
      </c>
    </row>
    <row r="35" spans="1:7">
      <c r="A35" s="328">
        <v>87149610004</v>
      </c>
      <c r="B35" s="355"/>
      <c r="C35" s="354"/>
      <c r="D35" s="355"/>
      <c r="E35" s="356"/>
      <c r="F35" s="357"/>
      <c r="G35" s="356"/>
    </row>
    <row r="36" spans="1:7">
      <c r="A36" s="325" t="s">
        <v>81</v>
      </c>
      <c r="B36" s="346">
        <f>零件進出口!F37</f>
        <v>1263957</v>
      </c>
      <c r="C36" s="347">
        <v>2822425</v>
      </c>
      <c r="D36" s="502">
        <f>(B36-C36)/C36</f>
        <v>-0.55217339699017687</v>
      </c>
      <c r="E36" s="346">
        <f>零件進出口!G37</f>
        <v>30529735</v>
      </c>
      <c r="F36" s="347">
        <v>62262870</v>
      </c>
      <c r="G36" s="502">
        <f>(E36-F36)/F36</f>
        <v>-0.50966386547873554</v>
      </c>
    </row>
    <row r="37" spans="1:7">
      <c r="A37" s="328">
        <v>87149620002</v>
      </c>
      <c r="B37" s="351"/>
      <c r="C37" s="354"/>
      <c r="D37" s="355"/>
      <c r="E37" s="356"/>
      <c r="F37" s="357"/>
      <c r="G37" s="356"/>
    </row>
    <row r="38" spans="1:7">
      <c r="A38" s="325" t="s">
        <v>82</v>
      </c>
      <c r="B38" s="346">
        <f>零件進出口!F39</f>
        <v>1174424</v>
      </c>
      <c r="C38" s="347">
        <v>2505250</v>
      </c>
      <c r="D38" s="501">
        <f>(B38-C38)/C38</f>
        <v>-0.53121484881748327</v>
      </c>
      <c r="E38" s="346">
        <f>零件進出口!G39</f>
        <v>63196306</v>
      </c>
      <c r="F38" s="347">
        <v>100163029</v>
      </c>
      <c r="G38" s="501">
        <f>(E38-F38)/F38</f>
        <v>-0.36906554613079839</v>
      </c>
    </row>
    <row r="39" spans="1:7">
      <c r="A39" s="325" t="s">
        <v>77</v>
      </c>
      <c r="B39" s="346"/>
      <c r="C39" s="350"/>
      <c r="D39" s="346"/>
      <c r="E39" s="350"/>
      <c r="F39" s="347"/>
      <c r="G39" s="350"/>
    </row>
    <row r="40" spans="1:7">
      <c r="A40" s="328">
        <v>73151100209</v>
      </c>
      <c r="B40" s="351"/>
      <c r="C40" s="355"/>
      <c r="D40" s="355"/>
      <c r="E40" s="356"/>
      <c r="F40" s="356"/>
      <c r="G40" s="356"/>
    </row>
    <row r="41" spans="1:7">
      <c r="A41" s="325" t="s">
        <v>83</v>
      </c>
      <c r="B41" s="346">
        <f>零件進出口!F42</f>
        <v>868432</v>
      </c>
      <c r="C41" s="347">
        <v>1701055</v>
      </c>
      <c r="D41" s="502">
        <f>(B41-C41)/C41</f>
        <v>-0.48947447319457632</v>
      </c>
      <c r="E41" s="346">
        <f>零件進出口!G42</f>
        <v>23075790</v>
      </c>
      <c r="F41" s="347">
        <v>37340579</v>
      </c>
      <c r="G41" s="502">
        <f>(E41-F41)/F41</f>
        <v>-0.38201842022856691</v>
      </c>
    </row>
    <row r="42" spans="1:7">
      <c r="A42" s="325" t="s">
        <v>84</v>
      </c>
      <c r="B42" s="346"/>
      <c r="C42" s="348"/>
      <c r="D42" s="346"/>
      <c r="E42" s="350"/>
      <c r="F42" s="347"/>
      <c r="G42" s="350"/>
    </row>
    <row r="43" spans="1:7">
      <c r="A43" s="328">
        <v>87149990111</v>
      </c>
      <c r="B43" s="351"/>
      <c r="C43" s="354"/>
      <c r="D43" s="355"/>
      <c r="E43" s="356"/>
      <c r="F43" s="357"/>
      <c r="G43" s="356"/>
    </row>
    <row r="44" spans="1:7">
      <c r="A44" s="329" t="s">
        <v>85</v>
      </c>
      <c r="B44" s="346">
        <f>零件進出口!F45</f>
        <v>637711</v>
      </c>
      <c r="C44" s="347">
        <v>1417197</v>
      </c>
      <c r="D44" s="501">
        <f>(B44-C44)/C44</f>
        <v>-0.55001951034330443</v>
      </c>
      <c r="E44" s="346">
        <f>零件進出口!G45</f>
        <v>72238850</v>
      </c>
      <c r="F44" s="347">
        <v>113447422</v>
      </c>
      <c r="G44" s="501">
        <f>(E44-F44)/F44</f>
        <v>-0.36323938678835732</v>
      </c>
    </row>
    <row r="45" spans="1:7">
      <c r="A45" s="325" t="s">
        <v>86</v>
      </c>
      <c r="B45" s="346"/>
      <c r="C45" s="348"/>
      <c r="D45" s="346"/>
      <c r="E45" s="350"/>
      <c r="F45" s="347"/>
      <c r="G45" s="350"/>
    </row>
    <row r="46" spans="1:7">
      <c r="A46" s="328">
        <v>87149320906</v>
      </c>
      <c r="B46" s="351"/>
      <c r="C46" s="354"/>
      <c r="D46" s="355"/>
      <c r="E46" s="356"/>
      <c r="F46" s="357"/>
      <c r="G46" s="356"/>
    </row>
    <row r="47" spans="1:7">
      <c r="A47" s="325" t="s">
        <v>408</v>
      </c>
      <c r="B47" s="346">
        <f>零件進出口!F48</f>
        <v>1409998</v>
      </c>
      <c r="C47" s="347">
        <v>1393902</v>
      </c>
      <c r="D47" s="501">
        <v>0</v>
      </c>
      <c r="E47" s="346">
        <f>零件進出口!G48</f>
        <v>72939179</v>
      </c>
      <c r="F47" s="347">
        <v>57516685</v>
      </c>
      <c r="G47" s="501">
        <v>0</v>
      </c>
    </row>
    <row r="48" spans="1:7">
      <c r="A48" s="328">
        <v>87149990139</v>
      </c>
      <c r="B48" s="351"/>
      <c r="C48" s="354"/>
      <c r="D48" s="355"/>
      <c r="E48" s="356"/>
      <c r="F48" s="357"/>
      <c r="G48" s="356"/>
    </row>
    <row r="49" spans="1:7">
      <c r="A49" s="325" t="s">
        <v>87</v>
      </c>
      <c r="B49" s="346">
        <f>零件進出口!F50</f>
        <v>111907</v>
      </c>
      <c r="C49" s="347">
        <v>195280</v>
      </c>
      <c r="D49" s="502">
        <f>(B49-C49)/C49</f>
        <v>-0.42694080294961084</v>
      </c>
      <c r="E49" s="346">
        <f>零件進出口!G50</f>
        <v>2127252</v>
      </c>
      <c r="F49" s="347">
        <v>4343031</v>
      </c>
      <c r="G49" s="502">
        <f>(E49-F49)/F49</f>
        <v>-0.5101918452804044</v>
      </c>
    </row>
    <row r="50" spans="1:7">
      <c r="A50" s="328">
        <v>87149990148</v>
      </c>
      <c r="B50" s="351"/>
      <c r="C50" s="354"/>
      <c r="D50" s="355"/>
      <c r="E50" s="356"/>
      <c r="F50" s="357"/>
      <c r="G50" s="356"/>
    </row>
    <row r="51" spans="1:7">
      <c r="A51" s="330" t="s">
        <v>88</v>
      </c>
      <c r="B51" s="346">
        <f>零件進出口!F52</f>
        <v>491344</v>
      </c>
      <c r="C51" s="347">
        <v>947506</v>
      </c>
      <c r="D51" s="502">
        <f>(B51-C51)/C51</f>
        <v>-0.48143441835724521</v>
      </c>
      <c r="E51" s="346">
        <f>零件進出口!G52</f>
        <v>19199255</v>
      </c>
      <c r="F51" s="347">
        <v>30780596</v>
      </c>
      <c r="G51" s="502">
        <f>(E51-F51)/F51</f>
        <v>-0.37625460533642691</v>
      </c>
    </row>
    <row r="52" spans="1:7">
      <c r="A52" s="325" t="s">
        <v>89</v>
      </c>
      <c r="B52" s="346"/>
      <c r="C52" s="348"/>
      <c r="D52" s="346"/>
      <c r="E52" s="350"/>
      <c r="F52" s="347"/>
      <c r="G52" s="350"/>
    </row>
    <row r="53" spans="1:7">
      <c r="A53" s="328">
        <v>87149990157</v>
      </c>
      <c r="B53" s="351"/>
      <c r="C53" s="354"/>
      <c r="D53" s="355"/>
      <c r="E53" s="356"/>
      <c r="F53" s="357"/>
      <c r="G53" s="356"/>
    </row>
    <row r="54" spans="1:7">
      <c r="A54" s="325" t="s">
        <v>90</v>
      </c>
      <c r="B54" s="346">
        <f>零件進出口!F55</f>
        <v>909450</v>
      </c>
      <c r="C54" s="347">
        <v>1590007</v>
      </c>
      <c r="D54" s="502">
        <f>(B54-C54)/C54</f>
        <v>-0.42802138606936951</v>
      </c>
      <c r="E54" s="346">
        <f>零件進出口!G55</f>
        <v>41717932</v>
      </c>
      <c r="F54" s="347">
        <v>68034830</v>
      </c>
      <c r="G54" s="502">
        <f>(E54-F54)/F54</f>
        <v>-0.38681507692456935</v>
      </c>
    </row>
    <row r="55" spans="1:7">
      <c r="A55" s="325" t="s">
        <v>91</v>
      </c>
      <c r="B55" s="346"/>
      <c r="C55" s="348"/>
      <c r="D55" s="346"/>
      <c r="E55" s="350"/>
      <c r="F55" s="347"/>
      <c r="G55" s="350"/>
    </row>
    <row r="56" spans="1:7">
      <c r="A56" s="328">
        <v>87149990166</v>
      </c>
      <c r="B56" s="351"/>
      <c r="C56" s="354"/>
      <c r="D56" s="355"/>
      <c r="E56" s="356"/>
      <c r="F56" s="357"/>
      <c r="G56" s="356"/>
    </row>
    <row r="57" spans="1:7">
      <c r="A57" s="325" t="s">
        <v>88</v>
      </c>
      <c r="B57" s="346">
        <f>零件進出口!F58</f>
        <v>954036</v>
      </c>
      <c r="C57" s="347">
        <v>1549189</v>
      </c>
      <c r="D57" s="502">
        <f>(B57-C57)/C57</f>
        <v>-0.3841706854360572</v>
      </c>
      <c r="E57" s="346">
        <f>零件進出口!G58</f>
        <v>32647261</v>
      </c>
      <c r="F57" s="347">
        <v>46434541</v>
      </c>
      <c r="G57" s="502">
        <f>(E57-F57)/F57</f>
        <v>-0.29691862357377452</v>
      </c>
    </row>
    <row r="58" spans="1:7">
      <c r="A58" s="328">
        <v>40115000008</v>
      </c>
      <c r="B58" s="355"/>
      <c r="C58" s="355"/>
      <c r="D58" s="355"/>
      <c r="E58" s="356"/>
      <c r="F58" s="356"/>
      <c r="G58" s="356"/>
    </row>
    <row r="59" spans="1:7">
      <c r="A59" s="325" t="s">
        <v>92</v>
      </c>
      <c r="B59" s="346">
        <f>零件進出口!F60</f>
        <v>2886766</v>
      </c>
      <c r="C59" s="347">
        <v>5099927</v>
      </c>
      <c r="D59" s="502">
        <f>(B59-C59)/C59</f>
        <v>-0.43395934882989501</v>
      </c>
      <c r="E59" s="346">
        <f>零件進出口!G60</f>
        <v>51942781</v>
      </c>
      <c r="F59" s="347">
        <v>88713771</v>
      </c>
      <c r="G59" s="502">
        <f>(E59-F59)/F59</f>
        <v>-0.41449021482809023</v>
      </c>
    </row>
    <row r="60" spans="1:7">
      <c r="A60" s="325" t="s">
        <v>93</v>
      </c>
      <c r="B60" s="346"/>
      <c r="C60" s="346"/>
      <c r="D60" s="349"/>
      <c r="E60" s="350"/>
      <c r="F60" s="347"/>
      <c r="G60" s="350"/>
    </row>
    <row r="61" spans="1:7">
      <c r="A61" s="328">
        <v>40132000003</v>
      </c>
      <c r="B61" s="524"/>
      <c r="C61" s="355"/>
      <c r="D61" s="355"/>
      <c r="E61" s="356"/>
      <c r="F61" s="356"/>
      <c r="G61" s="356"/>
    </row>
    <row r="62" spans="1:7">
      <c r="A62" s="325" t="s">
        <v>94</v>
      </c>
      <c r="B62" s="346">
        <f>零件進出口!F63</f>
        <v>393470</v>
      </c>
      <c r="C62" s="347">
        <v>1476735</v>
      </c>
      <c r="D62" s="502">
        <f>(B62-C62)/C62</f>
        <v>-0.73355409061205967</v>
      </c>
      <c r="E62" s="346">
        <f>零件進出口!G63</f>
        <v>4042363</v>
      </c>
      <c r="F62" s="347">
        <v>15537873</v>
      </c>
      <c r="G62" s="502">
        <f>(E62-F62)/F62</f>
        <v>-0.73983807178756067</v>
      </c>
    </row>
    <row r="63" spans="1:7">
      <c r="A63" s="325" t="s">
        <v>95</v>
      </c>
      <c r="B63" s="346"/>
      <c r="C63" s="348"/>
      <c r="D63" s="349"/>
      <c r="E63" s="350"/>
      <c r="F63" s="347"/>
      <c r="G63" s="350"/>
    </row>
    <row r="64" spans="1:7">
      <c r="A64" s="359" t="s">
        <v>96</v>
      </c>
      <c r="B64" s="360">
        <f>SUM(B5:B63)-B63-B60-B19-B16-B10-B7</f>
        <v>24324463</v>
      </c>
      <c r="C64" s="443">
        <v>46537891</v>
      </c>
      <c r="D64" s="500">
        <f>(B64-C64)/C64</f>
        <v>-0.47731918062208706</v>
      </c>
      <c r="E64" s="442">
        <f>SUM(E6:E63)</f>
        <v>1161309175</v>
      </c>
      <c r="F64" s="210">
        <v>1801016200</v>
      </c>
      <c r="G64" s="503">
        <f>(E64-F64)/F64</f>
        <v>-0.35519226589966263</v>
      </c>
    </row>
    <row r="65" spans="1:5" ht="8.25" customHeight="1">
      <c r="E65" s="5"/>
    </row>
    <row r="66" spans="1:5">
      <c r="A66" s="55" t="s">
        <v>32</v>
      </c>
    </row>
  </sheetData>
  <phoneticPr fontId="3" type="noConversion"/>
  <conditionalFormatting sqref="C58">
    <cfRule type="cellIs" dxfId="36" priority="9" operator="greaterThanOrEqual">
      <formula>0</formula>
    </cfRule>
    <cfRule type="cellIs" dxfId="35" priority="10" operator="lessThan">
      <formula>0</formula>
    </cfRule>
  </conditionalFormatting>
  <conditionalFormatting sqref="C61">
    <cfRule type="cellIs" dxfId="34" priority="7" operator="greaterThanOrEqual">
      <formula>0</formula>
    </cfRule>
    <cfRule type="cellIs" dxfId="33" priority="8" operator="lessThan">
      <formula>0</formula>
    </cfRule>
  </conditionalFormatting>
  <conditionalFormatting sqref="D1:D2 G1:G2 C40">
    <cfRule type="cellIs" dxfId="32" priority="11" operator="greaterThanOrEqual">
      <formula>0</formula>
    </cfRule>
    <cfRule type="cellIs" dxfId="31" priority="12" operator="lessThan">
      <formula>0</formula>
    </cfRule>
  </conditionalFormatting>
  <conditionalFormatting sqref="D5:D6 D8:D1048576">
    <cfRule type="cellIs" dxfId="30" priority="15" operator="greaterThanOrEqual">
      <formula>0</formula>
    </cfRule>
    <cfRule type="cellIs" dxfId="29" priority="16" operator="lessThan">
      <formula>0</formula>
    </cfRule>
  </conditionalFormatting>
  <conditionalFormatting sqref="F40">
    <cfRule type="cellIs" dxfId="28" priority="5" operator="greaterThanOrEqual">
      <formula>0</formula>
    </cfRule>
    <cfRule type="cellIs" dxfId="27" priority="6" operator="lessThan">
      <formula>0</formula>
    </cfRule>
  </conditionalFormatting>
  <conditionalFormatting sqref="F58">
    <cfRule type="cellIs" dxfId="26" priority="3" operator="greaterThanOrEqual">
      <formula>0</formula>
    </cfRule>
    <cfRule type="cellIs" dxfId="25" priority="4" operator="lessThan">
      <formula>0</formula>
    </cfRule>
  </conditionalFormatting>
  <conditionalFormatting sqref="F61">
    <cfRule type="cellIs" dxfId="24" priority="1" operator="greaterThanOrEqual">
      <formula>0</formula>
    </cfRule>
    <cfRule type="cellIs" dxfId="23" priority="2" operator="lessThan">
      <formula>0</formula>
    </cfRule>
  </conditionalFormatting>
  <conditionalFormatting sqref="G5:G1048576">
    <cfRule type="cellIs" dxfId="22" priority="13" operator="greaterThanOrEqual">
      <formula>0</formula>
    </cfRule>
    <cfRule type="cellIs" dxfId="21" priority="14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6"/>
  <sheetViews>
    <sheetView zoomScaleNormal="100"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18" customWidth="1"/>
    <col min="3" max="3" width="17.25" style="361" customWidth="1"/>
    <col min="4" max="4" width="15.75" style="362" customWidth="1"/>
    <col min="5" max="5" width="16.75" style="318" customWidth="1"/>
    <col min="6" max="6" width="16.875" style="361" customWidth="1"/>
    <col min="7" max="7" width="14.875" style="36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5" customFormat="1" ht="21">
      <c r="A1" s="334" t="s">
        <v>513</v>
      </c>
      <c r="B1" s="335"/>
      <c r="C1" s="336"/>
      <c r="D1" s="337"/>
      <c r="E1" s="335"/>
      <c r="F1" s="336"/>
      <c r="G1" s="337"/>
    </row>
    <row r="2" spans="1:7" s="315" customFormat="1" ht="12.75" customHeight="1">
      <c r="A2" s="317"/>
      <c r="B2" s="316"/>
      <c r="C2" s="338"/>
      <c r="D2" s="339"/>
      <c r="E2" s="316"/>
      <c r="F2" s="338"/>
      <c r="G2" s="339"/>
    </row>
    <row r="3" spans="1:7">
      <c r="A3" s="511" t="s">
        <v>97</v>
      </c>
      <c r="B3" s="513" t="s">
        <v>420</v>
      </c>
      <c r="C3" s="71" t="s">
        <v>421</v>
      </c>
      <c r="D3" s="515" t="s">
        <v>37</v>
      </c>
      <c r="E3" s="514" t="s">
        <v>420</v>
      </c>
      <c r="F3" s="512" t="s">
        <v>421</v>
      </c>
      <c r="G3" s="202" t="s">
        <v>37</v>
      </c>
    </row>
    <row r="4" spans="1:7" s="315" customFormat="1" ht="18" customHeight="1">
      <c r="A4" s="46"/>
      <c r="B4" s="77" t="s">
        <v>98</v>
      </c>
      <c r="C4" s="76" t="s">
        <v>98</v>
      </c>
      <c r="D4" s="203" t="s">
        <v>2</v>
      </c>
      <c r="E4" s="77" t="s">
        <v>34</v>
      </c>
      <c r="F4" s="76" t="s">
        <v>34</v>
      </c>
      <c r="G4" s="203" t="s">
        <v>2</v>
      </c>
    </row>
    <row r="5" spans="1:7">
      <c r="A5" s="341">
        <v>85121010001</v>
      </c>
      <c r="B5" s="342"/>
      <c r="C5" s="343"/>
      <c r="D5" s="344"/>
      <c r="E5" s="342"/>
      <c r="F5" s="343"/>
      <c r="G5" s="345"/>
    </row>
    <row r="6" spans="1:7">
      <c r="A6" s="325" t="s">
        <v>64</v>
      </c>
      <c r="B6" s="346">
        <f>零件進出口!L6</f>
        <v>27101</v>
      </c>
      <c r="C6" s="347">
        <v>58958</v>
      </c>
      <c r="D6" s="501">
        <f>(B6-C6)/C6</f>
        <v>-0.54033379694019468</v>
      </c>
      <c r="E6" s="346">
        <f>零件進出口!M6</f>
        <v>2121116</v>
      </c>
      <c r="F6" s="347">
        <v>3460802</v>
      </c>
      <c r="G6" s="501">
        <f>(E6-F6)/F6</f>
        <v>-0.38710275826239121</v>
      </c>
    </row>
    <row r="7" spans="1:7">
      <c r="A7" s="325" t="s">
        <v>65</v>
      </c>
      <c r="B7" s="346"/>
      <c r="C7" s="350"/>
      <c r="D7" s="349"/>
      <c r="E7" s="350"/>
      <c r="F7" s="347"/>
      <c r="G7" s="350"/>
    </row>
    <row r="8" spans="1:7">
      <c r="A8" s="327">
        <v>85121020009</v>
      </c>
      <c r="B8" s="351"/>
      <c r="C8" s="352"/>
      <c r="D8" s="352"/>
      <c r="E8" s="351"/>
      <c r="F8" s="351"/>
      <c r="G8" s="351"/>
    </row>
    <row r="9" spans="1:7">
      <c r="A9" s="325" t="s">
        <v>67</v>
      </c>
      <c r="B9" s="346">
        <f>零件進出口!L9</f>
        <v>13704</v>
      </c>
      <c r="C9" s="347">
        <v>21635</v>
      </c>
      <c r="D9" s="501">
        <f>(B9-C9)/C9</f>
        <v>-0.3665819274324012</v>
      </c>
      <c r="E9" s="346">
        <f>零件進出口!M9</f>
        <v>1155254</v>
      </c>
      <c r="F9" s="347">
        <v>1698113</v>
      </c>
      <c r="G9" s="502">
        <f>(E9-F9)/F9</f>
        <v>-0.31968367240578216</v>
      </c>
    </row>
    <row r="10" spans="1:7">
      <c r="A10" s="325" t="s">
        <v>68</v>
      </c>
      <c r="B10" s="346"/>
      <c r="C10" s="350"/>
      <c r="D10" s="353"/>
      <c r="E10" s="350"/>
      <c r="F10" s="347"/>
      <c r="G10" s="350"/>
    </row>
    <row r="11" spans="1:7">
      <c r="A11" s="328">
        <v>87149120007</v>
      </c>
      <c r="B11" s="351"/>
      <c r="C11" s="352"/>
      <c r="D11" s="355"/>
      <c r="E11" s="356"/>
      <c r="F11" s="351"/>
      <c r="G11" s="356"/>
    </row>
    <row r="12" spans="1:7">
      <c r="A12" s="325" t="s">
        <v>70</v>
      </c>
      <c r="B12" s="346">
        <f>零件進出口!L12</f>
        <v>3901064</v>
      </c>
      <c r="C12" s="347">
        <v>7229513</v>
      </c>
      <c r="D12" s="501">
        <f>(B12-C12)/C12</f>
        <v>-0.46039740159537718</v>
      </c>
      <c r="E12" s="346">
        <f>零件進出口!M12</f>
        <v>243164825</v>
      </c>
      <c r="F12" s="347">
        <v>299541530</v>
      </c>
      <c r="G12" s="501">
        <f>(E12-F12)/F12</f>
        <v>-0.18820997876321191</v>
      </c>
    </row>
    <row r="13" spans="1:7">
      <c r="A13" s="325" t="s">
        <v>71</v>
      </c>
      <c r="B13" s="353"/>
      <c r="C13" s="472"/>
      <c r="D13" s="346"/>
      <c r="E13" s="350"/>
      <c r="F13" s="347"/>
      <c r="G13" s="350"/>
    </row>
    <row r="14" spans="1:7">
      <c r="A14" s="328">
        <v>87149200108</v>
      </c>
      <c r="B14" s="351"/>
      <c r="C14" s="354"/>
      <c r="D14" s="355"/>
      <c r="E14" s="356"/>
      <c r="F14" s="357"/>
      <c r="G14" s="356"/>
    </row>
    <row r="15" spans="1:7">
      <c r="A15" s="325" t="s">
        <v>72</v>
      </c>
      <c r="B15" s="346">
        <f>零件進出口!L15</f>
        <v>573973</v>
      </c>
      <c r="C15" s="347">
        <v>1004996</v>
      </c>
      <c r="D15" s="501">
        <f>(B15-C15)/C15</f>
        <v>-0.42888031395149834</v>
      </c>
      <c r="E15" s="346">
        <f>零件進出口!M15</f>
        <v>38455168</v>
      </c>
      <c r="F15" s="347">
        <v>49568748</v>
      </c>
      <c r="G15" s="501">
        <f>(E15-F15)/F15</f>
        <v>-0.22420538037394044</v>
      </c>
    </row>
    <row r="16" spans="1:7">
      <c r="A16" s="325"/>
      <c r="B16" s="346"/>
      <c r="C16" s="348"/>
      <c r="D16" s="346"/>
      <c r="E16" s="350"/>
      <c r="F16" s="347"/>
      <c r="G16" s="350"/>
    </row>
    <row r="17" spans="1:7">
      <c r="A17" s="328">
        <v>87149200206</v>
      </c>
      <c r="B17" s="351"/>
      <c r="C17" s="354"/>
      <c r="D17" s="355"/>
      <c r="E17" s="356"/>
      <c r="F17" s="357"/>
      <c r="G17" s="356"/>
    </row>
    <row r="18" spans="1:7">
      <c r="A18" s="325" t="s">
        <v>58</v>
      </c>
      <c r="B18" s="346">
        <f>零件進出口!L18</f>
        <v>62045</v>
      </c>
      <c r="C18" s="347">
        <v>136482</v>
      </c>
      <c r="D18" s="501">
        <f>(B18-C18)/C18</f>
        <v>-0.54539792793188846</v>
      </c>
      <c r="E18" s="346">
        <f>零件進出口!M18</f>
        <v>4467265</v>
      </c>
      <c r="F18" s="347">
        <v>8065685</v>
      </c>
      <c r="G18" s="502">
        <f>(E18-F18)/F18</f>
        <v>-0.4461394165529648</v>
      </c>
    </row>
    <row r="19" spans="1:7">
      <c r="A19" s="325"/>
      <c r="B19" s="346"/>
      <c r="C19" s="348"/>
      <c r="D19" s="346"/>
      <c r="E19" s="350"/>
      <c r="F19" s="347"/>
      <c r="G19" s="350"/>
    </row>
    <row r="20" spans="1:7">
      <c r="A20" s="328">
        <v>87149200304</v>
      </c>
      <c r="B20" s="351"/>
      <c r="C20" s="354"/>
      <c r="D20" s="355"/>
      <c r="E20" s="356"/>
      <c r="F20" s="357"/>
      <c r="G20" s="356"/>
    </row>
    <row r="21" spans="1:7">
      <c r="A21" s="325" t="s">
        <v>59</v>
      </c>
      <c r="B21" s="346">
        <f>零件進出口!L21</f>
        <v>113278</v>
      </c>
      <c r="C21" s="347">
        <v>200623</v>
      </c>
      <c r="D21" s="502">
        <f>(B21-C21)/C21</f>
        <v>-0.43536882610667771</v>
      </c>
      <c r="E21" s="346">
        <f>零件進出口!M21</f>
        <v>5410832</v>
      </c>
      <c r="F21" s="347">
        <v>6517135</v>
      </c>
      <c r="G21" s="501">
        <f>(E21-F21)/F21</f>
        <v>-0.16975296660265593</v>
      </c>
    </row>
    <row r="22" spans="1:7">
      <c r="A22" s="328">
        <v>87149310007</v>
      </c>
      <c r="B22" s="351"/>
      <c r="C22" s="354"/>
      <c r="D22" s="355"/>
      <c r="E22" s="356"/>
      <c r="F22" s="357"/>
      <c r="G22" s="356"/>
    </row>
    <row r="23" spans="1:7">
      <c r="A23" s="325" t="s">
        <v>73</v>
      </c>
      <c r="B23" s="346">
        <f>零件進出口!L23</f>
        <v>745448</v>
      </c>
      <c r="C23" s="347">
        <v>1479721</v>
      </c>
      <c r="D23" s="502">
        <f>(B23-C23)/C23</f>
        <v>-0.49622395032577088</v>
      </c>
      <c r="E23" s="346">
        <f>零件進出口!M23</f>
        <v>27509028</v>
      </c>
      <c r="F23" s="347">
        <v>40844222</v>
      </c>
      <c r="G23" s="502">
        <f>(E23-F23)/F23</f>
        <v>-0.32648911760395388</v>
      </c>
    </row>
    <row r="24" spans="1:7">
      <c r="A24" s="325" t="s">
        <v>100</v>
      </c>
      <c r="B24" s="346"/>
      <c r="C24" s="348"/>
      <c r="D24" s="346"/>
      <c r="E24" s="350"/>
      <c r="F24" s="347"/>
      <c r="G24" s="350"/>
    </row>
    <row r="25" spans="1:7">
      <c r="A25" s="328">
        <v>87149320103</v>
      </c>
      <c r="B25" s="351"/>
      <c r="C25" s="354"/>
      <c r="D25" s="355"/>
      <c r="E25" s="356"/>
      <c r="F25" s="357"/>
      <c r="G25" s="356"/>
    </row>
    <row r="26" spans="1:7">
      <c r="A26" s="325" t="s">
        <v>405</v>
      </c>
      <c r="B26" s="346">
        <f>零件進出口!L27</f>
        <v>70966</v>
      </c>
      <c r="C26" s="347">
        <v>53160</v>
      </c>
      <c r="D26" s="501">
        <v>0</v>
      </c>
      <c r="E26" s="346">
        <f>零件進出口!M27</f>
        <v>3719182</v>
      </c>
      <c r="F26" s="347">
        <v>2458600</v>
      </c>
      <c r="G26" s="501">
        <v>0</v>
      </c>
    </row>
    <row r="27" spans="1:7">
      <c r="A27" s="328">
        <v>87149410006</v>
      </c>
      <c r="B27" s="351"/>
      <c r="C27" s="354"/>
      <c r="D27" s="355"/>
      <c r="E27" s="356"/>
      <c r="F27" s="357"/>
      <c r="G27" s="356"/>
    </row>
    <row r="28" spans="1:7">
      <c r="A28" s="325" t="s">
        <v>76</v>
      </c>
      <c r="B28" s="346">
        <f>零件進出口!L29</f>
        <v>43827</v>
      </c>
      <c r="C28" s="347">
        <v>121518</v>
      </c>
      <c r="D28" s="501">
        <f>(B28-C28)/C28</f>
        <v>-0.6393373821162297</v>
      </c>
      <c r="E28" s="346">
        <f>零件進出口!M29</f>
        <v>2118989</v>
      </c>
      <c r="F28" s="347">
        <v>8903038</v>
      </c>
      <c r="G28" s="501">
        <f>(E28-F28)/F28</f>
        <v>-0.7619925917422794</v>
      </c>
    </row>
    <row r="29" spans="1:7">
      <c r="A29" s="325" t="s">
        <v>77</v>
      </c>
      <c r="B29" s="346"/>
      <c r="C29" s="348"/>
      <c r="D29" s="346"/>
      <c r="E29" s="350"/>
      <c r="F29" s="347"/>
      <c r="G29" s="350"/>
    </row>
    <row r="30" spans="1:7">
      <c r="A30" s="328">
        <v>87149490009</v>
      </c>
      <c r="B30" s="351"/>
      <c r="C30" s="354"/>
      <c r="D30" s="355"/>
      <c r="E30" s="356"/>
      <c r="F30" s="357"/>
      <c r="G30" s="356"/>
    </row>
    <row r="31" spans="1:7">
      <c r="A31" s="325" t="s">
        <v>78</v>
      </c>
      <c r="B31" s="346">
        <f>零件進出口!L32</f>
        <v>964972</v>
      </c>
      <c r="C31" s="347">
        <v>2848510</v>
      </c>
      <c r="D31" s="501">
        <f>(B31-C31)/C31</f>
        <v>-0.66123622525460679</v>
      </c>
      <c r="E31" s="346">
        <f>零件進出口!M32</f>
        <v>71589508</v>
      </c>
      <c r="F31" s="347">
        <v>92456569</v>
      </c>
      <c r="G31" s="501">
        <f>(E31-F31)/F31</f>
        <v>-0.22569581832525062</v>
      </c>
    </row>
    <row r="32" spans="1:7">
      <c r="A32" s="325" t="s">
        <v>79</v>
      </c>
      <c r="B32" s="346"/>
      <c r="C32" s="348"/>
      <c r="D32" s="346"/>
      <c r="E32" s="350"/>
      <c r="F32" s="347"/>
      <c r="G32" s="350"/>
    </row>
    <row r="33" spans="1:7">
      <c r="A33" s="328">
        <v>87149500007</v>
      </c>
      <c r="B33" s="355"/>
      <c r="C33" s="354"/>
      <c r="D33" s="355"/>
      <c r="E33" s="356"/>
      <c r="F33" s="357"/>
      <c r="G33" s="356"/>
    </row>
    <row r="34" spans="1:7">
      <c r="A34" s="325" t="s">
        <v>80</v>
      </c>
      <c r="B34" s="346">
        <f>零件進出口!L35</f>
        <v>438080</v>
      </c>
      <c r="C34" s="347">
        <v>1313147</v>
      </c>
      <c r="D34" s="501">
        <f>(B34-C34)/C34</f>
        <v>-0.66638921613497959</v>
      </c>
      <c r="E34" s="346">
        <f>零件進出口!M35</f>
        <v>7109313</v>
      </c>
      <c r="F34" s="347">
        <v>21364369</v>
      </c>
      <c r="G34" s="501">
        <f>(E34-F34)/F34</f>
        <v>-0.66723505852197185</v>
      </c>
    </row>
    <row r="35" spans="1:7">
      <c r="A35" s="328">
        <v>87149610004</v>
      </c>
      <c r="B35" s="355"/>
      <c r="C35" s="354"/>
      <c r="D35" s="355"/>
      <c r="E35" s="356"/>
      <c r="F35" s="357"/>
      <c r="G35" s="356"/>
    </row>
    <row r="36" spans="1:7">
      <c r="A36" s="325" t="s">
        <v>81</v>
      </c>
      <c r="B36" s="346">
        <f>零件進出口!L37</f>
        <v>147657</v>
      </c>
      <c r="C36" s="347">
        <v>631582</v>
      </c>
      <c r="D36" s="502">
        <f>(B36-C36)/C36</f>
        <v>-0.76621087998074677</v>
      </c>
      <c r="E36" s="346">
        <f>零件進出口!M37</f>
        <v>1794558</v>
      </c>
      <c r="F36" s="347">
        <v>7095598</v>
      </c>
      <c r="G36" s="502">
        <f>(E36-F36)/F36</f>
        <v>-0.74708854701182337</v>
      </c>
    </row>
    <row r="37" spans="1:7">
      <c r="A37" s="328">
        <v>87149620002</v>
      </c>
      <c r="B37" s="351"/>
      <c r="C37" s="354"/>
      <c r="D37" s="355"/>
      <c r="E37" s="356"/>
      <c r="F37" s="357"/>
      <c r="G37" s="356"/>
    </row>
    <row r="38" spans="1:7">
      <c r="A38" s="325" t="s">
        <v>82</v>
      </c>
      <c r="B38" s="346">
        <f>零件進出口!L39</f>
        <v>773807</v>
      </c>
      <c r="C38" s="347">
        <v>1665318</v>
      </c>
      <c r="D38" s="502">
        <f>(B38-C38)/C38</f>
        <v>-0.53533979696370304</v>
      </c>
      <c r="E38" s="346">
        <f>零件進出口!M39</f>
        <v>23576226</v>
      </c>
      <c r="F38" s="347">
        <v>32873531</v>
      </c>
      <c r="G38" s="502">
        <f>(E38-F38)/F38</f>
        <v>-0.2828203943166312</v>
      </c>
    </row>
    <row r="39" spans="1:7">
      <c r="A39" s="325" t="s">
        <v>77</v>
      </c>
      <c r="B39" s="346"/>
      <c r="C39" s="346"/>
      <c r="D39" s="346"/>
      <c r="E39" s="350"/>
      <c r="F39" s="347"/>
      <c r="G39" s="350"/>
    </row>
    <row r="40" spans="1:7">
      <c r="A40" s="328">
        <v>73151100209</v>
      </c>
      <c r="B40" s="351"/>
      <c r="C40" s="351"/>
      <c r="D40" s="355"/>
      <c r="E40" s="356"/>
      <c r="F40" s="356"/>
      <c r="G40" s="356"/>
    </row>
    <row r="41" spans="1:7">
      <c r="A41" s="325" t="s">
        <v>83</v>
      </c>
      <c r="B41" s="346">
        <f>零件進出口!L42</f>
        <v>543126</v>
      </c>
      <c r="C41" s="347">
        <v>1548688</v>
      </c>
      <c r="D41" s="502">
        <f>(B41-C41)/C41</f>
        <v>-0.64929927784033969</v>
      </c>
      <c r="E41" s="346">
        <f>零件進出口!M42</f>
        <v>7040784</v>
      </c>
      <c r="F41" s="347">
        <v>12993696</v>
      </c>
      <c r="G41" s="502">
        <f>(E41-F41)/F41</f>
        <v>-0.45813846960864713</v>
      </c>
    </row>
    <row r="42" spans="1:7">
      <c r="A42" s="325" t="s">
        <v>84</v>
      </c>
      <c r="B42" s="346"/>
      <c r="C42" s="348"/>
      <c r="D42" s="346"/>
      <c r="E42" s="350"/>
      <c r="F42" s="347"/>
      <c r="G42" s="350"/>
    </row>
    <row r="43" spans="1:7">
      <c r="A43" s="328">
        <v>87149990111</v>
      </c>
      <c r="B43" s="351"/>
      <c r="C43" s="354"/>
      <c r="D43" s="355"/>
      <c r="E43" s="356"/>
      <c r="F43" s="357"/>
      <c r="G43" s="356"/>
    </row>
    <row r="44" spans="1:7">
      <c r="A44" s="329" t="s">
        <v>85</v>
      </c>
      <c r="B44" s="346">
        <f>零件進出口!L45</f>
        <v>356663</v>
      </c>
      <c r="C44" s="347">
        <v>1000822</v>
      </c>
      <c r="D44" s="501">
        <f>(B44-C44)/C44</f>
        <v>-0.64362993619244979</v>
      </c>
      <c r="E44" s="346">
        <f>零件進出口!M45</f>
        <v>37010752</v>
      </c>
      <c r="F44" s="347">
        <v>48858823</v>
      </c>
      <c r="G44" s="501">
        <f>(E44-F44)/F44</f>
        <v>-0.24249603802367486</v>
      </c>
    </row>
    <row r="45" spans="1:7">
      <c r="A45" s="325" t="s">
        <v>86</v>
      </c>
      <c r="B45" s="346"/>
      <c r="C45" s="348"/>
      <c r="D45" s="346"/>
      <c r="E45" s="350"/>
      <c r="F45" s="347"/>
      <c r="G45" s="350"/>
    </row>
    <row r="46" spans="1:7">
      <c r="A46" s="328">
        <v>87149320906</v>
      </c>
      <c r="B46" s="351"/>
      <c r="C46" s="354"/>
      <c r="D46" s="355"/>
      <c r="E46" s="356"/>
      <c r="F46" s="357"/>
      <c r="G46" s="356"/>
    </row>
    <row r="47" spans="1:7">
      <c r="A47" s="325" t="s">
        <v>407</v>
      </c>
      <c r="B47" s="346">
        <f>零件進出口!L48</f>
        <v>309473</v>
      </c>
      <c r="C47" s="347">
        <v>312774</v>
      </c>
      <c r="D47" s="501">
        <v>0</v>
      </c>
      <c r="E47" s="346">
        <f>零件進出口!M48</f>
        <v>10959488</v>
      </c>
      <c r="F47" s="347">
        <v>7688762</v>
      </c>
      <c r="G47" s="501">
        <v>0</v>
      </c>
    </row>
    <row r="48" spans="1:7">
      <c r="A48" s="328">
        <v>87149990139</v>
      </c>
      <c r="B48" s="351"/>
      <c r="C48" s="354"/>
      <c r="D48" s="355"/>
      <c r="E48" s="356"/>
      <c r="F48" s="357"/>
      <c r="G48" s="356"/>
    </row>
    <row r="49" spans="1:7">
      <c r="A49" s="325" t="s">
        <v>87</v>
      </c>
      <c r="B49" s="346">
        <f>零件進出口!L50</f>
        <v>60022</v>
      </c>
      <c r="C49" s="347">
        <v>145417</v>
      </c>
      <c r="D49" s="502">
        <f>(B49-C49)/C49</f>
        <v>-0.58724220689465467</v>
      </c>
      <c r="E49" s="346">
        <f>零件進出口!M50</f>
        <v>856548</v>
      </c>
      <c r="F49" s="347">
        <v>1361279</v>
      </c>
      <c r="G49" s="502">
        <f>(E49-F49)/F49</f>
        <v>-0.37077704129719186</v>
      </c>
    </row>
    <row r="50" spans="1:7">
      <c r="A50" s="328">
        <v>87149990148</v>
      </c>
      <c r="B50" s="351"/>
      <c r="C50" s="354"/>
      <c r="D50" s="355"/>
      <c r="E50" s="356"/>
      <c r="F50" s="357"/>
      <c r="G50" s="356"/>
    </row>
    <row r="51" spans="1:7">
      <c r="A51" s="330" t="s">
        <v>88</v>
      </c>
      <c r="B51" s="346">
        <f>零件進出口!L52</f>
        <v>107391</v>
      </c>
      <c r="C51" s="347">
        <v>320881</v>
      </c>
      <c r="D51" s="501">
        <f>(B51-C51)/C51</f>
        <v>-0.66532452840772749</v>
      </c>
      <c r="E51" s="346">
        <f>零件進出口!M52</f>
        <v>2891068</v>
      </c>
      <c r="F51" s="347">
        <v>5722561</v>
      </c>
      <c r="G51" s="501">
        <f>(E51-F51)/F51</f>
        <v>-0.49479472564818444</v>
      </c>
    </row>
    <row r="52" spans="1:7">
      <c r="A52" s="325" t="s">
        <v>89</v>
      </c>
      <c r="B52" s="346"/>
      <c r="C52" s="348"/>
      <c r="D52" s="346"/>
      <c r="E52" s="350"/>
      <c r="F52" s="347"/>
      <c r="G52" s="350"/>
    </row>
    <row r="53" spans="1:7">
      <c r="A53" s="328">
        <v>87149990157</v>
      </c>
      <c r="B53" s="351"/>
      <c r="C53" s="354"/>
      <c r="D53" s="355"/>
      <c r="E53" s="356"/>
      <c r="F53" s="357"/>
      <c r="G53" s="356"/>
    </row>
    <row r="54" spans="1:7">
      <c r="A54" s="325" t="s">
        <v>90</v>
      </c>
      <c r="B54" s="346">
        <f>零件進出口!L55</f>
        <v>227636</v>
      </c>
      <c r="C54" s="347">
        <v>540268</v>
      </c>
      <c r="D54" s="502">
        <f>(B54-C54)/C54</f>
        <v>-0.57866096085646379</v>
      </c>
      <c r="E54" s="346">
        <f>零件進出口!M55</f>
        <v>7563584</v>
      </c>
      <c r="F54" s="347">
        <v>10841396</v>
      </c>
      <c r="G54" s="502">
        <f>(E54-F54)/F54</f>
        <v>-0.30234224448585773</v>
      </c>
    </row>
    <row r="55" spans="1:7">
      <c r="A55" s="325" t="s">
        <v>91</v>
      </c>
      <c r="B55" s="346"/>
      <c r="C55" s="348"/>
      <c r="D55" s="346"/>
      <c r="E55" s="350"/>
      <c r="F55" s="347"/>
      <c r="G55" s="350"/>
    </row>
    <row r="56" spans="1:7">
      <c r="A56" s="328">
        <v>87149990166</v>
      </c>
      <c r="B56" s="351"/>
      <c r="C56" s="354"/>
      <c r="D56" s="355"/>
      <c r="E56" s="356"/>
      <c r="F56" s="357"/>
      <c r="G56" s="356"/>
    </row>
    <row r="57" spans="1:7">
      <c r="A57" s="325" t="s">
        <v>88</v>
      </c>
      <c r="B57" s="346">
        <f>零件進出口!L58</f>
        <v>260973</v>
      </c>
      <c r="C57" s="347">
        <v>580450</v>
      </c>
      <c r="D57" s="501">
        <f>(B57-C57)/C57</f>
        <v>-0.55039538289258338</v>
      </c>
      <c r="E57" s="346">
        <f>零件進出口!M58</f>
        <v>13664791</v>
      </c>
      <c r="F57" s="347">
        <v>19637423</v>
      </c>
      <c r="G57" s="501">
        <f>(E57-F57)/F57</f>
        <v>-0.30414540645175286</v>
      </c>
    </row>
    <row r="58" spans="1:7">
      <c r="A58" s="328">
        <v>40115000008</v>
      </c>
      <c r="B58" s="355"/>
      <c r="C58" s="355"/>
      <c r="D58" s="358"/>
      <c r="E58" s="356"/>
      <c r="F58" s="356"/>
      <c r="G58" s="356"/>
    </row>
    <row r="59" spans="1:7">
      <c r="A59" s="325" t="s">
        <v>92</v>
      </c>
      <c r="B59" s="346">
        <f>零件進出口!L60</f>
        <v>1308049</v>
      </c>
      <c r="C59" s="347">
        <v>2184773</v>
      </c>
      <c r="D59" s="501">
        <f>(B59-C59)/C59</f>
        <v>-0.40128837183542637</v>
      </c>
      <c r="E59" s="346">
        <f>零件進出口!M60</f>
        <v>14218939</v>
      </c>
      <c r="F59" s="347">
        <v>22445990</v>
      </c>
      <c r="G59" s="501">
        <f>(E59-F59)/F59</f>
        <v>-0.36652653770228</v>
      </c>
    </row>
    <row r="60" spans="1:7">
      <c r="A60" s="325" t="s">
        <v>93</v>
      </c>
      <c r="B60" s="346"/>
      <c r="C60" s="347"/>
      <c r="D60" s="349"/>
      <c r="E60" s="350"/>
      <c r="F60" s="347"/>
      <c r="G60" s="504"/>
    </row>
    <row r="61" spans="1:7">
      <c r="A61" s="328">
        <v>40132000003</v>
      </c>
      <c r="B61" s="355"/>
      <c r="C61" s="355"/>
      <c r="D61" s="355"/>
      <c r="E61" s="356"/>
      <c r="F61" s="356"/>
      <c r="G61" s="356"/>
    </row>
    <row r="62" spans="1:7">
      <c r="A62" s="325" t="s">
        <v>94</v>
      </c>
      <c r="B62" s="346">
        <f>零件進出口!L63</f>
        <v>233487</v>
      </c>
      <c r="C62" s="347">
        <v>400994</v>
      </c>
      <c r="D62" s="502">
        <f>(B62-C62)/C62</f>
        <v>-0.41772944233579556</v>
      </c>
      <c r="E62" s="346">
        <f>零件進出口!M63</f>
        <v>1564967</v>
      </c>
      <c r="F62" s="347">
        <v>2398822</v>
      </c>
      <c r="G62" s="501">
        <f>(E62-F62)/F62</f>
        <v>-0.34761020200748532</v>
      </c>
    </row>
    <row r="63" spans="1:7">
      <c r="A63" s="325" t="s">
        <v>95</v>
      </c>
      <c r="B63" s="346"/>
      <c r="C63" s="348"/>
      <c r="D63" s="349"/>
      <c r="E63" s="350"/>
      <c r="F63" s="347"/>
      <c r="G63" s="350"/>
    </row>
    <row r="64" spans="1:7">
      <c r="A64" s="359" t="s">
        <v>96</v>
      </c>
      <c r="B64" s="360">
        <f>SUM(B5:B63)-B63-B60-B19-B16-B10-B7</f>
        <v>11282742</v>
      </c>
      <c r="C64" s="443">
        <v>23800230</v>
      </c>
      <c r="D64" s="500">
        <f>(B64-C64)/C64</f>
        <v>-0.52593979133815094</v>
      </c>
      <c r="E64" s="442">
        <f>SUM(E6:E63)</f>
        <v>527962185</v>
      </c>
      <c r="F64" s="210">
        <v>706796692</v>
      </c>
      <c r="G64" s="500">
        <f>(E64-F64)/F64</f>
        <v>-0.25302114317196039</v>
      </c>
    </row>
    <row r="65" spans="1:7" ht="6" customHeight="1">
      <c r="E65" s="5"/>
      <c r="G65" s="318"/>
    </row>
    <row r="66" spans="1:7">
      <c r="A66" s="55" t="s">
        <v>32</v>
      </c>
    </row>
  </sheetData>
  <phoneticPr fontId="3" type="noConversion"/>
  <conditionalFormatting sqref="C11">
    <cfRule type="cellIs" dxfId="20" priority="7" operator="greaterThanOrEqual">
      <formula>0</formula>
    </cfRule>
    <cfRule type="cellIs" dxfId="19" priority="8" operator="lessThan">
      <formula>0</formula>
    </cfRule>
  </conditionalFormatting>
  <conditionalFormatting sqref="D1:D2 G1:G2 C8">
    <cfRule type="cellIs" dxfId="18" priority="9" operator="greaterThanOrEqual">
      <formula>0</formula>
    </cfRule>
    <cfRule type="cellIs" dxfId="17" priority="10" operator="lessThan">
      <formula>0</formula>
    </cfRule>
  </conditionalFormatting>
  <conditionalFormatting sqref="D5:D1048576">
    <cfRule type="cellIs" dxfId="16" priority="13" operator="greaterThanOrEqual">
      <formula>0</formula>
    </cfRule>
    <cfRule type="cellIs" dxfId="15" priority="14" operator="lessThan">
      <formula>0</formula>
    </cfRule>
  </conditionalFormatting>
  <conditionalFormatting sqref="F40">
    <cfRule type="cellIs" dxfId="14" priority="5" operator="greaterThanOrEqual">
      <formula>0</formula>
    </cfRule>
    <cfRule type="cellIs" dxfId="13" priority="6" operator="lessThan">
      <formula>0</formula>
    </cfRule>
  </conditionalFormatting>
  <conditionalFormatting sqref="F58">
    <cfRule type="cellIs" dxfId="12" priority="3" operator="greaterThanOrEqual">
      <formula>0</formula>
    </cfRule>
    <cfRule type="cellIs" dxfId="11" priority="4" operator="lessThan">
      <formula>0</formula>
    </cfRule>
  </conditionalFormatting>
  <conditionalFormatting sqref="F61">
    <cfRule type="cellIs" dxfId="10" priority="1" operator="greaterThanOrEqual">
      <formula>0</formula>
    </cfRule>
    <cfRule type="cellIs" dxfId="9" priority="2" operator="lessThan">
      <formula>0</formula>
    </cfRule>
  </conditionalFormatting>
  <conditionalFormatting sqref="G5:G1048576">
    <cfRule type="cellIs" dxfId="8" priority="11" operator="greaterThanOrEqual">
      <formula>0</formula>
    </cfRule>
    <cfRule type="cellIs" dxfId="7" priority="1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80" zoomScaleNormal="80" workbookViewId="0">
      <selection activeCell="B2" sqref="B2"/>
    </sheetView>
  </sheetViews>
  <sheetFormatPr defaultColWidth="10" defaultRowHeight="16.5"/>
  <cols>
    <col min="1" max="1" width="3.5" style="13" customWidth="1"/>
    <col min="2" max="2" width="17.5" style="13" customWidth="1"/>
    <col min="3" max="3" width="17.75" style="318" customWidth="1"/>
    <col min="4" max="4" width="13.625" style="13" customWidth="1"/>
    <col min="5" max="5" width="17.875" style="318" customWidth="1"/>
    <col min="6" max="6" width="2.125" style="13" customWidth="1"/>
    <col min="7" max="7" width="14.125" style="13" customWidth="1"/>
    <col min="8" max="8" width="15.75" style="318" customWidth="1"/>
    <col min="9" max="9" width="12.875" style="13" bestFit="1" customWidth="1"/>
    <col min="10" max="10" width="17.875" style="318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3" t="s">
        <v>514</v>
      </c>
      <c r="C1" s="364"/>
      <c r="D1" s="365"/>
      <c r="E1" s="364"/>
      <c r="F1" s="365"/>
      <c r="G1" s="365"/>
      <c r="H1" s="364"/>
      <c r="I1" s="365"/>
      <c r="J1" s="364"/>
    </row>
    <row r="2" spans="1:10">
      <c r="B2" s="365"/>
      <c r="C2" s="364"/>
      <c r="D2" s="365"/>
      <c r="E2" s="364"/>
      <c r="F2" s="365"/>
      <c r="G2" s="365"/>
      <c r="H2" s="364"/>
      <c r="I2" s="365"/>
      <c r="J2" s="364"/>
    </row>
    <row r="3" spans="1:10">
      <c r="B3" s="473" t="s">
        <v>434</v>
      </c>
      <c r="G3" s="473" t="s">
        <v>435</v>
      </c>
    </row>
    <row r="4" spans="1:10">
      <c r="B4" s="30" t="s">
        <v>101</v>
      </c>
      <c r="C4" s="366" t="s">
        <v>102</v>
      </c>
      <c r="D4" s="30" t="s">
        <v>103</v>
      </c>
      <c r="E4" s="366" t="s">
        <v>104</v>
      </c>
      <c r="F4" s="367"/>
      <c r="G4" s="30" t="s">
        <v>101</v>
      </c>
      <c r="H4" s="366" t="s">
        <v>102</v>
      </c>
      <c r="I4" s="30" t="s">
        <v>103</v>
      </c>
      <c r="J4" s="366" t="s">
        <v>104</v>
      </c>
    </row>
    <row r="5" spans="1:10">
      <c r="A5" s="13">
        <v>1</v>
      </c>
      <c r="B5" s="368" t="s">
        <v>461</v>
      </c>
      <c r="C5" s="369">
        <v>276212</v>
      </c>
      <c r="D5" s="368" t="s">
        <v>240</v>
      </c>
      <c r="E5" s="369">
        <v>128923</v>
      </c>
      <c r="G5" s="368" t="s">
        <v>247</v>
      </c>
      <c r="H5" s="370">
        <v>313977</v>
      </c>
      <c r="I5" s="368" t="s">
        <v>240</v>
      </c>
      <c r="J5" s="370">
        <v>38396</v>
      </c>
    </row>
    <row r="6" spans="1:10">
      <c r="A6" s="13">
        <v>2</v>
      </c>
      <c r="B6" s="368" t="s">
        <v>246</v>
      </c>
      <c r="C6" s="369">
        <v>226791</v>
      </c>
      <c r="D6" s="368" t="s">
        <v>385</v>
      </c>
      <c r="E6" s="369">
        <v>35765</v>
      </c>
      <c r="G6" s="368" t="s">
        <v>13</v>
      </c>
      <c r="H6" s="370">
        <v>19851</v>
      </c>
      <c r="I6" s="368" t="s">
        <v>247</v>
      </c>
      <c r="J6" s="370">
        <v>25617</v>
      </c>
    </row>
    <row r="7" spans="1:10">
      <c r="A7" s="13">
        <v>3</v>
      </c>
      <c r="B7" s="368" t="s">
        <v>466</v>
      </c>
      <c r="C7" s="369">
        <v>123241</v>
      </c>
      <c r="D7" s="368" t="s">
        <v>248</v>
      </c>
      <c r="E7" s="369">
        <v>10652</v>
      </c>
      <c r="G7" s="368" t="s">
        <v>385</v>
      </c>
      <c r="H7" s="370">
        <v>16397</v>
      </c>
      <c r="I7" s="368" t="s">
        <v>163</v>
      </c>
      <c r="J7" s="370">
        <v>2034</v>
      </c>
    </row>
    <row r="8" spans="1:10">
      <c r="A8" s="13">
        <v>4</v>
      </c>
      <c r="B8" s="368" t="s">
        <v>385</v>
      </c>
      <c r="C8" s="369">
        <v>93189</v>
      </c>
      <c r="D8" s="368" t="s">
        <v>465</v>
      </c>
      <c r="E8" s="369">
        <v>65</v>
      </c>
      <c r="G8" s="368" t="s">
        <v>7</v>
      </c>
      <c r="H8" s="370">
        <v>12427</v>
      </c>
      <c r="I8" s="368" t="s">
        <v>186</v>
      </c>
      <c r="J8" s="370">
        <v>839</v>
      </c>
    </row>
    <row r="9" spans="1:10">
      <c r="A9" s="13">
        <v>5</v>
      </c>
      <c r="B9" s="368" t="s">
        <v>258</v>
      </c>
      <c r="C9" s="369">
        <v>54519</v>
      </c>
      <c r="D9" s="368"/>
      <c r="E9" s="369"/>
      <c r="G9" s="368" t="s">
        <v>516</v>
      </c>
      <c r="H9" s="370">
        <v>10426</v>
      </c>
      <c r="I9" s="368"/>
      <c r="J9" s="370"/>
    </row>
    <row r="10" spans="1:10">
      <c r="A10" s="13">
        <v>6</v>
      </c>
      <c r="B10" s="368" t="s">
        <v>12</v>
      </c>
      <c r="C10" s="369">
        <v>50258</v>
      </c>
      <c r="D10" s="368"/>
      <c r="E10" s="369"/>
      <c r="G10" s="368" t="s">
        <v>464</v>
      </c>
      <c r="H10" s="370">
        <v>4939</v>
      </c>
      <c r="I10" s="368"/>
      <c r="J10" s="370"/>
    </row>
    <row r="11" spans="1:10">
      <c r="A11" s="13">
        <v>7</v>
      </c>
      <c r="B11" s="368" t="s">
        <v>463</v>
      </c>
      <c r="C11" s="369">
        <v>46256</v>
      </c>
      <c r="D11" s="368"/>
      <c r="E11" s="370"/>
      <c r="G11" s="368" t="s">
        <v>462</v>
      </c>
      <c r="H11" s="370">
        <v>4390</v>
      </c>
      <c r="I11" s="368"/>
      <c r="J11" s="370"/>
    </row>
    <row r="12" spans="1:10">
      <c r="A12" s="13">
        <v>8</v>
      </c>
      <c r="B12" s="368" t="s">
        <v>240</v>
      </c>
      <c r="C12" s="369">
        <v>30569</v>
      </c>
      <c r="D12" s="368"/>
      <c r="E12" s="370"/>
      <c r="G12" s="368" t="s">
        <v>461</v>
      </c>
      <c r="H12" s="370">
        <v>4132</v>
      </c>
      <c r="I12" s="368"/>
      <c r="J12" s="370"/>
    </row>
    <row r="13" spans="1:10">
      <c r="A13" s="13">
        <v>9</v>
      </c>
      <c r="B13" s="368" t="s">
        <v>7</v>
      </c>
      <c r="C13" s="369">
        <v>24532</v>
      </c>
      <c r="D13" s="368"/>
      <c r="E13" s="370"/>
      <c r="G13" s="368" t="s">
        <v>11</v>
      </c>
      <c r="H13" s="370">
        <v>1743</v>
      </c>
      <c r="I13" s="368"/>
      <c r="J13" s="370"/>
    </row>
    <row r="14" spans="1:10">
      <c r="A14" s="13">
        <v>10</v>
      </c>
      <c r="B14" s="371" t="s">
        <v>516</v>
      </c>
      <c r="C14" s="369">
        <v>20078</v>
      </c>
      <c r="D14" s="368"/>
      <c r="E14" s="370"/>
      <c r="G14" s="368"/>
      <c r="H14" s="370"/>
      <c r="I14" s="368"/>
      <c r="J14" s="370"/>
    </row>
    <row r="15" spans="1:10">
      <c r="B15" s="474" t="s">
        <v>422</v>
      </c>
      <c r="C15" s="370">
        <f>C16-SUM(C5:C14)</f>
        <v>82666</v>
      </c>
      <c r="D15" s="368" t="s">
        <v>105</v>
      </c>
      <c r="E15" s="370">
        <f>E16-SUM(E5:E14)</f>
        <v>0</v>
      </c>
      <c r="G15" s="474" t="s">
        <v>422</v>
      </c>
      <c r="H15" s="370">
        <f>H16-SUM(H5:H14)</f>
        <v>0</v>
      </c>
      <c r="I15" s="368" t="s">
        <v>105</v>
      </c>
      <c r="J15" s="370">
        <f>J16-SUM(J5:J14)</f>
        <v>0</v>
      </c>
    </row>
    <row r="16" spans="1:10">
      <c r="B16" s="368" t="s">
        <v>106</v>
      </c>
      <c r="C16" s="370">
        <v>1028311</v>
      </c>
      <c r="D16" s="368" t="s">
        <v>106</v>
      </c>
      <c r="E16" s="370">
        <v>175405</v>
      </c>
      <c r="G16" s="368" t="s">
        <v>106</v>
      </c>
      <c r="H16" s="370">
        <v>388282</v>
      </c>
      <c r="I16" s="368" t="s">
        <v>106</v>
      </c>
      <c r="J16" s="370">
        <v>66886</v>
      </c>
    </row>
    <row r="18" spans="1:10">
      <c r="B18" s="473" t="s">
        <v>423</v>
      </c>
      <c r="G18" s="55" t="s">
        <v>424</v>
      </c>
    </row>
    <row r="19" spans="1:10">
      <c r="B19" s="30" t="s">
        <v>101</v>
      </c>
      <c r="C19" s="366" t="s">
        <v>102</v>
      </c>
      <c r="D19" s="30" t="s">
        <v>103</v>
      </c>
      <c r="E19" s="366" t="s">
        <v>104</v>
      </c>
      <c r="G19" s="30" t="s">
        <v>101</v>
      </c>
      <c r="H19" s="366" t="s">
        <v>102</v>
      </c>
      <c r="I19" s="30" t="s">
        <v>103</v>
      </c>
      <c r="J19" s="366" t="s">
        <v>104</v>
      </c>
    </row>
    <row r="20" spans="1:10">
      <c r="A20" s="13">
        <v>1</v>
      </c>
      <c r="B20" s="475" t="s">
        <v>247</v>
      </c>
      <c r="C20" s="370">
        <v>11571952</v>
      </c>
      <c r="D20" s="371" t="s">
        <v>240</v>
      </c>
      <c r="E20" s="370">
        <v>26141002</v>
      </c>
      <c r="G20" s="368" t="s">
        <v>247</v>
      </c>
      <c r="H20" s="370">
        <v>424275</v>
      </c>
      <c r="I20" s="368" t="s">
        <v>240</v>
      </c>
      <c r="J20" s="370">
        <v>4482112</v>
      </c>
    </row>
    <row r="21" spans="1:10">
      <c r="A21" s="13">
        <v>2</v>
      </c>
      <c r="B21" s="475" t="s">
        <v>246</v>
      </c>
      <c r="C21" s="370">
        <v>7485506</v>
      </c>
      <c r="D21" s="368" t="s">
        <v>462</v>
      </c>
      <c r="E21" s="370">
        <v>3568592</v>
      </c>
      <c r="G21" s="368" t="s">
        <v>461</v>
      </c>
      <c r="H21" s="370">
        <v>399676</v>
      </c>
      <c r="I21" s="368" t="s">
        <v>462</v>
      </c>
      <c r="J21" s="370">
        <v>78082</v>
      </c>
    </row>
    <row r="22" spans="1:10">
      <c r="A22" s="13">
        <v>3</v>
      </c>
      <c r="B22" s="475" t="s">
        <v>461</v>
      </c>
      <c r="C22" s="370">
        <v>4468720</v>
      </c>
      <c r="D22" s="368" t="s">
        <v>464</v>
      </c>
      <c r="E22" s="370">
        <v>685960</v>
      </c>
      <c r="G22" s="368" t="s">
        <v>257</v>
      </c>
      <c r="H22" s="370">
        <v>313880</v>
      </c>
      <c r="I22" s="368" t="s">
        <v>467</v>
      </c>
      <c r="J22" s="370">
        <v>77469</v>
      </c>
    </row>
    <row r="23" spans="1:10">
      <c r="A23" s="13">
        <v>4</v>
      </c>
      <c r="B23" s="475" t="s">
        <v>240</v>
      </c>
      <c r="C23" s="370">
        <v>3574893</v>
      </c>
      <c r="D23" s="368" t="s">
        <v>465</v>
      </c>
      <c r="E23" s="370">
        <v>504345</v>
      </c>
      <c r="G23" s="368" t="s">
        <v>11</v>
      </c>
      <c r="H23" s="370">
        <v>263978</v>
      </c>
      <c r="I23" s="368" t="s">
        <v>248</v>
      </c>
      <c r="J23" s="370">
        <v>51420</v>
      </c>
    </row>
    <row r="24" spans="1:10">
      <c r="A24" s="13">
        <v>5</v>
      </c>
      <c r="B24" s="475" t="s">
        <v>11</v>
      </c>
      <c r="C24" s="370">
        <v>3004323</v>
      </c>
      <c r="D24" s="368" t="s">
        <v>467</v>
      </c>
      <c r="E24" s="370">
        <v>277372</v>
      </c>
      <c r="G24" s="368" t="s">
        <v>246</v>
      </c>
      <c r="H24" s="370">
        <v>237993</v>
      </c>
      <c r="I24" s="368" t="s">
        <v>465</v>
      </c>
      <c r="J24" s="370">
        <v>9813</v>
      </c>
    </row>
    <row r="25" spans="1:10">
      <c r="A25" s="13">
        <v>6</v>
      </c>
      <c r="B25" s="475" t="s">
        <v>464</v>
      </c>
      <c r="C25" s="370">
        <v>2816785</v>
      </c>
      <c r="D25" s="368" t="s">
        <v>468</v>
      </c>
      <c r="E25" s="370">
        <v>260200</v>
      </c>
      <c r="G25" s="368" t="s">
        <v>10</v>
      </c>
      <c r="H25" s="370">
        <v>150453</v>
      </c>
      <c r="I25" s="368" t="s">
        <v>11</v>
      </c>
      <c r="J25" s="370">
        <v>9038</v>
      </c>
    </row>
    <row r="26" spans="1:10">
      <c r="A26" s="13">
        <v>7</v>
      </c>
      <c r="B26" s="475" t="s">
        <v>10</v>
      </c>
      <c r="C26" s="370">
        <v>2578308</v>
      </c>
      <c r="D26" s="368" t="s">
        <v>11</v>
      </c>
      <c r="E26" s="370">
        <v>159541</v>
      </c>
      <c r="G26" s="368" t="s">
        <v>240</v>
      </c>
      <c r="H26" s="370">
        <v>124692</v>
      </c>
      <c r="I26" s="368" t="s">
        <v>463</v>
      </c>
      <c r="J26" s="370">
        <v>1259</v>
      </c>
    </row>
    <row r="27" spans="1:10">
      <c r="A27" s="13">
        <v>8</v>
      </c>
      <c r="B27" s="475" t="s">
        <v>462</v>
      </c>
      <c r="C27" s="370">
        <v>2444642</v>
      </c>
      <c r="D27" s="368" t="s">
        <v>264</v>
      </c>
      <c r="E27" s="370">
        <v>77179</v>
      </c>
      <c r="G27" s="368" t="s">
        <v>462</v>
      </c>
      <c r="H27" s="370">
        <v>120109</v>
      </c>
      <c r="I27" s="368" t="s">
        <v>247</v>
      </c>
      <c r="J27" s="370">
        <v>710</v>
      </c>
    </row>
    <row r="28" spans="1:10">
      <c r="A28" s="13">
        <v>9</v>
      </c>
      <c r="B28" s="475" t="s">
        <v>259</v>
      </c>
      <c r="C28" s="370">
        <v>1893318</v>
      </c>
      <c r="D28" s="368" t="s">
        <v>461</v>
      </c>
      <c r="E28" s="370">
        <v>52421</v>
      </c>
      <c r="G28" s="368" t="s">
        <v>464</v>
      </c>
      <c r="H28" s="370">
        <v>85087</v>
      </c>
      <c r="I28" s="368" t="s">
        <v>385</v>
      </c>
      <c r="J28" s="370">
        <v>387</v>
      </c>
    </row>
    <row r="29" spans="1:10">
      <c r="A29" s="13">
        <v>10</v>
      </c>
      <c r="B29" s="475" t="s">
        <v>248</v>
      </c>
      <c r="C29" s="370">
        <v>1210491</v>
      </c>
      <c r="D29" s="368" t="s">
        <v>13</v>
      </c>
      <c r="E29" s="370">
        <v>16398</v>
      </c>
      <c r="G29" s="368" t="s">
        <v>463</v>
      </c>
      <c r="H29" s="370">
        <v>74147</v>
      </c>
      <c r="I29" s="368" t="s">
        <v>257</v>
      </c>
      <c r="J29" s="370">
        <v>32</v>
      </c>
    </row>
    <row r="30" spans="1:10">
      <c r="B30" s="368" t="s">
        <v>105</v>
      </c>
      <c r="C30" s="370">
        <f>C31-SUM(C20:C29)</f>
        <v>10732114</v>
      </c>
      <c r="D30" s="368" t="s">
        <v>436</v>
      </c>
      <c r="E30" s="370">
        <f>E31-SUM(E20:E29)</f>
        <v>37901</v>
      </c>
      <c r="G30" s="368" t="s">
        <v>437</v>
      </c>
      <c r="H30" s="370">
        <f>H31-SUM(H20:H29)</f>
        <v>402552</v>
      </c>
      <c r="I30" s="368" t="s">
        <v>105</v>
      </c>
      <c r="J30" s="370">
        <f>J31-SUM(J20:J29)</f>
        <v>0</v>
      </c>
    </row>
    <row r="31" spans="1:10">
      <c r="B31" s="368" t="s">
        <v>106</v>
      </c>
      <c r="C31" s="370">
        <v>51781052</v>
      </c>
      <c r="D31" s="368" t="s">
        <v>106</v>
      </c>
      <c r="E31" s="370">
        <v>31780911</v>
      </c>
      <c r="G31" s="368" t="s">
        <v>106</v>
      </c>
      <c r="H31" s="370">
        <v>2596842</v>
      </c>
      <c r="I31" s="368" t="s">
        <v>106</v>
      </c>
      <c r="J31" s="370">
        <v>4710322</v>
      </c>
    </row>
    <row r="32" spans="1:10">
      <c r="B32" s="372"/>
      <c r="D32" s="372"/>
      <c r="G32" s="372"/>
      <c r="I32" s="372"/>
    </row>
    <row r="33" spans="1:10">
      <c r="B33" s="55" t="s">
        <v>426</v>
      </c>
      <c r="D33" s="372"/>
      <c r="G33" s="55" t="s">
        <v>427</v>
      </c>
      <c r="I33" s="372"/>
    </row>
    <row r="34" spans="1:10">
      <c r="B34" s="368" t="s">
        <v>101</v>
      </c>
      <c r="C34" s="370" t="s">
        <v>102</v>
      </c>
      <c r="D34" s="368" t="s">
        <v>103</v>
      </c>
      <c r="E34" s="366" t="s">
        <v>104</v>
      </c>
      <c r="G34" s="368" t="s">
        <v>101</v>
      </c>
      <c r="H34" s="370" t="s">
        <v>102</v>
      </c>
      <c r="I34" s="368" t="s">
        <v>103</v>
      </c>
      <c r="J34" s="366" t="s">
        <v>104</v>
      </c>
    </row>
    <row r="35" spans="1:10">
      <c r="A35" s="13">
        <v>1</v>
      </c>
      <c r="B35" s="368" t="s">
        <v>240</v>
      </c>
      <c r="C35" s="370">
        <v>270335</v>
      </c>
      <c r="D35" s="368" t="s">
        <v>12</v>
      </c>
      <c r="E35" s="370">
        <v>350065</v>
      </c>
      <c r="G35" s="368" t="s">
        <v>246</v>
      </c>
      <c r="H35" s="370">
        <v>1524275</v>
      </c>
      <c r="I35" s="368" t="s">
        <v>240</v>
      </c>
      <c r="J35" s="370">
        <v>369527</v>
      </c>
    </row>
    <row r="36" spans="1:10">
      <c r="A36" s="13">
        <v>2</v>
      </c>
      <c r="B36" s="368" t="s">
        <v>461</v>
      </c>
      <c r="C36" s="370">
        <v>85765</v>
      </c>
      <c r="D36" s="368" t="s">
        <v>466</v>
      </c>
      <c r="E36" s="370">
        <v>117140</v>
      </c>
      <c r="G36" s="368" t="s">
        <v>461</v>
      </c>
      <c r="H36" s="370">
        <v>1183376</v>
      </c>
      <c r="I36" s="368" t="s">
        <v>247</v>
      </c>
      <c r="J36" s="370">
        <v>138412</v>
      </c>
    </row>
    <row r="37" spans="1:10">
      <c r="A37" s="13">
        <v>3</v>
      </c>
      <c r="B37" s="368" t="s">
        <v>464</v>
      </c>
      <c r="C37" s="370">
        <v>73402</v>
      </c>
      <c r="D37" s="368" t="s">
        <v>240</v>
      </c>
      <c r="E37" s="370">
        <v>33958</v>
      </c>
      <c r="G37" s="368" t="s">
        <v>463</v>
      </c>
      <c r="H37" s="370">
        <v>596741</v>
      </c>
      <c r="I37" s="368" t="s">
        <v>467</v>
      </c>
      <c r="J37" s="370">
        <v>126404</v>
      </c>
    </row>
    <row r="38" spans="1:10">
      <c r="A38" s="13">
        <v>4</v>
      </c>
      <c r="B38" s="368" t="s">
        <v>462</v>
      </c>
      <c r="C38" s="370">
        <v>46547</v>
      </c>
      <c r="D38" s="368" t="s">
        <v>470</v>
      </c>
      <c r="E38" s="370">
        <v>9361</v>
      </c>
      <c r="G38" s="368" t="s">
        <v>240</v>
      </c>
      <c r="H38" s="370">
        <v>538961</v>
      </c>
      <c r="I38" s="368" t="s">
        <v>385</v>
      </c>
      <c r="J38" s="370">
        <v>80181</v>
      </c>
    </row>
    <row r="39" spans="1:10">
      <c r="A39" s="13">
        <v>5</v>
      </c>
      <c r="B39" s="368" t="s">
        <v>298</v>
      </c>
      <c r="C39" s="370">
        <v>45707</v>
      </c>
      <c r="D39" s="368" t="s">
        <v>11</v>
      </c>
      <c r="E39" s="370">
        <v>549</v>
      </c>
      <c r="G39" s="368" t="s">
        <v>247</v>
      </c>
      <c r="H39" s="370">
        <v>438477</v>
      </c>
      <c r="I39" s="368" t="s">
        <v>386</v>
      </c>
      <c r="J39" s="370">
        <v>37831</v>
      </c>
    </row>
    <row r="40" spans="1:10">
      <c r="A40" s="13">
        <v>6</v>
      </c>
      <c r="B40" s="368" t="s">
        <v>246</v>
      </c>
      <c r="C40" s="370">
        <v>36669</v>
      </c>
      <c r="D40" s="368" t="s">
        <v>385</v>
      </c>
      <c r="E40" s="370">
        <v>97</v>
      </c>
      <c r="G40" s="368" t="s">
        <v>462</v>
      </c>
      <c r="H40" s="370">
        <v>165107</v>
      </c>
      <c r="I40" s="368" t="s">
        <v>461</v>
      </c>
      <c r="J40" s="370">
        <v>31214</v>
      </c>
    </row>
    <row r="41" spans="1:10">
      <c r="A41" s="13">
        <v>7</v>
      </c>
      <c r="B41" s="368" t="s">
        <v>257</v>
      </c>
      <c r="C41" s="370">
        <v>23014</v>
      </c>
      <c r="D41" s="368" t="s">
        <v>257</v>
      </c>
      <c r="E41" s="370">
        <v>16</v>
      </c>
      <c r="G41" s="368" t="s">
        <v>298</v>
      </c>
      <c r="H41" s="370">
        <v>128340</v>
      </c>
      <c r="I41" s="368" t="s">
        <v>11</v>
      </c>
      <c r="J41" s="370">
        <v>28083</v>
      </c>
    </row>
    <row r="42" spans="1:10">
      <c r="A42" s="13">
        <v>8</v>
      </c>
      <c r="B42" s="368" t="s">
        <v>247</v>
      </c>
      <c r="C42" s="370">
        <v>22434</v>
      </c>
      <c r="D42" s="368"/>
      <c r="E42" s="370"/>
      <c r="G42" s="368" t="s">
        <v>386</v>
      </c>
      <c r="H42" s="370">
        <v>107715</v>
      </c>
      <c r="I42" s="368" t="s">
        <v>270</v>
      </c>
      <c r="J42" s="370">
        <v>18464</v>
      </c>
    </row>
    <row r="43" spans="1:10">
      <c r="A43" s="13">
        <v>9</v>
      </c>
      <c r="B43" s="368" t="s">
        <v>270</v>
      </c>
      <c r="C43" s="370">
        <v>21659</v>
      </c>
      <c r="D43" s="368"/>
      <c r="E43" s="370"/>
      <c r="G43" s="368" t="s">
        <v>480</v>
      </c>
      <c r="H43" s="370">
        <v>100290</v>
      </c>
      <c r="I43" s="368" t="s">
        <v>12</v>
      </c>
      <c r="J43" s="370">
        <v>15107</v>
      </c>
    </row>
    <row r="44" spans="1:10">
      <c r="A44" s="13">
        <v>10</v>
      </c>
      <c r="B44" s="368" t="s">
        <v>470</v>
      </c>
      <c r="C44" s="370">
        <v>20400</v>
      </c>
      <c r="D44" s="368"/>
      <c r="E44" s="370"/>
      <c r="G44" s="368" t="s">
        <v>470</v>
      </c>
      <c r="H44" s="370">
        <v>79664</v>
      </c>
      <c r="I44" s="368" t="s">
        <v>248</v>
      </c>
      <c r="J44" s="370">
        <v>8167</v>
      </c>
    </row>
    <row r="45" spans="1:10">
      <c r="B45" s="368" t="s">
        <v>105</v>
      </c>
      <c r="C45" s="370">
        <f>C46-SUM(C34:C44)</f>
        <v>85442</v>
      </c>
      <c r="D45" s="368" t="s">
        <v>425</v>
      </c>
      <c r="E45" s="370">
        <f>E46-SUM(E34:E44)</f>
        <v>0</v>
      </c>
      <c r="G45" s="368" t="s">
        <v>438</v>
      </c>
      <c r="H45" s="370">
        <f>H46-SUM(H34:H44)</f>
        <v>424788</v>
      </c>
      <c r="I45" s="368" t="s">
        <v>439</v>
      </c>
      <c r="J45" s="370">
        <f>J46-SUM(J34:J44)</f>
        <v>6291</v>
      </c>
    </row>
    <row r="46" spans="1:10">
      <c r="B46" s="368" t="s">
        <v>106</v>
      </c>
      <c r="C46" s="370">
        <v>731374</v>
      </c>
      <c r="D46" s="368" t="s">
        <v>106</v>
      </c>
      <c r="E46" s="370">
        <v>511186</v>
      </c>
      <c r="G46" s="368" t="s">
        <v>106</v>
      </c>
      <c r="H46" s="370">
        <v>5287734</v>
      </c>
      <c r="I46" s="368" t="s">
        <v>106</v>
      </c>
      <c r="J46" s="370">
        <v>859681</v>
      </c>
    </row>
    <row r="47" spans="1:10">
      <c r="B47" s="372"/>
      <c r="D47" s="372"/>
      <c r="G47" s="372"/>
      <c r="I47" s="372"/>
    </row>
    <row r="48" spans="1:10">
      <c r="B48" s="55" t="s">
        <v>428</v>
      </c>
      <c r="G48" s="267" t="s">
        <v>440</v>
      </c>
    </row>
    <row r="49" spans="1:10">
      <c r="B49" s="30" t="s">
        <v>101</v>
      </c>
      <c r="C49" s="366" t="s">
        <v>102</v>
      </c>
      <c r="D49" s="30" t="s">
        <v>103</v>
      </c>
      <c r="E49" s="366" t="s">
        <v>104</v>
      </c>
      <c r="G49" s="30" t="s">
        <v>101</v>
      </c>
      <c r="H49" s="366" t="s">
        <v>102</v>
      </c>
      <c r="I49" s="30" t="s">
        <v>103</v>
      </c>
      <c r="J49" s="366" t="s">
        <v>104</v>
      </c>
    </row>
    <row r="50" spans="1:10">
      <c r="A50" s="13">
        <v>1</v>
      </c>
      <c r="B50" s="368" t="s">
        <v>461</v>
      </c>
      <c r="C50" s="370">
        <v>520143</v>
      </c>
      <c r="D50" s="368" t="s">
        <v>240</v>
      </c>
      <c r="E50" s="370">
        <v>1861677</v>
      </c>
      <c r="G50" s="371" t="s">
        <v>176</v>
      </c>
      <c r="H50" s="370">
        <v>7360</v>
      </c>
      <c r="I50" s="371" t="s">
        <v>385</v>
      </c>
      <c r="J50" s="370">
        <v>233861</v>
      </c>
    </row>
    <row r="51" spans="1:10">
      <c r="A51" s="13">
        <v>2</v>
      </c>
      <c r="B51" s="368" t="s">
        <v>463</v>
      </c>
      <c r="C51" s="370">
        <v>446383</v>
      </c>
      <c r="D51" s="368" t="s">
        <v>467</v>
      </c>
      <c r="E51" s="370">
        <v>461777</v>
      </c>
      <c r="G51" s="371" t="s">
        <v>168</v>
      </c>
      <c r="H51" s="370">
        <v>2034</v>
      </c>
      <c r="I51" s="371" t="s">
        <v>470</v>
      </c>
      <c r="J51" s="370">
        <v>201421</v>
      </c>
    </row>
    <row r="52" spans="1:10">
      <c r="A52" s="13">
        <v>3</v>
      </c>
      <c r="B52" s="368" t="s">
        <v>517</v>
      </c>
      <c r="C52" s="370">
        <v>403292</v>
      </c>
      <c r="D52" s="368" t="s">
        <v>469</v>
      </c>
      <c r="E52" s="370">
        <v>289283</v>
      </c>
      <c r="G52" s="371" t="s">
        <v>161</v>
      </c>
      <c r="H52" s="370">
        <v>1485</v>
      </c>
      <c r="I52" s="371" t="s">
        <v>240</v>
      </c>
      <c r="J52" s="370">
        <v>5520</v>
      </c>
    </row>
    <row r="53" spans="1:10">
      <c r="A53" s="13">
        <v>4</v>
      </c>
      <c r="B53" s="368" t="s">
        <v>271</v>
      </c>
      <c r="C53" s="370">
        <v>389768</v>
      </c>
      <c r="D53" s="368" t="s">
        <v>463</v>
      </c>
      <c r="E53" s="370">
        <v>96578</v>
      </c>
      <c r="G53" s="371" t="s">
        <v>299</v>
      </c>
      <c r="H53" s="370">
        <v>226</v>
      </c>
      <c r="I53" s="371"/>
      <c r="J53" s="370"/>
    </row>
    <row r="54" spans="1:10">
      <c r="A54" s="13">
        <v>5</v>
      </c>
      <c r="B54" s="368" t="s">
        <v>257</v>
      </c>
      <c r="C54" s="370">
        <v>313427</v>
      </c>
      <c r="D54" s="368" t="s">
        <v>470</v>
      </c>
      <c r="E54" s="370">
        <v>95919</v>
      </c>
      <c r="G54" s="371"/>
      <c r="H54" s="370"/>
      <c r="I54" s="371"/>
      <c r="J54" s="370"/>
    </row>
    <row r="55" spans="1:10">
      <c r="A55" s="13">
        <v>6</v>
      </c>
      <c r="B55" s="368" t="s">
        <v>466</v>
      </c>
      <c r="C55" s="370">
        <v>269142</v>
      </c>
      <c r="D55" s="368" t="s">
        <v>385</v>
      </c>
      <c r="E55" s="370">
        <v>62543</v>
      </c>
      <c r="G55" s="371"/>
      <c r="H55" s="370"/>
      <c r="I55" s="371"/>
      <c r="J55" s="370"/>
    </row>
    <row r="56" spans="1:10">
      <c r="A56" s="13">
        <v>7</v>
      </c>
      <c r="B56" s="368" t="s">
        <v>240</v>
      </c>
      <c r="C56" s="370">
        <v>249355</v>
      </c>
      <c r="D56" s="368" t="s">
        <v>13</v>
      </c>
      <c r="E56" s="370">
        <v>55617</v>
      </c>
      <c r="G56" s="371"/>
      <c r="H56" s="370"/>
      <c r="I56" s="371"/>
      <c r="J56" s="370"/>
    </row>
    <row r="57" spans="1:10">
      <c r="A57" s="13">
        <v>8</v>
      </c>
      <c r="B57" s="368" t="s">
        <v>247</v>
      </c>
      <c r="C57" s="370">
        <v>204067</v>
      </c>
      <c r="D57" s="368" t="s">
        <v>466</v>
      </c>
      <c r="E57" s="370">
        <v>22692</v>
      </c>
      <c r="G57" s="371"/>
      <c r="H57" s="370"/>
      <c r="I57" s="371"/>
      <c r="J57" s="370"/>
    </row>
    <row r="58" spans="1:10">
      <c r="A58" s="13">
        <v>9</v>
      </c>
      <c r="B58" s="368" t="s">
        <v>246</v>
      </c>
      <c r="C58" s="370">
        <v>190640</v>
      </c>
      <c r="D58" s="368" t="s">
        <v>465</v>
      </c>
      <c r="E58" s="370">
        <v>17296</v>
      </c>
      <c r="G58" s="371"/>
      <c r="H58" s="370"/>
      <c r="I58" s="371"/>
      <c r="J58" s="370"/>
    </row>
    <row r="59" spans="1:10">
      <c r="A59" s="13">
        <v>10</v>
      </c>
      <c r="B59" s="368" t="s">
        <v>464</v>
      </c>
      <c r="C59" s="370">
        <v>181440</v>
      </c>
      <c r="D59" s="368" t="s">
        <v>518</v>
      </c>
      <c r="E59" s="370">
        <v>807</v>
      </c>
      <c r="G59" s="371"/>
      <c r="H59" s="370"/>
      <c r="I59" s="371"/>
      <c r="J59" s="370"/>
    </row>
    <row r="60" spans="1:10">
      <c r="B60" s="368" t="s">
        <v>438</v>
      </c>
      <c r="C60" s="370">
        <f>C61-SUM(C49:C59)</f>
        <v>892773</v>
      </c>
      <c r="D60" s="368" t="s">
        <v>105</v>
      </c>
      <c r="E60" s="370">
        <f>E61-SUM(E49:E59)</f>
        <v>1581</v>
      </c>
      <c r="G60" s="371" t="s">
        <v>438</v>
      </c>
      <c r="H60" s="370">
        <f>H61-SUM(H49:H59)</f>
        <v>0</v>
      </c>
      <c r="I60" s="368" t="s">
        <v>105</v>
      </c>
      <c r="J60" s="370">
        <f>J61-SUM(J49:J59)</f>
        <v>0</v>
      </c>
    </row>
    <row r="61" spans="1:10">
      <c r="B61" s="368" t="s">
        <v>106</v>
      </c>
      <c r="C61" s="370">
        <v>4060430</v>
      </c>
      <c r="D61" s="368" t="s">
        <v>106</v>
      </c>
      <c r="E61" s="370">
        <v>2965770</v>
      </c>
      <c r="G61" s="368" t="s">
        <v>106</v>
      </c>
      <c r="H61" s="370">
        <v>11105</v>
      </c>
      <c r="I61" s="368" t="s">
        <v>106</v>
      </c>
      <c r="J61" s="370">
        <v>440802</v>
      </c>
    </row>
    <row r="63" spans="1:10">
      <c r="B63" s="473" t="s">
        <v>441</v>
      </c>
      <c r="G63" s="473" t="s">
        <v>442</v>
      </c>
    </row>
    <row r="64" spans="1:10">
      <c r="B64" s="30" t="s">
        <v>101</v>
      </c>
      <c r="C64" s="366" t="s">
        <v>102</v>
      </c>
      <c r="D64" s="30" t="s">
        <v>103</v>
      </c>
      <c r="E64" s="366" t="s">
        <v>104</v>
      </c>
      <c r="G64" s="30" t="s">
        <v>101</v>
      </c>
      <c r="H64" s="366" t="s">
        <v>102</v>
      </c>
      <c r="I64" s="30" t="s">
        <v>103</v>
      </c>
      <c r="J64" s="366" t="s">
        <v>104</v>
      </c>
    </row>
    <row r="65" spans="1:10">
      <c r="A65" s="13">
        <v>1</v>
      </c>
      <c r="B65" s="368" t="s">
        <v>461</v>
      </c>
      <c r="C65" s="370">
        <v>272949</v>
      </c>
      <c r="D65" s="368" t="s">
        <v>385</v>
      </c>
      <c r="E65" s="370">
        <v>84829</v>
      </c>
      <c r="G65" s="368" t="s">
        <v>247</v>
      </c>
      <c r="H65" s="370">
        <v>3145870</v>
      </c>
      <c r="I65" s="371" t="s">
        <v>385</v>
      </c>
      <c r="J65" s="370">
        <v>6218072</v>
      </c>
    </row>
    <row r="66" spans="1:10">
      <c r="A66" s="13">
        <v>2</v>
      </c>
      <c r="B66" s="368" t="s">
        <v>11</v>
      </c>
      <c r="C66" s="370">
        <v>42318</v>
      </c>
      <c r="D66" s="368" t="s">
        <v>467</v>
      </c>
      <c r="E66" s="370">
        <v>83861</v>
      </c>
      <c r="G66" s="368" t="s">
        <v>240</v>
      </c>
      <c r="H66" s="370">
        <v>2435085</v>
      </c>
      <c r="I66" s="368" t="s">
        <v>467</v>
      </c>
      <c r="J66" s="370">
        <v>1251515</v>
      </c>
    </row>
    <row r="67" spans="1:10">
      <c r="A67" s="13">
        <v>3</v>
      </c>
      <c r="B67" s="368" t="s">
        <v>466</v>
      </c>
      <c r="C67" s="370">
        <v>7134</v>
      </c>
      <c r="D67" s="368" t="s">
        <v>240</v>
      </c>
      <c r="E67" s="370">
        <v>7457</v>
      </c>
      <c r="G67" s="368" t="s">
        <v>246</v>
      </c>
      <c r="H67" s="370">
        <v>1213846</v>
      </c>
      <c r="I67" s="368" t="s">
        <v>240</v>
      </c>
      <c r="J67" s="370">
        <v>1134609</v>
      </c>
    </row>
    <row r="68" spans="1:10">
      <c r="A68" s="13">
        <v>4</v>
      </c>
      <c r="B68" s="368" t="s">
        <v>23</v>
      </c>
      <c r="C68" s="370">
        <v>6972</v>
      </c>
      <c r="D68" s="368" t="s">
        <v>13</v>
      </c>
      <c r="E68" s="370">
        <v>323</v>
      </c>
      <c r="G68" s="368" t="s">
        <v>461</v>
      </c>
      <c r="H68" s="370">
        <v>931601</v>
      </c>
      <c r="I68" s="368" t="s">
        <v>465</v>
      </c>
      <c r="J68" s="370">
        <v>216528</v>
      </c>
    </row>
    <row r="69" spans="1:10">
      <c r="A69" s="13">
        <v>5</v>
      </c>
      <c r="B69" s="368" t="s">
        <v>7</v>
      </c>
      <c r="C69" s="370">
        <v>6682</v>
      </c>
      <c r="D69" s="368" t="s">
        <v>11</v>
      </c>
      <c r="E69" s="370">
        <v>194</v>
      </c>
      <c r="G69" s="368" t="s">
        <v>10</v>
      </c>
      <c r="H69" s="370">
        <v>635602</v>
      </c>
      <c r="I69" s="368" t="s">
        <v>470</v>
      </c>
      <c r="J69" s="370">
        <v>183829</v>
      </c>
    </row>
    <row r="70" spans="1:10">
      <c r="A70" s="13">
        <v>6</v>
      </c>
      <c r="B70" s="368" t="s">
        <v>240</v>
      </c>
      <c r="C70" s="370">
        <v>4099</v>
      </c>
      <c r="D70" s="368" t="s">
        <v>465</v>
      </c>
      <c r="E70" s="370">
        <v>97</v>
      </c>
      <c r="G70" s="368" t="s">
        <v>463</v>
      </c>
      <c r="H70" s="370">
        <v>598645</v>
      </c>
      <c r="I70" s="368" t="s">
        <v>463</v>
      </c>
      <c r="J70" s="370">
        <v>70530</v>
      </c>
    </row>
    <row r="71" spans="1:10">
      <c r="A71" s="13">
        <v>7</v>
      </c>
      <c r="B71" s="368" t="s">
        <v>463</v>
      </c>
      <c r="C71" s="370">
        <v>1872</v>
      </c>
      <c r="D71" s="368"/>
      <c r="E71" s="370"/>
      <c r="G71" s="368" t="s">
        <v>462</v>
      </c>
      <c r="H71" s="370">
        <v>405070</v>
      </c>
      <c r="I71" s="368" t="s">
        <v>462</v>
      </c>
      <c r="J71" s="370">
        <v>50485</v>
      </c>
    </row>
    <row r="72" spans="1:10">
      <c r="A72" s="13">
        <v>8</v>
      </c>
      <c r="B72" s="368"/>
      <c r="C72" s="370"/>
      <c r="D72" s="368"/>
      <c r="E72" s="370"/>
      <c r="G72" s="368" t="s">
        <v>13</v>
      </c>
      <c r="H72" s="370">
        <v>286346</v>
      </c>
      <c r="I72" s="368" t="s">
        <v>247</v>
      </c>
      <c r="J72" s="370">
        <v>44703</v>
      </c>
    </row>
    <row r="73" spans="1:10">
      <c r="A73" s="13">
        <v>9</v>
      </c>
      <c r="B73" s="368"/>
      <c r="C73" s="370"/>
      <c r="D73" s="368"/>
      <c r="E73" s="370"/>
      <c r="G73" s="368" t="s">
        <v>464</v>
      </c>
      <c r="H73" s="370">
        <v>276954</v>
      </c>
      <c r="I73" s="368" t="s">
        <v>11</v>
      </c>
      <c r="J73" s="370">
        <v>13461</v>
      </c>
    </row>
    <row r="74" spans="1:10">
      <c r="A74" s="13">
        <v>10</v>
      </c>
      <c r="B74" s="368"/>
      <c r="C74" s="370"/>
      <c r="D74" s="368"/>
      <c r="E74" s="370"/>
      <c r="G74" s="368" t="s">
        <v>248</v>
      </c>
      <c r="H74" s="370">
        <v>254003</v>
      </c>
      <c r="I74" s="368" t="s">
        <v>246</v>
      </c>
      <c r="J74" s="370">
        <v>11653</v>
      </c>
    </row>
    <row r="75" spans="1:10">
      <c r="B75" s="368" t="s">
        <v>105</v>
      </c>
      <c r="C75" s="370">
        <f>C76-SUM(C64:C74)</f>
        <v>0</v>
      </c>
      <c r="D75" s="368" t="s">
        <v>105</v>
      </c>
      <c r="E75" s="370">
        <f>E76-SUM(E64:E74)</f>
        <v>0</v>
      </c>
      <c r="G75" s="368" t="s">
        <v>105</v>
      </c>
      <c r="H75" s="370">
        <f>H76-SUM(H64:H74)</f>
        <v>2109133</v>
      </c>
      <c r="I75" s="368" t="s">
        <v>425</v>
      </c>
      <c r="J75" s="370">
        <f>J76-SUM(J64:J74)</f>
        <v>5668</v>
      </c>
    </row>
    <row r="76" spans="1:10">
      <c r="B76" s="368" t="s">
        <v>106</v>
      </c>
      <c r="C76" s="370">
        <v>342026</v>
      </c>
      <c r="D76" s="368" t="s">
        <v>106</v>
      </c>
      <c r="E76" s="370">
        <v>176761</v>
      </c>
      <c r="G76" s="368" t="s">
        <v>106</v>
      </c>
      <c r="H76" s="370">
        <v>12292155</v>
      </c>
      <c r="I76" s="368" t="s">
        <v>106</v>
      </c>
      <c r="J76" s="370">
        <v>9201053</v>
      </c>
    </row>
    <row r="78" spans="1:10">
      <c r="B78" s="55" t="s">
        <v>443</v>
      </c>
      <c r="G78" s="473" t="s">
        <v>429</v>
      </c>
    </row>
    <row r="79" spans="1:10">
      <c r="B79" s="30" t="s">
        <v>101</v>
      </c>
      <c r="C79" s="366" t="s">
        <v>102</v>
      </c>
      <c r="D79" s="30" t="s">
        <v>103</v>
      </c>
      <c r="E79" s="366" t="s">
        <v>104</v>
      </c>
      <c r="G79" s="30" t="s">
        <v>101</v>
      </c>
      <c r="H79" s="366" t="s">
        <v>102</v>
      </c>
      <c r="I79" s="30" t="s">
        <v>103</v>
      </c>
      <c r="J79" s="366" t="s">
        <v>104</v>
      </c>
    </row>
    <row r="80" spans="1:10">
      <c r="A80" s="13">
        <v>1</v>
      </c>
      <c r="B80" s="368" t="s">
        <v>247</v>
      </c>
      <c r="C80" s="370">
        <v>845771</v>
      </c>
      <c r="D80" s="368" t="s">
        <v>240</v>
      </c>
      <c r="E80" s="370">
        <v>552087</v>
      </c>
      <c r="G80" s="368" t="s">
        <v>247</v>
      </c>
      <c r="H80" s="370">
        <v>561331</v>
      </c>
      <c r="I80" s="368" t="s">
        <v>240</v>
      </c>
      <c r="J80" s="370">
        <v>87050</v>
      </c>
    </row>
    <row r="81" spans="1:10">
      <c r="A81" s="13">
        <v>2</v>
      </c>
      <c r="B81" s="368" t="s">
        <v>461</v>
      </c>
      <c r="C81" s="370">
        <v>593705</v>
      </c>
      <c r="D81" s="368" t="s">
        <v>11</v>
      </c>
      <c r="E81" s="370">
        <v>499548</v>
      </c>
      <c r="G81" s="368" t="s">
        <v>16</v>
      </c>
      <c r="H81" s="370">
        <v>279244</v>
      </c>
      <c r="I81" s="368" t="s">
        <v>467</v>
      </c>
      <c r="J81" s="370">
        <v>23564</v>
      </c>
    </row>
    <row r="82" spans="1:10">
      <c r="A82" s="13">
        <v>3</v>
      </c>
      <c r="B82" s="368" t="s">
        <v>463</v>
      </c>
      <c r="C82" s="370">
        <v>273755</v>
      </c>
      <c r="D82" s="368" t="s">
        <v>462</v>
      </c>
      <c r="E82" s="370">
        <v>29599</v>
      </c>
      <c r="G82" s="368" t="s">
        <v>240</v>
      </c>
      <c r="H82" s="370">
        <v>242544</v>
      </c>
      <c r="I82" s="368" t="s">
        <v>385</v>
      </c>
      <c r="J82" s="370">
        <v>12816</v>
      </c>
    </row>
    <row r="83" spans="1:10">
      <c r="A83" s="13">
        <v>4</v>
      </c>
      <c r="B83" s="368" t="s">
        <v>240</v>
      </c>
      <c r="C83" s="370">
        <v>236961</v>
      </c>
      <c r="D83" s="368" t="s">
        <v>385</v>
      </c>
      <c r="E83" s="370">
        <v>14106</v>
      </c>
      <c r="G83" s="368" t="s">
        <v>463</v>
      </c>
      <c r="H83" s="370">
        <v>225790</v>
      </c>
      <c r="I83" s="368" t="s">
        <v>463</v>
      </c>
      <c r="J83" s="370">
        <v>3970</v>
      </c>
    </row>
    <row r="84" spans="1:10">
      <c r="A84" s="13">
        <v>5</v>
      </c>
      <c r="B84" s="368" t="s">
        <v>246</v>
      </c>
      <c r="C84" s="370">
        <v>193869</v>
      </c>
      <c r="D84" s="368" t="s">
        <v>270</v>
      </c>
      <c r="E84" s="370">
        <v>5165</v>
      </c>
      <c r="G84" s="368" t="s">
        <v>461</v>
      </c>
      <c r="H84" s="370">
        <v>210104</v>
      </c>
      <c r="I84" s="368" t="s">
        <v>16</v>
      </c>
      <c r="J84" s="370">
        <v>2324</v>
      </c>
    </row>
    <row r="85" spans="1:10">
      <c r="A85" s="13">
        <v>6</v>
      </c>
      <c r="B85" s="368" t="s">
        <v>11</v>
      </c>
      <c r="C85" s="370">
        <v>118915</v>
      </c>
      <c r="D85" s="368" t="s">
        <v>463</v>
      </c>
      <c r="E85" s="370">
        <v>1969</v>
      </c>
      <c r="G85" s="368" t="s">
        <v>246</v>
      </c>
      <c r="H85" s="370">
        <v>201968</v>
      </c>
      <c r="I85" s="368" t="s">
        <v>11</v>
      </c>
      <c r="J85" s="370">
        <v>1830</v>
      </c>
    </row>
    <row r="86" spans="1:10">
      <c r="A86" s="13">
        <v>7</v>
      </c>
      <c r="B86" s="368" t="s">
        <v>462</v>
      </c>
      <c r="C86" s="370">
        <v>83571</v>
      </c>
      <c r="D86" s="368" t="s">
        <v>465</v>
      </c>
      <c r="E86" s="370">
        <v>420</v>
      </c>
      <c r="G86" s="368" t="s">
        <v>10</v>
      </c>
      <c r="H86" s="370">
        <v>157391</v>
      </c>
      <c r="I86" s="371" t="s">
        <v>465</v>
      </c>
      <c r="J86" s="370">
        <v>1776</v>
      </c>
    </row>
    <row r="87" spans="1:10">
      <c r="A87" s="13">
        <v>8</v>
      </c>
      <c r="B87" s="368" t="s">
        <v>386</v>
      </c>
      <c r="C87" s="370">
        <v>68981</v>
      </c>
      <c r="D87" s="368"/>
      <c r="E87" s="370"/>
      <c r="G87" s="368" t="s">
        <v>248</v>
      </c>
      <c r="H87" s="370">
        <v>100290</v>
      </c>
      <c r="I87" s="368" t="s">
        <v>248</v>
      </c>
      <c r="J87" s="370">
        <v>1517</v>
      </c>
    </row>
    <row r="88" spans="1:10">
      <c r="A88" s="13">
        <v>9</v>
      </c>
      <c r="B88" s="368" t="s">
        <v>248</v>
      </c>
      <c r="C88" s="370">
        <v>60136</v>
      </c>
      <c r="D88" s="368"/>
      <c r="E88" s="370"/>
      <c r="G88" s="368" t="s">
        <v>385</v>
      </c>
      <c r="H88" s="370">
        <v>77729</v>
      </c>
      <c r="I88" s="368" t="s">
        <v>247</v>
      </c>
      <c r="J88" s="370">
        <v>1195</v>
      </c>
    </row>
    <row r="89" spans="1:10">
      <c r="A89" s="13">
        <v>10</v>
      </c>
      <c r="B89" s="368" t="s">
        <v>10</v>
      </c>
      <c r="C89" s="370">
        <v>59458</v>
      </c>
      <c r="D89" s="368"/>
      <c r="E89" s="370"/>
      <c r="G89" s="368" t="s">
        <v>12</v>
      </c>
      <c r="H89" s="370">
        <v>62072</v>
      </c>
      <c r="I89" s="368"/>
      <c r="J89" s="370"/>
    </row>
    <row r="90" spans="1:10">
      <c r="B90" s="368" t="s">
        <v>105</v>
      </c>
      <c r="C90" s="370">
        <f>C91-SUM(C80:C89)</f>
        <v>426018</v>
      </c>
      <c r="D90" s="368" t="s">
        <v>105</v>
      </c>
      <c r="E90" s="370">
        <f>E91-SUM(E79:E89)</f>
        <v>0</v>
      </c>
      <c r="G90" s="368" t="s">
        <v>444</v>
      </c>
      <c r="H90" s="370">
        <f>H91-SUM(H79:H89)</f>
        <v>578438</v>
      </c>
      <c r="I90" s="368" t="s">
        <v>105</v>
      </c>
      <c r="J90" s="370">
        <f>J91-SUM(J79:J89)</f>
        <v>0</v>
      </c>
    </row>
    <row r="91" spans="1:10">
      <c r="B91" s="368" t="s">
        <v>106</v>
      </c>
      <c r="C91" s="370">
        <v>2961140</v>
      </c>
      <c r="D91" s="368" t="s">
        <v>106</v>
      </c>
      <c r="E91" s="370">
        <v>1102894</v>
      </c>
      <c r="G91" s="368" t="s">
        <v>106</v>
      </c>
      <c r="H91" s="370">
        <v>2696901</v>
      </c>
      <c r="I91" s="368" t="s">
        <v>106</v>
      </c>
      <c r="J91" s="370">
        <v>136042</v>
      </c>
    </row>
    <row r="93" spans="1:10">
      <c r="B93" s="473" t="s">
        <v>445</v>
      </c>
      <c r="G93" s="55" t="s">
        <v>402</v>
      </c>
    </row>
    <row r="94" spans="1:10">
      <c r="B94" s="30" t="s">
        <v>101</v>
      </c>
      <c r="C94" s="366" t="s">
        <v>102</v>
      </c>
      <c r="D94" s="30" t="s">
        <v>103</v>
      </c>
      <c r="E94" s="366" t="s">
        <v>104</v>
      </c>
      <c r="G94" s="30" t="s">
        <v>101</v>
      </c>
      <c r="H94" s="366" t="s">
        <v>102</v>
      </c>
      <c r="I94" s="30" t="s">
        <v>103</v>
      </c>
      <c r="J94" s="366" t="s">
        <v>104</v>
      </c>
    </row>
    <row r="95" spans="1:10">
      <c r="A95" s="13">
        <v>1</v>
      </c>
      <c r="B95" s="368" t="s">
        <v>247</v>
      </c>
      <c r="C95" s="370">
        <v>2595026</v>
      </c>
      <c r="D95" s="371" t="s">
        <v>385</v>
      </c>
      <c r="E95" s="370">
        <v>1170286</v>
      </c>
      <c r="G95" s="368" t="s">
        <v>246</v>
      </c>
      <c r="H95" s="370">
        <v>520659</v>
      </c>
      <c r="I95" s="368" t="s">
        <v>385</v>
      </c>
      <c r="J95" s="370">
        <v>308287</v>
      </c>
    </row>
    <row r="96" spans="1:10">
      <c r="A96" s="13">
        <v>2</v>
      </c>
      <c r="B96" s="368" t="s">
        <v>240</v>
      </c>
      <c r="C96" s="370">
        <v>895870</v>
      </c>
      <c r="D96" s="371" t="s">
        <v>240</v>
      </c>
      <c r="E96" s="370">
        <v>817270</v>
      </c>
      <c r="G96" s="368" t="s">
        <v>240</v>
      </c>
      <c r="H96" s="370">
        <v>250096</v>
      </c>
      <c r="I96" s="368" t="s">
        <v>13</v>
      </c>
      <c r="J96" s="370">
        <v>82827</v>
      </c>
    </row>
    <row r="97" spans="1:15">
      <c r="A97" s="13">
        <v>3</v>
      </c>
      <c r="B97" s="368" t="s">
        <v>461</v>
      </c>
      <c r="C97" s="370">
        <v>752227</v>
      </c>
      <c r="D97" s="371" t="s">
        <v>467</v>
      </c>
      <c r="E97" s="370">
        <v>793545</v>
      </c>
      <c r="G97" s="368" t="s">
        <v>464</v>
      </c>
      <c r="H97" s="370">
        <v>96998</v>
      </c>
      <c r="I97" s="368" t="s">
        <v>240</v>
      </c>
      <c r="J97" s="370">
        <v>79692</v>
      </c>
    </row>
    <row r="98" spans="1:15">
      <c r="A98" s="13">
        <v>4</v>
      </c>
      <c r="B98" s="368" t="s">
        <v>246</v>
      </c>
      <c r="C98" s="370">
        <v>587445</v>
      </c>
      <c r="D98" s="371" t="s">
        <v>465</v>
      </c>
      <c r="E98" s="370">
        <v>176953</v>
      </c>
      <c r="G98" s="368" t="s">
        <v>462</v>
      </c>
      <c r="H98" s="370">
        <v>90415</v>
      </c>
      <c r="I98" s="371" t="s">
        <v>482</v>
      </c>
      <c r="J98" s="370">
        <v>5422</v>
      </c>
    </row>
    <row r="99" spans="1:15">
      <c r="A99" s="13">
        <v>5</v>
      </c>
      <c r="B99" s="368" t="s">
        <v>464</v>
      </c>
      <c r="C99" s="370">
        <v>455292</v>
      </c>
      <c r="D99" s="371" t="s">
        <v>250</v>
      </c>
      <c r="E99" s="370">
        <v>104970</v>
      </c>
      <c r="G99" s="368" t="s">
        <v>23</v>
      </c>
      <c r="H99" s="370">
        <v>78115</v>
      </c>
      <c r="I99" s="371" t="s">
        <v>181</v>
      </c>
      <c r="J99" s="370">
        <v>775</v>
      </c>
    </row>
    <row r="100" spans="1:15">
      <c r="A100" s="13">
        <v>6</v>
      </c>
      <c r="B100" s="368" t="s">
        <v>462</v>
      </c>
      <c r="C100" s="370">
        <v>391705</v>
      </c>
      <c r="D100" s="371" t="s">
        <v>11</v>
      </c>
      <c r="E100" s="370">
        <v>45416</v>
      </c>
      <c r="G100" s="368" t="s">
        <v>386</v>
      </c>
      <c r="H100" s="370">
        <v>68303</v>
      </c>
      <c r="I100" s="368"/>
      <c r="J100" s="370"/>
    </row>
    <row r="101" spans="1:15">
      <c r="A101" s="13">
        <v>7</v>
      </c>
      <c r="B101" s="368" t="s">
        <v>463</v>
      </c>
      <c r="C101" s="370">
        <v>275500</v>
      </c>
      <c r="D101" s="371" t="s">
        <v>471</v>
      </c>
      <c r="E101" s="370">
        <v>19529</v>
      </c>
      <c r="G101" s="368" t="s">
        <v>463</v>
      </c>
      <c r="H101" s="370">
        <v>68044</v>
      </c>
      <c r="I101" s="368"/>
      <c r="J101" s="370"/>
    </row>
    <row r="102" spans="1:15">
      <c r="A102" s="13">
        <v>8</v>
      </c>
      <c r="B102" s="368" t="s">
        <v>10</v>
      </c>
      <c r="C102" s="370">
        <v>267756</v>
      </c>
      <c r="D102" s="371" t="s">
        <v>470</v>
      </c>
      <c r="E102" s="370">
        <v>9490</v>
      </c>
      <c r="G102" s="368" t="s">
        <v>461</v>
      </c>
      <c r="H102" s="370">
        <v>52775</v>
      </c>
      <c r="I102" s="368"/>
      <c r="J102" s="370"/>
    </row>
    <row r="103" spans="1:15">
      <c r="A103" s="13">
        <v>9</v>
      </c>
      <c r="B103" s="368" t="s">
        <v>466</v>
      </c>
      <c r="C103" s="370">
        <v>219657</v>
      </c>
      <c r="D103" s="371" t="s">
        <v>247</v>
      </c>
      <c r="E103" s="370">
        <v>290</v>
      </c>
      <c r="G103" s="368" t="s">
        <v>481</v>
      </c>
      <c r="H103" s="370">
        <v>47289</v>
      </c>
      <c r="I103" s="368"/>
      <c r="J103" s="370"/>
    </row>
    <row r="104" spans="1:15">
      <c r="A104" s="13">
        <v>10</v>
      </c>
      <c r="B104" s="368" t="s">
        <v>7</v>
      </c>
      <c r="C104" s="370">
        <v>163751</v>
      </c>
      <c r="D104" s="371"/>
      <c r="E104" s="370"/>
      <c r="G104" s="368" t="s">
        <v>470</v>
      </c>
      <c r="H104" s="370">
        <v>35442</v>
      </c>
      <c r="I104" s="368"/>
      <c r="J104" s="370"/>
    </row>
    <row r="105" spans="1:15">
      <c r="B105" s="368" t="s">
        <v>105</v>
      </c>
      <c r="C105" s="370">
        <f>C106-SUM(C94:C104)</f>
        <v>935959</v>
      </c>
      <c r="D105" s="368" t="s">
        <v>105</v>
      </c>
      <c r="E105" s="370">
        <f>E106-SUM(E94:E104)</f>
        <v>0</v>
      </c>
      <c r="G105" s="371" t="s">
        <v>422</v>
      </c>
      <c r="H105" s="370">
        <f>H106-SUM(H94:H104)</f>
        <v>287348</v>
      </c>
      <c r="I105" s="368" t="s">
        <v>105</v>
      </c>
      <c r="J105" s="370">
        <f>J106-SUM(J94:J104)</f>
        <v>0</v>
      </c>
    </row>
    <row r="106" spans="1:15">
      <c r="B106" s="368" t="s">
        <v>106</v>
      </c>
      <c r="C106" s="370">
        <v>7540188</v>
      </c>
      <c r="D106" s="368" t="s">
        <v>106</v>
      </c>
      <c r="E106" s="370">
        <v>3137749</v>
      </c>
      <c r="G106" s="368" t="s">
        <v>106</v>
      </c>
      <c r="H106" s="370">
        <v>1595484</v>
      </c>
      <c r="I106" s="368" t="s">
        <v>106</v>
      </c>
      <c r="J106" s="370">
        <v>477003</v>
      </c>
    </row>
    <row r="108" spans="1:15">
      <c r="B108" s="473" t="s">
        <v>446</v>
      </c>
      <c r="G108" s="267" t="s">
        <v>447</v>
      </c>
      <c r="L108" s="5"/>
      <c r="M108" s="5"/>
      <c r="N108" s="5"/>
      <c r="O108" s="5"/>
    </row>
    <row r="109" spans="1:15">
      <c r="B109" s="30" t="s">
        <v>101</v>
      </c>
      <c r="C109" s="366" t="s">
        <v>102</v>
      </c>
      <c r="D109" s="30" t="s">
        <v>103</v>
      </c>
      <c r="E109" s="366" t="s">
        <v>104</v>
      </c>
      <c r="G109" s="30" t="s">
        <v>101</v>
      </c>
      <c r="H109" s="366" t="s">
        <v>102</v>
      </c>
      <c r="I109" s="30" t="s">
        <v>103</v>
      </c>
      <c r="J109" s="366" t="s">
        <v>104</v>
      </c>
      <c r="L109" s="5"/>
      <c r="M109" s="5"/>
      <c r="N109" s="5"/>
      <c r="O109" s="5"/>
    </row>
    <row r="110" spans="1:15">
      <c r="A110" s="13">
        <v>1</v>
      </c>
      <c r="B110" s="474" t="s">
        <v>247</v>
      </c>
      <c r="C110" s="370">
        <v>2099774</v>
      </c>
      <c r="D110" s="371" t="s">
        <v>385</v>
      </c>
      <c r="E110" s="370">
        <v>3507553</v>
      </c>
      <c r="G110" s="368" t="s">
        <v>247</v>
      </c>
      <c r="H110" s="370">
        <v>1559428</v>
      </c>
      <c r="I110" s="371" t="s">
        <v>385</v>
      </c>
      <c r="J110" s="370">
        <v>914074</v>
      </c>
      <c r="L110" s="5"/>
      <c r="M110" s="5"/>
      <c r="N110" s="5"/>
      <c r="O110" s="5"/>
    </row>
    <row r="111" spans="1:15">
      <c r="A111" s="13">
        <v>2</v>
      </c>
      <c r="B111" s="474" t="s">
        <v>240</v>
      </c>
      <c r="C111" s="370">
        <v>1627759</v>
      </c>
      <c r="D111" s="368" t="s">
        <v>465</v>
      </c>
      <c r="E111" s="370">
        <v>1029150</v>
      </c>
      <c r="G111" s="368" t="s">
        <v>240</v>
      </c>
      <c r="H111" s="370">
        <v>888508</v>
      </c>
      <c r="I111" s="371" t="s">
        <v>470</v>
      </c>
      <c r="J111" s="370">
        <v>163179</v>
      </c>
      <c r="L111" s="5"/>
      <c r="M111" s="5"/>
      <c r="N111" s="5"/>
      <c r="O111" s="5"/>
    </row>
    <row r="112" spans="1:15">
      <c r="A112" s="13">
        <v>3</v>
      </c>
      <c r="B112" s="474" t="s">
        <v>461</v>
      </c>
      <c r="C112" s="370">
        <v>1582925</v>
      </c>
      <c r="D112" s="371" t="s">
        <v>180</v>
      </c>
      <c r="E112" s="370">
        <v>606910</v>
      </c>
      <c r="G112" s="368" t="s">
        <v>246</v>
      </c>
      <c r="H112" s="370">
        <v>718495</v>
      </c>
      <c r="I112" s="371" t="s">
        <v>240</v>
      </c>
      <c r="J112" s="370">
        <v>119337</v>
      </c>
      <c r="L112" s="5"/>
      <c r="M112" s="5"/>
      <c r="N112" s="5"/>
      <c r="O112" s="5"/>
    </row>
    <row r="113" spans="1:15">
      <c r="A113" s="13">
        <v>4</v>
      </c>
      <c r="B113" s="474" t="s">
        <v>246</v>
      </c>
      <c r="C113" s="370">
        <v>980052</v>
      </c>
      <c r="D113" s="371" t="s">
        <v>168</v>
      </c>
      <c r="E113" s="370">
        <v>263816</v>
      </c>
      <c r="G113" s="368" t="s">
        <v>461</v>
      </c>
      <c r="H113" s="370">
        <v>547612</v>
      </c>
      <c r="I113" s="371" t="s">
        <v>461</v>
      </c>
      <c r="J113" s="370">
        <v>60554</v>
      </c>
      <c r="L113" s="5"/>
      <c r="M113" s="5"/>
      <c r="N113" s="5"/>
      <c r="O113" s="5"/>
    </row>
    <row r="114" spans="1:15">
      <c r="A114" s="13">
        <v>5</v>
      </c>
      <c r="B114" s="474" t="s">
        <v>10</v>
      </c>
      <c r="C114" s="370">
        <v>498321</v>
      </c>
      <c r="D114" s="368" t="s">
        <v>11</v>
      </c>
      <c r="E114" s="370">
        <v>33312</v>
      </c>
      <c r="G114" s="368" t="s">
        <v>462</v>
      </c>
      <c r="H114" s="370">
        <v>520465</v>
      </c>
      <c r="I114" s="371" t="s">
        <v>467</v>
      </c>
      <c r="J114" s="370">
        <v>48999</v>
      </c>
      <c r="L114" s="5"/>
      <c r="M114" s="5"/>
      <c r="N114" s="5"/>
      <c r="O114" s="5"/>
    </row>
    <row r="115" spans="1:15">
      <c r="A115" s="13">
        <v>6</v>
      </c>
      <c r="B115" s="474" t="s">
        <v>464</v>
      </c>
      <c r="C115" s="370">
        <v>350420</v>
      </c>
      <c r="D115" s="368"/>
      <c r="E115" s="370"/>
      <c r="G115" s="368" t="s">
        <v>12</v>
      </c>
      <c r="H115" s="370">
        <v>309684</v>
      </c>
      <c r="I115" s="371" t="s">
        <v>11</v>
      </c>
      <c r="J115" s="370">
        <v>30375</v>
      </c>
      <c r="L115" s="5"/>
      <c r="M115" s="5"/>
      <c r="N115" s="5"/>
      <c r="O115" s="5"/>
    </row>
    <row r="116" spans="1:15">
      <c r="A116" s="13">
        <v>7</v>
      </c>
      <c r="B116" s="474" t="s">
        <v>462</v>
      </c>
      <c r="C116" s="370">
        <v>279340</v>
      </c>
      <c r="D116" s="368"/>
      <c r="E116" s="370"/>
      <c r="G116" s="368" t="s">
        <v>10</v>
      </c>
      <c r="H116" s="370">
        <v>300453</v>
      </c>
      <c r="I116" s="371" t="s">
        <v>465</v>
      </c>
      <c r="J116" s="370">
        <v>10232</v>
      </c>
      <c r="L116" s="5"/>
      <c r="M116" s="5"/>
      <c r="N116" s="5"/>
      <c r="O116" s="5"/>
    </row>
    <row r="117" spans="1:15">
      <c r="A117" s="13">
        <v>8</v>
      </c>
      <c r="B117" s="474" t="s">
        <v>12</v>
      </c>
      <c r="C117" s="370">
        <v>231892</v>
      </c>
      <c r="D117" s="368"/>
      <c r="E117" s="370"/>
      <c r="G117" s="368" t="s">
        <v>464</v>
      </c>
      <c r="H117" s="370">
        <v>298773</v>
      </c>
      <c r="I117" s="371" t="s">
        <v>12</v>
      </c>
      <c r="J117" s="370">
        <v>8457</v>
      </c>
      <c r="L117" s="5"/>
      <c r="M117" s="5"/>
      <c r="N117" s="5"/>
      <c r="O117" s="5"/>
    </row>
    <row r="118" spans="1:15">
      <c r="A118" s="13">
        <v>9</v>
      </c>
      <c r="B118" s="474" t="s">
        <v>258</v>
      </c>
      <c r="C118" s="370">
        <v>202453</v>
      </c>
      <c r="D118" s="368"/>
      <c r="E118" s="370"/>
      <c r="G118" s="368" t="s">
        <v>480</v>
      </c>
      <c r="H118" s="370">
        <v>176468</v>
      </c>
      <c r="I118" s="371" t="s">
        <v>257</v>
      </c>
      <c r="J118" s="370">
        <v>2582</v>
      </c>
      <c r="L118" s="5"/>
      <c r="M118" s="5"/>
      <c r="N118" s="5"/>
      <c r="O118" s="5"/>
    </row>
    <row r="119" spans="1:15">
      <c r="A119" s="13">
        <v>10</v>
      </c>
      <c r="B119" s="474" t="s">
        <v>298</v>
      </c>
      <c r="C119" s="370">
        <v>140478</v>
      </c>
      <c r="D119" s="368"/>
      <c r="E119" s="370"/>
      <c r="G119" s="368" t="s">
        <v>11</v>
      </c>
      <c r="H119" s="370">
        <v>164299</v>
      </c>
      <c r="I119" s="371" t="s">
        <v>250</v>
      </c>
      <c r="J119" s="370">
        <v>1259</v>
      </c>
      <c r="L119" s="5"/>
      <c r="M119" s="5"/>
      <c r="N119" s="5"/>
      <c r="O119" s="5"/>
    </row>
    <row r="120" spans="1:15">
      <c r="B120" s="368" t="s">
        <v>105</v>
      </c>
      <c r="C120" s="370">
        <f>C121-SUM(C109:C119)</f>
        <v>1032858</v>
      </c>
      <c r="D120" s="368" t="s">
        <v>105</v>
      </c>
      <c r="E120" s="370">
        <f>E121-SUM(E109:E119)</f>
        <v>0</v>
      </c>
      <c r="G120" s="368" t="s">
        <v>422</v>
      </c>
      <c r="H120" s="370">
        <f>H121-SUM(H109:H119)</f>
        <v>1248549</v>
      </c>
      <c r="I120" s="373" t="s">
        <v>105</v>
      </c>
      <c r="J120" s="370">
        <f>J121-SUM(J109:J119)</f>
        <v>1707</v>
      </c>
      <c r="L120" s="5"/>
      <c r="M120" s="5"/>
      <c r="N120" s="5"/>
      <c r="O120" s="5"/>
    </row>
    <row r="121" spans="1:15">
      <c r="B121" s="368" t="s">
        <v>106</v>
      </c>
      <c r="C121" s="370">
        <v>9026272</v>
      </c>
      <c r="D121" s="368" t="s">
        <v>106</v>
      </c>
      <c r="E121" s="370">
        <v>5440741</v>
      </c>
      <c r="G121" s="368" t="s">
        <v>106</v>
      </c>
      <c r="H121" s="370">
        <v>6732734</v>
      </c>
      <c r="I121" s="368" t="s">
        <v>106</v>
      </c>
      <c r="J121" s="370">
        <v>1360755</v>
      </c>
    </row>
    <row r="122" spans="1:15">
      <c r="G122" s="5"/>
      <c r="H122" s="97"/>
      <c r="I122" s="5"/>
      <c r="J122" s="97"/>
    </row>
    <row r="123" spans="1:15">
      <c r="B123" s="473" t="s">
        <v>448</v>
      </c>
      <c r="G123" s="55" t="s">
        <v>449</v>
      </c>
    </row>
    <row r="124" spans="1:15">
      <c r="B124" s="30" t="s">
        <v>101</v>
      </c>
      <c r="C124" s="366" t="s">
        <v>102</v>
      </c>
      <c r="D124" s="30" t="s">
        <v>103</v>
      </c>
      <c r="E124" s="366" t="s">
        <v>104</v>
      </c>
      <c r="G124" s="30" t="s">
        <v>101</v>
      </c>
      <c r="H124" s="366" t="s">
        <v>102</v>
      </c>
      <c r="I124" s="30" t="s">
        <v>103</v>
      </c>
      <c r="J124" s="366" t="s">
        <v>104</v>
      </c>
    </row>
    <row r="125" spans="1:15">
      <c r="A125" s="13">
        <v>1</v>
      </c>
      <c r="B125" s="368" t="s">
        <v>247</v>
      </c>
      <c r="C125" s="370">
        <v>158974</v>
      </c>
      <c r="D125" s="371" t="s">
        <v>462</v>
      </c>
      <c r="E125" s="370">
        <v>73661</v>
      </c>
      <c r="G125" s="368" t="s">
        <v>247</v>
      </c>
      <c r="H125" s="370">
        <v>770368</v>
      </c>
      <c r="I125" s="371" t="s">
        <v>240</v>
      </c>
      <c r="J125" s="370">
        <v>139634</v>
      </c>
    </row>
    <row r="126" spans="1:15">
      <c r="A126" s="13">
        <v>2</v>
      </c>
      <c r="B126" s="368" t="s">
        <v>240</v>
      </c>
      <c r="C126" s="370">
        <v>33248</v>
      </c>
      <c r="D126" s="371" t="s">
        <v>170</v>
      </c>
      <c r="E126" s="370">
        <v>38767</v>
      </c>
      <c r="G126" s="368" t="s">
        <v>259</v>
      </c>
      <c r="H126" s="370">
        <v>264847</v>
      </c>
      <c r="I126" s="371" t="s">
        <v>181</v>
      </c>
      <c r="J126" s="370">
        <v>19723</v>
      </c>
    </row>
    <row r="127" spans="1:15">
      <c r="A127" s="13">
        <v>3</v>
      </c>
      <c r="B127" s="368" t="s">
        <v>8</v>
      </c>
      <c r="C127" s="370">
        <v>29632</v>
      </c>
      <c r="D127" s="368" t="s">
        <v>240</v>
      </c>
      <c r="E127" s="370">
        <v>3067</v>
      </c>
      <c r="G127" s="368" t="s">
        <v>464</v>
      </c>
      <c r="H127" s="370">
        <v>247644</v>
      </c>
      <c r="I127" s="371" t="s">
        <v>519</v>
      </c>
      <c r="J127" s="370">
        <v>3486</v>
      </c>
    </row>
    <row r="128" spans="1:15">
      <c r="A128" s="13">
        <v>4</v>
      </c>
      <c r="B128" s="368" t="s">
        <v>461</v>
      </c>
      <c r="C128" s="370">
        <v>23273</v>
      </c>
      <c r="D128" s="368"/>
      <c r="E128" s="370"/>
      <c r="G128" s="368" t="s">
        <v>246</v>
      </c>
      <c r="H128" s="370">
        <v>136314</v>
      </c>
      <c r="I128" s="368"/>
      <c r="J128" s="370"/>
    </row>
    <row r="129" spans="1:15">
      <c r="A129" s="13">
        <v>5</v>
      </c>
      <c r="B129" s="368" t="s">
        <v>7</v>
      </c>
      <c r="C129" s="370">
        <v>9393</v>
      </c>
      <c r="D129" s="368"/>
      <c r="E129" s="370"/>
      <c r="G129" s="368" t="s">
        <v>461</v>
      </c>
      <c r="H129" s="370">
        <v>131795</v>
      </c>
      <c r="I129" s="368"/>
      <c r="J129" s="370"/>
    </row>
    <row r="130" spans="1:15">
      <c r="A130" s="13">
        <v>6</v>
      </c>
      <c r="B130" s="368" t="s">
        <v>463</v>
      </c>
      <c r="C130" s="370">
        <v>8974</v>
      </c>
      <c r="D130" s="368"/>
      <c r="E130" s="370"/>
      <c r="G130" s="368" t="s">
        <v>10</v>
      </c>
      <c r="H130" s="370">
        <v>131019</v>
      </c>
      <c r="I130" s="368"/>
      <c r="J130" s="370"/>
    </row>
    <row r="131" spans="1:15">
      <c r="A131" s="13">
        <v>7</v>
      </c>
      <c r="B131" s="371" t="s">
        <v>11</v>
      </c>
      <c r="C131" s="370">
        <v>7004</v>
      </c>
      <c r="D131" s="368"/>
      <c r="E131" s="370"/>
      <c r="G131" s="368" t="s">
        <v>271</v>
      </c>
      <c r="H131" s="370">
        <v>128018</v>
      </c>
      <c r="I131" s="368"/>
      <c r="J131" s="370"/>
    </row>
    <row r="132" spans="1:15">
      <c r="A132" s="13">
        <v>8</v>
      </c>
      <c r="B132" s="368" t="s">
        <v>469</v>
      </c>
      <c r="C132" s="370">
        <v>5520</v>
      </c>
      <c r="D132" s="368"/>
      <c r="E132" s="370"/>
      <c r="G132" s="368" t="s">
        <v>462</v>
      </c>
      <c r="H132" s="370">
        <v>100128</v>
      </c>
      <c r="I132" s="368"/>
      <c r="J132" s="370"/>
    </row>
    <row r="133" spans="1:15">
      <c r="A133" s="13">
        <v>9</v>
      </c>
      <c r="B133" s="368" t="s">
        <v>298</v>
      </c>
      <c r="C133" s="370">
        <v>4067</v>
      </c>
      <c r="D133" s="368"/>
      <c r="E133" s="370"/>
      <c r="G133" s="368" t="s">
        <v>7</v>
      </c>
      <c r="H133" s="370">
        <v>84312</v>
      </c>
      <c r="I133" s="368"/>
      <c r="J133" s="370"/>
    </row>
    <row r="134" spans="1:15">
      <c r="A134" s="13">
        <v>10</v>
      </c>
      <c r="B134" s="368" t="s">
        <v>24</v>
      </c>
      <c r="C134" s="370">
        <v>3680</v>
      </c>
      <c r="D134" s="94"/>
      <c r="E134" s="27"/>
      <c r="G134" s="368" t="s">
        <v>240</v>
      </c>
      <c r="H134" s="370">
        <v>73789</v>
      </c>
      <c r="I134" s="368"/>
      <c r="J134" s="370"/>
    </row>
    <row r="135" spans="1:15">
      <c r="B135" s="371" t="s">
        <v>422</v>
      </c>
      <c r="C135" s="370">
        <f>C136-SUM(C125:C134)</f>
        <v>14590</v>
      </c>
      <c r="D135" s="368" t="s">
        <v>105</v>
      </c>
      <c r="E135" s="370">
        <f>E136-SUM(E125:E134)</f>
        <v>0</v>
      </c>
      <c r="G135" s="368" t="s">
        <v>105</v>
      </c>
      <c r="H135" s="370">
        <f>H136-SUM(H125:H134)</f>
        <v>483120</v>
      </c>
      <c r="I135" s="368" t="s">
        <v>105</v>
      </c>
      <c r="J135" s="370">
        <f>J136-SUM(J125:J134)</f>
        <v>0</v>
      </c>
    </row>
    <row r="136" spans="1:15">
      <c r="B136" s="368" t="s">
        <v>106</v>
      </c>
      <c r="C136" s="370">
        <v>298355</v>
      </c>
      <c r="D136" s="368" t="s">
        <v>106</v>
      </c>
      <c r="E136" s="370">
        <v>115495</v>
      </c>
      <c r="G136" s="368" t="s">
        <v>106</v>
      </c>
      <c r="H136" s="370">
        <v>2551354</v>
      </c>
      <c r="I136" s="368" t="s">
        <v>106</v>
      </c>
      <c r="J136" s="370">
        <v>162843</v>
      </c>
    </row>
    <row r="138" spans="1:15">
      <c r="B138" s="55" t="s">
        <v>450</v>
      </c>
      <c r="G138" s="473" t="s">
        <v>430</v>
      </c>
      <c r="L138" s="5"/>
      <c r="M138" s="5"/>
      <c r="N138" s="5"/>
      <c r="O138" s="5"/>
    </row>
    <row r="139" spans="1:15">
      <c r="B139" s="30" t="s">
        <v>101</v>
      </c>
      <c r="C139" s="366" t="s">
        <v>102</v>
      </c>
      <c r="D139" s="30" t="s">
        <v>103</v>
      </c>
      <c r="E139" s="366" t="s">
        <v>104</v>
      </c>
      <c r="G139" s="30" t="s">
        <v>101</v>
      </c>
      <c r="H139" s="366" t="s">
        <v>102</v>
      </c>
      <c r="I139" s="30" t="s">
        <v>103</v>
      </c>
      <c r="J139" s="366" t="s">
        <v>104</v>
      </c>
      <c r="L139" s="5"/>
      <c r="M139" s="5"/>
      <c r="N139" s="5"/>
      <c r="O139" s="5"/>
    </row>
    <row r="140" spans="1:15">
      <c r="A140" s="13">
        <v>1</v>
      </c>
      <c r="B140" s="371" t="s">
        <v>247</v>
      </c>
      <c r="C140" s="370">
        <v>917911</v>
      </c>
      <c r="D140" s="368" t="s">
        <v>240</v>
      </c>
      <c r="E140" s="370">
        <v>1103382</v>
      </c>
      <c r="G140" s="368" t="s">
        <v>247</v>
      </c>
      <c r="H140" s="370">
        <v>1058747</v>
      </c>
      <c r="I140" s="368" t="s">
        <v>240</v>
      </c>
      <c r="J140" s="370">
        <v>1509511</v>
      </c>
      <c r="L140" s="5"/>
      <c r="M140" s="5"/>
      <c r="N140" s="5"/>
      <c r="O140" s="5"/>
    </row>
    <row r="141" spans="1:15">
      <c r="A141" s="13">
        <v>2</v>
      </c>
      <c r="B141" s="371" t="s">
        <v>246</v>
      </c>
      <c r="C141" s="370">
        <v>715654</v>
      </c>
      <c r="D141" s="368" t="s">
        <v>470</v>
      </c>
      <c r="E141" s="370">
        <v>6811</v>
      </c>
      <c r="G141" s="368" t="s">
        <v>246</v>
      </c>
      <c r="H141" s="370">
        <v>537316</v>
      </c>
      <c r="I141" s="368" t="s">
        <v>462</v>
      </c>
      <c r="J141" s="370">
        <v>368592</v>
      </c>
      <c r="L141" s="5"/>
      <c r="M141" s="5"/>
      <c r="N141" s="5"/>
      <c r="O141" s="5"/>
    </row>
    <row r="142" spans="1:15">
      <c r="A142" s="13">
        <v>3</v>
      </c>
      <c r="B142" s="371" t="s">
        <v>271</v>
      </c>
      <c r="C142" s="370">
        <v>365752</v>
      </c>
      <c r="D142" s="368" t="s">
        <v>468</v>
      </c>
      <c r="E142" s="370">
        <v>4261</v>
      </c>
      <c r="G142" s="368" t="s">
        <v>240</v>
      </c>
      <c r="H142" s="370">
        <v>391832</v>
      </c>
      <c r="I142" s="368" t="s">
        <v>468</v>
      </c>
      <c r="J142" s="370">
        <v>48450</v>
      </c>
      <c r="L142" s="5"/>
      <c r="M142" s="5"/>
      <c r="N142" s="5"/>
      <c r="O142" s="5"/>
    </row>
    <row r="143" spans="1:15">
      <c r="A143" s="13">
        <v>4</v>
      </c>
      <c r="B143" s="371" t="s">
        <v>16</v>
      </c>
      <c r="C143" s="370">
        <v>334378</v>
      </c>
      <c r="D143" s="368" t="s">
        <v>462</v>
      </c>
      <c r="E143" s="370">
        <v>3938</v>
      </c>
      <c r="G143" s="368" t="s">
        <v>463</v>
      </c>
      <c r="H143" s="370">
        <v>350805</v>
      </c>
      <c r="I143" s="368" t="s">
        <v>464</v>
      </c>
      <c r="J143" s="370">
        <v>3970</v>
      </c>
      <c r="L143" s="5"/>
      <c r="M143" s="5"/>
      <c r="N143" s="5"/>
      <c r="O143" s="5"/>
    </row>
    <row r="144" spans="1:15">
      <c r="A144" s="13">
        <v>5</v>
      </c>
      <c r="B144" s="371" t="s">
        <v>464</v>
      </c>
      <c r="C144" s="370">
        <v>240348</v>
      </c>
      <c r="D144" s="368" t="s">
        <v>464</v>
      </c>
      <c r="E144" s="370">
        <v>1614</v>
      </c>
      <c r="G144" s="368" t="s">
        <v>461</v>
      </c>
      <c r="H144" s="370">
        <v>335087</v>
      </c>
      <c r="I144" s="368" t="s">
        <v>465</v>
      </c>
      <c r="J144" s="370">
        <v>1743</v>
      </c>
      <c r="L144" s="5"/>
      <c r="M144" s="5"/>
      <c r="N144" s="5"/>
      <c r="O144" s="5"/>
    </row>
    <row r="145" spans="1:15">
      <c r="A145" s="13">
        <v>6</v>
      </c>
      <c r="B145" s="371" t="s">
        <v>240</v>
      </c>
      <c r="C145" s="370">
        <v>205261</v>
      </c>
      <c r="D145" s="368" t="s">
        <v>465</v>
      </c>
      <c r="E145" s="370">
        <v>129</v>
      </c>
      <c r="G145" s="368" t="s">
        <v>10</v>
      </c>
      <c r="H145" s="370">
        <v>269238</v>
      </c>
      <c r="I145" s="368" t="s">
        <v>385</v>
      </c>
      <c r="J145" s="370">
        <v>452</v>
      </c>
      <c r="L145" s="5"/>
      <c r="M145" s="5"/>
      <c r="N145" s="5"/>
      <c r="O145" s="5"/>
    </row>
    <row r="146" spans="1:15">
      <c r="A146" s="13">
        <v>7</v>
      </c>
      <c r="B146" s="371" t="s">
        <v>461</v>
      </c>
      <c r="C146" s="370">
        <v>202810</v>
      </c>
      <c r="D146" s="368"/>
      <c r="E146" s="370"/>
      <c r="G146" s="368" t="s">
        <v>11</v>
      </c>
      <c r="H146" s="370">
        <v>184311</v>
      </c>
      <c r="I146" s="368" t="s">
        <v>11</v>
      </c>
      <c r="J146" s="370">
        <v>65</v>
      </c>
      <c r="L146" s="5"/>
      <c r="M146" s="5"/>
      <c r="N146" s="5"/>
      <c r="O146" s="5"/>
    </row>
    <row r="147" spans="1:15">
      <c r="A147" s="13">
        <v>8</v>
      </c>
      <c r="B147" s="371" t="s">
        <v>466</v>
      </c>
      <c r="C147" s="370">
        <v>198644</v>
      </c>
      <c r="D147" s="368"/>
      <c r="E147" s="370"/>
      <c r="G147" s="368" t="s">
        <v>469</v>
      </c>
      <c r="H147" s="370">
        <v>184022</v>
      </c>
      <c r="I147" s="368"/>
      <c r="J147" s="370"/>
      <c r="L147" s="5"/>
      <c r="M147" s="5"/>
      <c r="N147" s="5"/>
      <c r="O147" s="5"/>
    </row>
    <row r="148" spans="1:15">
      <c r="A148" s="13">
        <v>9</v>
      </c>
      <c r="B148" s="371" t="s">
        <v>462</v>
      </c>
      <c r="C148" s="370">
        <v>161975</v>
      </c>
      <c r="D148" s="368"/>
      <c r="E148" s="370"/>
      <c r="G148" s="368" t="s">
        <v>464</v>
      </c>
      <c r="H148" s="370">
        <v>166882</v>
      </c>
      <c r="I148" s="368"/>
      <c r="J148" s="370"/>
      <c r="L148" s="5"/>
      <c r="M148" s="5"/>
      <c r="N148" s="5"/>
      <c r="O148" s="5"/>
    </row>
    <row r="149" spans="1:15">
      <c r="A149" s="13">
        <v>10</v>
      </c>
      <c r="B149" s="371" t="s">
        <v>10</v>
      </c>
      <c r="C149" s="370">
        <v>151453</v>
      </c>
      <c r="D149" s="368"/>
      <c r="E149" s="370"/>
      <c r="G149" s="368" t="s">
        <v>248</v>
      </c>
      <c r="H149" s="370">
        <v>112073</v>
      </c>
      <c r="I149" s="368"/>
      <c r="J149" s="370"/>
      <c r="L149" s="5"/>
      <c r="M149" s="5"/>
      <c r="N149" s="5"/>
      <c r="O149" s="5"/>
    </row>
    <row r="150" spans="1:15">
      <c r="B150" s="368" t="s">
        <v>444</v>
      </c>
      <c r="C150" s="370">
        <f>C151-SUM(C139:C149)</f>
        <v>705527</v>
      </c>
      <c r="D150" s="368" t="s">
        <v>105</v>
      </c>
      <c r="E150" s="370">
        <f>E151-SUM(E140:E149)</f>
        <v>0</v>
      </c>
      <c r="G150" s="368" t="s">
        <v>451</v>
      </c>
      <c r="H150" s="370">
        <f>H151-SUM(H140:H149)</f>
        <v>730211</v>
      </c>
      <c r="I150" s="368" t="s">
        <v>105</v>
      </c>
      <c r="J150" s="370">
        <f>J151-SUM(J140:J149)</f>
        <v>0</v>
      </c>
      <c r="L150" s="5"/>
      <c r="M150" s="5"/>
      <c r="N150" s="5"/>
      <c r="O150" s="5"/>
    </row>
    <row r="151" spans="1:15">
      <c r="B151" s="368" t="s">
        <v>106</v>
      </c>
      <c r="C151" s="370">
        <v>4199713</v>
      </c>
      <c r="D151" s="368" t="s">
        <v>106</v>
      </c>
      <c r="E151" s="370">
        <v>1120135</v>
      </c>
      <c r="G151" s="368" t="s">
        <v>106</v>
      </c>
      <c r="H151" s="370">
        <v>4320524</v>
      </c>
      <c r="I151" s="368" t="s">
        <v>106</v>
      </c>
      <c r="J151" s="370">
        <v>1932783</v>
      </c>
      <c r="L151" s="5"/>
      <c r="M151" s="5"/>
      <c r="N151" s="5"/>
      <c r="O151" s="5"/>
    </row>
    <row r="153" spans="1:15">
      <c r="B153" s="473" t="s">
        <v>452</v>
      </c>
      <c r="G153" s="473" t="s">
        <v>431</v>
      </c>
    </row>
    <row r="154" spans="1:15">
      <c r="B154" s="30" t="s">
        <v>101</v>
      </c>
      <c r="C154" s="366" t="s">
        <v>102</v>
      </c>
      <c r="D154" s="30" t="s">
        <v>103</v>
      </c>
      <c r="E154" s="366" t="s">
        <v>104</v>
      </c>
      <c r="G154" s="30" t="s">
        <v>101</v>
      </c>
      <c r="H154" s="366" t="s">
        <v>102</v>
      </c>
      <c r="I154" s="30" t="s">
        <v>103</v>
      </c>
      <c r="J154" s="366" t="s">
        <v>104</v>
      </c>
    </row>
    <row r="155" spans="1:15">
      <c r="A155" s="13">
        <v>1</v>
      </c>
      <c r="B155" s="371" t="s">
        <v>240</v>
      </c>
      <c r="C155" s="370">
        <v>1155392</v>
      </c>
      <c r="D155" s="474" t="s">
        <v>469</v>
      </c>
      <c r="E155" s="370">
        <v>892158</v>
      </c>
      <c r="G155" s="368" t="s">
        <v>461</v>
      </c>
      <c r="H155" s="370">
        <v>85895</v>
      </c>
      <c r="I155" s="371" t="s">
        <v>171</v>
      </c>
      <c r="J155" s="370">
        <v>42479</v>
      </c>
    </row>
    <row r="156" spans="1:15">
      <c r="A156" s="13">
        <v>2</v>
      </c>
      <c r="B156" s="368" t="s">
        <v>247</v>
      </c>
      <c r="C156" s="370">
        <v>987119</v>
      </c>
      <c r="D156" s="474" t="s">
        <v>462</v>
      </c>
      <c r="E156" s="370">
        <v>361235</v>
      </c>
      <c r="G156" s="368" t="s">
        <v>385</v>
      </c>
      <c r="H156" s="370">
        <v>47935</v>
      </c>
      <c r="I156" s="371" t="s">
        <v>168</v>
      </c>
      <c r="J156" s="370">
        <v>41315</v>
      </c>
    </row>
    <row r="157" spans="1:15">
      <c r="A157" s="13">
        <v>3</v>
      </c>
      <c r="B157" s="368" t="s">
        <v>461</v>
      </c>
      <c r="C157" s="370">
        <v>954648</v>
      </c>
      <c r="D157" s="474" t="s">
        <v>470</v>
      </c>
      <c r="E157" s="370">
        <v>347705</v>
      </c>
      <c r="G157" s="368" t="s">
        <v>521</v>
      </c>
      <c r="H157" s="370">
        <v>45610</v>
      </c>
      <c r="I157" s="371" t="s">
        <v>181</v>
      </c>
      <c r="J157" s="370">
        <v>26652</v>
      </c>
    </row>
    <row r="158" spans="1:15">
      <c r="A158" s="13">
        <v>4</v>
      </c>
      <c r="B158" s="368" t="s">
        <v>10</v>
      </c>
      <c r="C158" s="370">
        <v>335830</v>
      </c>
      <c r="D158" s="474" t="s">
        <v>240</v>
      </c>
      <c r="E158" s="370">
        <v>328923</v>
      </c>
      <c r="G158" s="368" t="s">
        <v>278</v>
      </c>
      <c r="H158" s="370">
        <v>20626</v>
      </c>
      <c r="I158" s="371" t="s">
        <v>164</v>
      </c>
      <c r="J158" s="370">
        <v>6714</v>
      </c>
    </row>
    <row r="159" spans="1:15">
      <c r="A159" s="13">
        <v>5</v>
      </c>
      <c r="B159" s="368" t="s">
        <v>246</v>
      </c>
      <c r="C159" s="370">
        <v>334798</v>
      </c>
      <c r="D159" s="474" t="s">
        <v>247</v>
      </c>
      <c r="E159" s="370">
        <v>35442</v>
      </c>
      <c r="G159" s="368" t="s">
        <v>246</v>
      </c>
      <c r="H159" s="370">
        <v>20303</v>
      </c>
      <c r="I159" s="368"/>
      <c r="J159" s="370"/>
    </row>
    <row r="160" spans="1:15">
      <c r="A160" s="13">
        <v>6</v>
      </c>
      <c r="B160" s="368" t="s">
        <v>385</v>
      </c>
      <c r="C160" s="370">
        <v>241962</v>
      </c>
      <c r="D160" s="474" t="s">
        <v>248</v>
      </c>
      <c r="E160" s="370">
        <v>28890</v>
      </c>
      <c r="G160" s="368" t="s">
        <v>240</v>
      </c>
      <c r="H160" s="370">
        <v>14042</v>
      </c>
      <c r="I160" s="368"/>
      <c r="J160" s="370"/>
    </row>
    <row r="161" spans="1:10">
      <c r="A161" s="13">
        <v>7</v>
      </c>
      <c r="B161" s="368" t="s">
        <v>298</v>
      </c>
      <c r="C161" s="370">
        <v>218238</v>
      </c>
      <c r="D161" s="474" t="s">
        <v>385</v>
      </c>
      <c r="E161" s="370">
        <v>24210</v>
      </c>
      <c r="G161" s="368" t="s">
        <v>472</v>
      </c>
      <c r="H161" s="370">
        <v>10265</v>
      </c>
      <c r="I161" s="368"/>
      <c r="J161" s="370"/>
    </row>
    <row r="162" spans="1:10">
      <c r="A162" s="13">
        <v>8</v>
      </c>
      <c r="B162" s="368" t="s">
        <v>463</v>
      </c>
      <c r="C162" s="370">
        <v>211782</v>
      </c>
      <c r="D162" s="474" t="s">
        <v>520</v>
      </c>
      <c r="E162" s="370">
        <v>5423</v>
      </c>
      <c r="G162" s="368" t="s">
        <v>7</v>
      </c>
      <c r="H162" s="370">
        <v>10071</v>
      </c>
      <c r="I162" s="368"/>
      <c r="J162" s="370"/>
    </row>
    <row r="163" spans="1:10">
      <c r="A163" s="13">
        <v>9</v>
      </c>
      <c r="B163" s="368" t="s">
        <v>11</v>
      </c>
      <c r="C163" s="370">
        <v>159877</v>
      </c>
      <c r="D163" s="474" t="s">
        <v>465</v>
      </c>
      <c r="E163" s="370">
        <v>452</v>
      </c>
      <c r="G163" s="368" t="s">
        <v>247</v>
      </c>
      <c r="H163" s="370">
        <v>9974</v>
      </c>
      <c r="I163" s="368"/>
      <c r="J163" s="370"/>
    </row>
    <row r="164" spans="1:10">
      <c r="A164" s="13">
        <v>10</v>
      </c>
      <c r="B164" s="368" t="s">
        <v>481</v>
      </c>
      <c r="C164" s="370">
        <v>152001</v>
      </c>
      <c r="D164" s="474"/>
      <c r="E164" s="370"/>
      <c r="G164" s="368" t="s">
        <v>16</v>
      </c>
      <c r="H164" s="370">
        <v>9619</v>
      </c>
      <c r="I164" s="368"/>
      <c r="J164" s="370"/>
    </row>
    <row r="165" spans="1:10">
      <c r="B165" s="368" t="s">
        <v>453</v>
      </c>
      <c r="C165" s="370">
        <f>C166-SUM(C155:C164)</f>
        <v>1727595</v>
      </c>
      <c r="D165" s="368" t="s">
        <v>105</v>
      </c>
      <c r="E165" s="370">
        <f>E166-SUM(E155:E164)</f>
        <v>0</v>
      </c>
      <c r="G165" s="368" t="s">
        <v>105</v>
      </c>
      <c r="H165" s="370">
        <f>H166-SUM(H155:H164)</f>
        <v>60267</v>
      </c>
      <c r="I165" s="368" t="s">
        <v>105</v>
      </c>
      <c r="J165" s="370">
        <f>J166-SUM(J155:J164)</f>
        <v>0</v>
      </c>
    </row>
    <row r="166" spans="1:10">
      <c r="B166" s="368" t="s">
        <v>106</v>
      </c>
      <c r="C166" s="370">
        <v>6479242</v>
      </c>
      <c r="D166" s="368" t="s">
        <v>106</v>
      </c>
      <c r="E166" s="370">
        <v>2024438</v>
      </c>
      <c r="G166" s="368" t="s">
        <v>106</v>
      </c>
      <c r="H166" s="370">
        <v>334607</v>
      </c>
      <c r="I166" s="368" t="s">
        <v>106</v>
      </c>
      <c r="J166" s="370">
        <v>117160</v>
      </c>
    </row>
    <row r="167" spans="1:10" ht="9.75" customHeight="1">
      <c r="B167" s="372"/>
    </row>
    <row r="168" spans="1:10">
      <c r="B168" s="54" t="s">
        <v>414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E18" sqref="E18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8" customWidth="1"/>
    <col min="5" max="5" width="15.625" style="5" customWidth="1"/>
    <col min="6" max="6" width="15.125" style="59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88" t="s">
        <v>490</v>
      </c>
      <c r="B1" s="128"/>
      <c r="C1" s="129"/>
      <c r="D1" s="130"/>
      <c r="E1" s="128"/>
      <c r="F1" s="129"/>
      <c r="G1" s="130"/>
    </row>
    <row r="3" spans="1:7" s="121" customFormat="1">
      <c r="A3" s="131" t="s">
        <v>412</v>
      </c>
      <c r="B3" s="132"/>
      <c r="C3" s="133"/>
      <c r="D3" s="134"/>
      <c r="E3" s="132"/>
      <c r="F3" s="135"/>
      <c r="G3" s="136"/>
    </row>
    <row r="4" spans="1:7">
      <c r="A4" s="137" t="s">
        <v>456</v>
      </c>
      <c r="B4" s="68"/>
      <c r="C4" s="138"/>
      <c r="D4" s="139"/>
      <c r="E4" s="68"/>
      <c r="F4" s="140"/>
      <c r="G4" s="141"/>
    </row>
    <row r="5" spans="1:7">
      <c r="A5" s="545" t="s">
        <v>52</v>
      </c>
      <c r="B5" s="142" t="s">
        <v>53</v>
      </c>
      <c r="C5" s="143"/>
      <c r="D5" s="144"/>
      <c r="E5" s="145" t="s">
        <v>54</v>
      </c>
      <c r="F5" s="143"/>
      <c r="G5" s="144"/>
    </row>
    <row r="6" spans="1:7">
      <c r="A6" s="546"/>
      <c r="B6" s="30" t="s">
        <v>432</v>
      </c>
      <c r="C6" s="146" t="s">
        <v>433</v>
      </c>
      <c r="D6" s="147" t="s">
        <v>413</v>
      </c>
      <c r="E6" s="30" t="s">
        <v>432</v>
      </c>
      <c r="F6" s="146" t="s">
        <v>433</v>
      </c>
      <c r="G6" s="147" t="s">
        <v>413</v>
      </c>
    </row>
    <row r="7" spans="1:7">
      <c r="A7" s="31">
        <v>1</v>
      </c>
      <c r="B7" s="551">
        <v>162493</v>
      </c>
      <c r="C7" s="378">
        <v>156750</v>
      </c>
      <c r="D7" s="481">
        <f>IFERROR((B7-C7)/C7,0)</f>
        <v>3.6637958532695372E-2</v>
      </c>
      <c r="E7" s="551">
        <v>151997099</v>
      </c>
      <c r="F7" s="378">
        <v>110756298</v>
      </c>
      <c r="G7" s="481">
        <f>IFERROR((E7-F7)/F7,0)</f>
        <v>0.37235626095050595</v>
      </c>
    </row>
    <row r="8" spans="1:7">
      <c r="A8" s="31">
        <v>2</v>
      </c>
      <c r="B8" s="551">
        <v>115013</v>
      </c>
      <c r="C8" s="378">
        <v>182722</v>
      </c>
      <c r="D8" s="481">
        <f>IFERROR((B8-C8)/C8,0)</f>
        <v>-0.37055745887194758</v>
      </c>
      <c r="E8" s="551">
        <v>109496132</v>
      </c>
      <c r="F8" s="378">
        <v>126655157</v>
      </c>
      <c r="G8" s="481">
        <f t="shared" ref="G8:G18" si="0">IFERROR((E8-F8)/F8,0)</f>
        <v>-0.1354782971845355</v>
      </c>
    </row>
    <row r="9" spans="1:7">
      <c r="A9" s="31">
        <v>3</v>
      </c>
      <c r="B9" s="551">
        <v>134607</v>
      </c>
      <c r="C9" s="378">
        <v>181306</v>
      </c>
      <c r="D9" s="481">
        <f t="shared" ref="D9:D18" si="1">IFERROR((B9-C9)/C9,0)</f>
        <v>-0.25757007490099609</v>
      </c>
      <c r="E9" s="551">
        <v>122131450</v>
      </c>
      <c r="F9" s="378">
        <v>132191658</v>
      </c>
      <c r="G9" s="481">
        <f t="shared" si="0"/>
        <v>-7.6103198584588444E-2</v>
      </c>
    </row>
    <row r="10" spans="1:7">
      <c r="A10" s="31">
        <v>4</v>
      </c>
      <c r="B10" s="552">
        <v>133349</v>
      </c>
      <c r="C10" s="377">
        <v>153555</v>
      </c>
      <c r="D10" s="481">
        <f t="shared" si="1"/>
        <v>-0.13158803034743252</v>
      </c>
      <c r="E10" s="552">
        <v>126190344</v>
      </c>
      <c r="F10" s="377">
        <v>112165448</v>
      </c>
      <c r="G10" s="481">
        <f t="shared" si="0"/>
        <v>0.1250375784171967</v>
      </c>
    </row>
    <row r="11" spans="1:7">
      <c r="A11" s="31">
        <v>5</v>
      </c>
      <c r="B11" s="551">
        <v>130700</v>
      </c>
      <c r="C11" s="378">
        <v>160369</v>
      </c>
      <c r="D11" s="481">
        <f t="shared" si="1"/>
        <v>-0.18500458318004104</v>
      </c>
      <c r="E11" s="551">
        <f>[3]整車出口!C67</f>
        <v>124913855</v>
      </c>
      <c r="F11" s="378">
        <v>123108958</v>
      </c>
      <c r="G11" s="481">
        <f t="shared" si="0"/>
        <v>1.4660972112199992E-2</v>
      </c>
    </row>
    <row r="12" spans="1:7">
      <c r="A12" s="31">
        <v>6</v>
      </c>
      <c r="B12" s="551">
        <v>105847</v>
      </c>
      <c r="C12" s="378">
        <v>130624</v>
      </c>
      <c r="D12" s="481">
        <f t="shared" si="1"/>
        <v>-0.18968183488486037</v>
      </c>
      <c r="E12" s="551">
        <v>117464564</v>
      </c>
      <c r="F12" s="378">
        <v>102593572</v>
      </c>
      <c r="G12" s="481">
        <f t="shared" si="0"/>
        <v>0.14495052380084789</v>
      </c>
    </row>
    <row r="13" spans="1:7">
      <c r="A13" s="31">
        <v>7</v>
      </c>
      <c r="B13" s="551">
        <v>104885</v>
      </c>
      <c r="C13" s="378">
        <v>168045</v>
      </c>
      <c r="D13" s="481">
        <f t="shared" si="1"/>
        <v>-0.37585170638816984</v>
      </c>
      <c r="E13" s="551">
        <v>119683695</v>
      </c>
      <c r="F13" s="378">
        <v>147431792</v>
      </c>
      <c r="G13" s="481">
        <f t="shared" si="0"/>
        <v>-0.18820972480616663</v>
      </c>
    </row>
    <row r="14" spans="1:7">
      <c r="A14" s="31">
        <v>8</v>
      </c>
      <c r="B14" s="374"/>
      <c r="C14" s="378"/>
      <c r="D14" s="481">
        <f t="shared" si="1"/>
        <v>0</v>
      </c>
      <c r="E14" s="482"/>
      <c r="F14" s="378"/>
      <c r="G14" s="481">
        <f t="shared" si="0"/>
        <v>0</v>
      </c>
    </row>
    <row r="15" spans="1:7">
      <c r="A15" s="31">
        <v>9</v>
      </c>
      <c r="B15" s="27"/>
      <c r="C15" s="90"/>
      <c r="D15" s="481">
        <f t="shared" si="1"/>
        <v>0</v>
      </c>
      <c r="E15" s="482"/>
      <c r="F15" s="90"/>
      <c r="G15" s="481">
        <f t="shared" si="0"/>
        <v>0</v>
      </c>
    </row>
    <row r="16" spans="1:7">
      <c r="A16" s="31">
        <v>10</v>
      </c>
      <c r="B16" s="27"/>
      <c r="C16" s="90"/>
      <c r="D16" s="481">
        <f t="shared" si="1"/>
        <v>0</v>
      </c>
      <c r="E16" s="482"/>
      <c r="F16" s="90"/>
      <c r="G16" s="481">
        <f t="shared" si="0"/>
        <v>0</v>
      </c>
    </row>
    <row r="17" spans="1:7">
      <c r="A17" s="31">
        <v>11</v>
      </c>
      <c r="B17" s="27"/>
      <c r="C17" s="90"/>
      <c r="D17" s="481">
        <f t="shared" si="1"/>
        <v>0</v>
      </c>
      <c r="E17" s="482"/>
      <c r="F17" s="90"/>
      <c r="G17" s="481">
        <f t="shared" si="0"/>
        <v>0</v>
      </c>
    </row>
    <row r="18" spans="1:7">
      <c r="A18" s="31">
        <v>12</v>
      </c>
      <c r="B18" s="27"/>
      <c r="C18" s="90"/>
      <c r="D18" s="481">
        <f t="shared" si="1"/>
        <v>0</v>
      </c>
      <c r="E18" s="482"/>
      <c r="F18" s="90"/>
      <c r="G18" s="481">
        <f t="shared" si="0"/>
        <v>0</v>
      </c>
    </row>
    <row r="19" spans="1:7" s="114" customFormat="1">
      <c r="A19" s="32" t="s">
        <v>51</v>
      </c>
      <c r="B19" s="551">
        <f>SUM(B7:B18)</f>
        <v>886894</v>
      </c>
      <c r="C19" s="90">
        <f>SUM(C7:C18)</f>
        <v>1133371</v>
      </c>
      <c r="D19" s="481">
        <f>(B19-C19)/C19</f>
        <v>-0.2174724781205801</v>
      </c>
      <c r="E19" s="551">
        <f>SUM(E7:E18)</f>
        <v>871877139</v>
      </c>
      <c r="F19" s="90">
        <f>SUM(F7:F18)</f>
        <v>854902883</v>
      </c>
      <c r="G19" s="148">
        <f>(E19-F19)/F19</f>
        <v>1.9855186287867508E-2</v>
      </c>
    </row>
    <row r="20" spans="1:7" s="114" customFormat="1">
      <c r="A20" s="38"/>
      <c r="B20" s="39"/>
      <c r="C20" s="483"/>
      <c r="D20" s="149"/>
      <c r="E20" s="39"/>
      <c r="F20" s="483"/>
      <c r="G20" s="149"/>
    </row>
    <row r="21" spans="1:7" ht="19.5">
      <c r="A21" s="1" t="s">
        <v>491</v>
      </c>
      <c r="B21" s="128"/>
      <c r="C21" s="129"/>
      <c r="D21" s="130"/>
      <c r="E21" s="128"/>
      <c r="F21" s="129"/>
      <c r="G21" s="130"/>
    </row>
    <row r="22" spans="1:7">
      <c r="B22" s="97"/>
      <c r="C22" s="150"/>
      <c r="D22" s="151"/>
      <c r="E22" s="97"/>
      <c r="F22" s="150"/>
      <c r="G22" s="151"/>
    </row>
    <row r="23" spans="1:7" s="121" customFormat="1">
      <c r="A23" s="152" t="s">
        <v>153</v>
      </c>
      <c r="B23" s="153"/>
      <c r="C23" s="154"/>
      <c r="D23" s="155"/>
      <c r="E23" s="153"/>
      <c r="F23" s="156"/>
      <c r="G23" s="157"/>
    </row>
    <row r="24" spans="1:7">
      <c r="A24" s="137" t="s">
        <v>457</v>
      </c>
      <c r="B24" s="158"/>
      <c r="C24" s="159"/>
      <c r="D24" s="160"/>
      <c r="E24" s="158"/>
      <c r="F24" s="161"/>
      <c r="G24" s="162"/>
    </row>
    <row r="25" spans="1:7">
      <c r="A25" s="545" t="s">
        <v>52</v>
      </c>
      <c r="B25" s="163" t="s">
        <v>53</v>
      </c>
      <c r="C25" s="164"/>
      <c r="D25" s="165"/>
      <c r="E25" s="166" t="s">
        <v>54</v>
      </c>
      <c r="F25" s="164"/>
      <c r="G25" s="165"/>
    </row>
    <row r="26" spans="1:7">
      <c r="A26" s="546"/>
      <c r="B26" s="30" t="s">
        <v>432</v>
      </c>
      <c r="C26" s="146" t="s">
        <v>433</v>
      </c>
      <c r="D26" s="147" t="s">
        <v>413</v>
      </c>
      <c r="E26" s="30" t="s">
        <v>432</v>
      </c>
      <c r="F26" s="146" t="s">
        <v>433</v>
      </c>
      <c r="G26" s="147" t="s">
        <v>413</v>
      </c>
    </row>
    <row r="27" spans="1:7">
      <c r="A27" s="31">
        <v>1</v>
      </c>
      <c r="B27" s="551">
        <v>1565</v>
      </c>
      <c r="C27" s="378">
        <v>7451</v>
      </c>
      <c r="D27" s="481">
        <f>IFERROR((B27-C27)/C27,0)</f>
        <v>-0.78996107904979196</v>
      </c>
      <c r="E27" s="551">
        <v>764739</v>
      </c>
      <c r="F27" s="378">
        <v>1940085</v>
      </c>
      <c r="G27" s="481">
        <f>IFERROR((E27-F27)/F27,0)</f>
        <v>-0.60582190986477391</v>
      </c>
    </row>
    <row r="28" spans="1:7">
      <c r="A28" s="31">
        <v>2</v>
      </c>
      <c r="B28" s="551">
        <v>1930</v>
      </c>
      <c r="C28" s="378">
        <v>2436</v>
      </c>
      <c r="D28" s="481">
        <f>IFERROR((B28-C28)/C28,0)</f>
        <v>-0.2077175697865353</v>
      </c>
      <c r="E28" s="551">
        <v>1217458</v>
      </c>
      <c r="F28" s="378">
        <v>837495</v>
      </c>
      <c r="G28" s="481">
        <f t="shared" ref="G28:G39" si="2">IFERROR((E28-F28)/F28,0)</f>
        <v>0.45368987277535983</v>
      </c>
    </row>
    <row r="29" spans="1:7">
      <c r="A29" s="31">
        <v>3</v>
      </c>
      <c r="B29" s="551">
        <v>3134</v>
      </c>
      <c r="C29" s="378">
        <v>2801</v>
      </c>
      <c r="D29" s="481">
        <f t="shared" ref="D29:D39" si="3">IFERROR((B29-C29)/C29,0)</f>
        <v>0.11888611210282042</v>
      </c>
      <c r="E29" s="551">
        <v>1286924</v>
      </c>
      <c r="F29" s="378">
        <v>1797048</v>
      </c>
      <c r="G29" s="481">
        <f t="shared" si="2"/>
        <v>-0.28386776535740837</v>
      </c>
    </row>
    <row r="30" spans="1:7">
      <c r="A30" s="31">
        <v>4</v>
      </c>
      <c r="B30" s="552">
        <v>4931</v>
      </c>
      <c r="C30" s="485">
        <v>2583</v>
      </c>
      <c r="D30" s="481">
        <f t="shared" si="3"/>
        <v>0.90902051877661638</v>
      </c>
      <c r="E30" s="552">
        <v>1618535</v>
      </c>
      <c r="F30" s="377">
        <v>1203258</v>
      </c>
      <c r="G30" s="481">
        <f t="shared" si="2"/>
        <v>0.34512714646401688</v>
      </c>
    </row>
    <row r="31" spans="1:7">
      <c r="A31" s="31">
        <v>5</v>
      </c>
      <c r="B31" s="551">
        <v>5530</v>
      </c>
      <c r="C31" s="378">
        <v>4746</v>
      </c>
      <c r="D31" s="481">
        <f t="shared" si="3"/>
        <v>0.16519174041297935</v>
      </c>
      <c r="E31" s="551">
        <v>2047150</v>
      </c>
      <c r="F31" s="378">
        <v>1612117</v>
      </c>
      <c r="G31" s="481">
        <f t="shared" si="2"/>
        <v>0.26985200205692267</v>
      </c>
    </row>
    <row r="32" spans="1:7">
      <c r="A32" s="31">
        <v>6</v>
      </c>
      <c r="B32" s="551">
        <v>2471</v>
      </c>
      <c r="C32" s="378">
        <v>5142</v>
      </c>
      <c r="D32" s="481">
        <f t="shared" si="3"/>
        <v>-0.51944768572539868</v>
      </c>
      <c r="E32" s="551">
        <v>1171692</v>
      </c>
      <c r="F32" s="378">
        <v>1685222</v>
      </c>
      <c r="G32" s="481">
        <f t="shared" si="2"/>
        <v>-0.30472543083344511</v>
      </c>
    </row>
    <row r="33" spans="1:12">
      <c r="A33" s="31">
        <v>7</v>
      </c>
      <c r="B33" s="551">
        <v>2849</v>
      </c>
      <c r="C33" s="378">
        <v>4426</v>
      </c>
      <c r="D33" s="481">
        <f t="shared" si="3"/>
        <v>-0.3563036601897876</v>
      </c>
      <c r="E33" s="551">
        <v>726920</v>
      </c>
      <c r="F33" s="378">
        <v>1937710</v>
      </c>
      <c r="G33" s="481">
        <f t="shared" si="2"/>
        <v>-0.62485614462432459</v>
      </c>
    </row>
    <row r="34" spans="1:12">
      <c r="A34" s="31">
        <v>8</v>
      </c>
      <c r="B34" s="484"/>
      <c r="C34" s="378"/>
      <c r="D34" s="481">
        <f t="shared" si="3"/>
        <v>0</v>
      </c>
      <c r="E34" s="482"/>
      <c r="F34" s="378"/>
      <c r="G34" s="481">
        <f t="shared" si="2"/>
        <v>0</v>
      </c>
    </row>
    <row r="35" spans="1:12">
      <c r="A35" s="31">
        <v>9</v>
      </c>
      <c r="B35" s="486"/>
      <c r="C35" s="90"/>
      <c r="D35" s="481">
        <f t="shared" si="3"/>
        <v>0</v>
      </c>
      <c r="E35" s="27"/>
      <c r="F35" s="90"/>
      <c r="G35" s="481">
        <f t="shared" si="2"/>
        <v>0</v>
      </c>
    </row>
    <row r="36" spans="1:12">
      <c r="A36" s="31">
        <v>10</v>
      </c>
      <c r="B36" s="486"/>
      <c r="C36" s="90"/>
      <c r="D36" s="481">
        <f t="shared" si="3"/>
        <v>0</v>
      </c>
      <c r="E36" s="27"/>
      <c r="F36" s="90"/>
      <c r="G36" s="481">
        <f t="shared" si="2"/>
        <v>0</v>
      </c>
    </row>
    <row r="37" spans="1:12">
      <c r="A37" s="31">
        <v>11</v>
      </c>
      <c r="B37" s="486"/>
      <c r="C37" s="90"/>
      <c r="D37" s="481">
        <f t="shared" si="3"/>
        <v>0</v>
      </c>
      <c r="E37" s="27"/>
      <c r="F37" s="90"/>
      <c r="G37" s="481">
        <f t="shared" si="2"/>
        <v>0</v>
      </c>
      <c r="I37" s="478"/>
      <c r="J37" s="478"/>
      <c r="K37" s="478"/>
      <c r="L37" s="478"/>
    </row>
    <row r="38" spans="1:12">
      <c r="A38" s="31">
        <v>12</v>
      </c>
      <c r="B38" s="33"/>
      <c r="C38" s="90"/>
      <c r="D38" s="481">
        <f t="shared" si="3"/>
        <v>0</v>
      </c>
      <c r="E38" s="33"/>
      <c r="F38" s="90"/>
      <c r="G38" s="481">
        <f t="shared" si="2"/>
        <v>0</v>
      </c>
      <c r="I38" s="478"/>
      <c r="J38" s="478"/>
      <c r="K38" s="478"/>
      <c r="L38" s="478"/>
    </row>
    <row r="39" spans="1:12" s="114" customFormat="1">
      <c r="A39" s="32" t="s">
        <v>51</v>
      </c>
      <c r="B39" s="551">
        <f>SUM(B27:B38)</f>
        <v>22410</v>
      </c>
      <c r="C39" s="90">
        <f>SUM(C27:C38)</f>
        <v>29585</v>
      </c>
      <c r="D39" s="481">
        <f t="shared" si="3"/>
        <v>-0.24252154808179821</v>
      </c>
      <c r="E39" s="551">
        <f>SUM(E27:E38)</f>
        <v>8833418</v>
      </c>
      <c r="F39" s="90">
        <f>SUM(F27:F38)</f>
        <v>11012935</v>
      </c>
      <c r="G39" s="481">
        <f t="shared" si="2"/>
        <v>-0.19790519057817013</v>
      </c>
    </row>
    <row r="40" spans="1:12" s="114" customFormat="1" ht="11.25" customHeight="1">
      <c r="A40" s="38"/>
      <c r="B40" s="39"/>
      <c r="C40" s="483"/>
      <c r="D40" s="149"/>
      <c r="E40" s="39"/>
      <c r="F40" s="483"/>
      <c r="G40" s="167"/>
    </row>
    <row r="41" spans="1:12" s="13" customFormat="1">
      <c r="A41" s="55" t="s">
        <v>414</v>
      </c>
      <c r="C41" s="168"/>
      <c r="D41" s="169"/>
      <c r="F41" s="168"/>
      <c r="G41" s="169"/>
    </row>
  </sheetData>
  <mergeCells count="2">
    <mergeCell ref="A5:A6"/>
    <mergeCell ref="A25:A26"/>
  </mergeCells>
  <phoneticPr fontId="3" type="noConversion"/>
  <conditionalFormatting sqref="B7:C9 B11:C14">
    <cfRule type="cellIs" dxfId="90" priority="25" operator="lessThan">
      <formula>0</formula>
    </cfRule>
  </conditionalFormatting>
  <conditionalFormatting sqref="C27:C29 B34:C34 C31:C33">
    <cfRule type="cellIs" dxfId="89" priority="22" operator="lessThan">
      <formula>0</formula>
    </cfRule>
    <cfRule type="cellIs" dxfId="88" priority="23" operator="lessThan">
      <formula>0</formula>
    </cfRule>
  </conditionalFormatting>
  <conditionalFormatting sqref="E14:E18">
    <cfRule type="cellIs" dxfId="87" priority="10" operator="lessThan">
      <formula>0</formula>
    </cfRule>
  </conditionalFormatting>
  <conditionalFormatting sqref="F7:F9 F11:F14">
    <cfRule type="cellIs" dxfId="86" priority="24" operator="lessThan">
      <formula>0</formula>
    </cfRule>
  </conditionalFormatting>
  <conditionalFormatting sqref="F27:F29">
    <cfRule type="cellIs" dxfId="85" priority="20" operator="lessThan">
      <formula>0</formula>
    </cfRule>
    <cfRule type="cellIs" dxfId="84" priority="21" operator="lessThan">
      <formula>0</formula>
    </cfRule>
  </conditionalFormatting>
  <conditionalFormatting sqref="E34:F34 F31:F33">
    <cfRule type="cellIs" dxfId="83" priority="12" operator="lessThan">
      <formula>0</formula>
    </cfRule>
    <cfRule type="cellIs" dxfId="82" priority="13" operator="lessThan">
      <formula>0</formula>
    </cfRule>
  </conditionalFormatting>
  <conditionalFormatting sqref="E7:E9 E11:E13">
    <cfRule type="cellIs" dxfId="6" priority="7" operator="lessThan">
      <formula>0</formula>
    </cfRule>
  </conditionalFormatting>
  <conditionalFormatting sqref="B27:B29 B31:B33">
    <cfRule type="cellIs" dxfId="5" priority="6" operator="lessThan">
      <formula>0</formula>
    </cfRule>
  </conditionalFormatting>
  <conditionalFormatting sqref="E27:E29 E31:E33">
    <cfRule type="cellIs" dxfId="4" priority="5" operator="lessThan">
      <formula>0</formula>
    </cfRule>
  </conditionalFormatting>
  <conditionalFormatting sqref="B39">
    <cfRule type="cellIs" dxfId="3" priority="4" operator="lessThan">
      <formula>0</formula>
    </cfRule>
  </conditionalFormatting>
  <conditionalFormatting sqref="E39">
    <cfRule type="cellIs" dxfId="2" priority="3" operator="lessThan">
      <formula>0</formula>
    </cfRule>
  </conditionalFormatting>
  <conditionalFormatting sqref="B19">
    <cfRule type="cellIs" dxfId="1" priority="2" operator="lessThan">
      <formula>0</formula>
    </cfRule>
  </conditionalFormatting>
  <conditionalFormatting sqref="E1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6"/>
  <sheetViews>
    <sheetView workbookViewId="0">
      <pane xSplit="1" ySplit="7" topLeftCell="B191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0" t="s">
        <v>152</v>
      </c>
      <c r="B1" s="381"/>
      <c r="C1" s="381"/>
      <c r="D1" s="381"/>
      <c r="E1" s="381"/>
      <c r="F1" s="381"/>
      <c r="G1" s="381"/>
      <c r="H1" s="381"/>
      <c r="I1" s="381"/>
      <c r="J1" s="382"/>
      <c r="K1" s="383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>
      <c r="A2" s="384" t="s">
        <v>231</v>
      </c>
      <c r="B2" s="381"/>
      <c r="C2" s="381"/>
      <c r="D2" s="381"/>
      <c r="E2" s="381"/>
      <c r="F2" s="381"/>
      <c r="G2" s="381"/>
      <c r="H2" s="381"/>
      <c r="I2" s="381"/>
      <c r="J2" s="382"/>
      <c r="K2" s="383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7">
      <c r="A3" s="385" t="s">
        <v>121</v>
      </c>
      <c r="B3" s="381"/>
      <c r="C3" s="381"/>
      <c r="D3" s="381"/>
      <c r="E3" s="381"/>
      <c r="F3" s="381"/>
      <c r="G3" s="381"/>
      <c r="H3" s="381"/>
      <c r="I3" s="381"/>
      <c r="J3" s="382"/>
      <c r="K3" s="383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</row>
    <row r="4" spans="1:27">
      <c r="A4" s="385" t="s">
        <v>122</v>
      </c>
      <c r="B4" s="381"/>
      <c r="C4" s="381"/>
      <c r="D4" s="381"/>
      <c r="E4" s="381"/>
      <c r="F4" s="381"/>
      <c r="G4" s="381"/>
      <c r="H4" s="381"/>
      <c r="I4" s="381"/>
      <c r="J4" s="382"/>
      <c r="K4" s="383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</row>
    <row r="5" spans="1:27">
      <c r="A5" s="386" t="s">
        <v>123</v>
      </c>
      <c r="B5" s="381"/>
      <c r="C5" s="381"/>
      <c r="D5" s="381"/>
      <c r="E5" s="381"/>
      <c r="F5" s="381"/>
      <c r="G5" s="381"/>
      <c r="H5" s="381"/>
      <c r="I5" s="381"/>
      <c r="J5" s="382"/>
      <c r="K5" s="383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</row>
    <row r="6" spans="1:27">
      <c r="A6" s="387"/>
      <c r="B6" s="388" t="s">
        <v>124</v>
      </c>
      <c r="C6" s="389"/>
      <c r="D6" s="388" t="s">
        <v>125</v>
      </c>
      <c r="E6" s="389"/>
      <c r="F6" s="388" t="s">
        <v>126</v>
      </c>
      <c r="G6" s="389"/>
      <c r="H6" s="388" t="s">
        <v>127</v>
      </c>
      <c r="I6" s="389"/>
      <c r="J6" s="390" t="s">
        <v>128</v>
      </c>
      <c r="K6" s="391"/>
      <c r="L6" s="388" t="s">
        <v>129</v>
      </c>
      <c r="M6" s="389"/>
      <c r="N6" s="388" t="s">
        <v>130</v>
      </c>
      <c r="O6" s="389"/>
      <c r="P6" s="388" t="s">
        <v>131</v>
      </c>
      <c r="Q6" s="389"/>
      <c r="R6" s="388" t="s">
        <v>132</v>
      </c>
      <c r="S6" s="389"/>
      <c r="T6" s="388" t="s">
        <v>133</v>
      </c>
      <c r="U6" s="389"/>
      <c r="V6" s="388" t="s">
        <v>134</v>
      </c>
      <c r="W6" s="389"/>
      <c r="X6" s="388" t="s">
        <v>135</v>
      </c>
      <c r="Y6" s="389"/>
      <c r="Z6" s="388" t="s">
        <v>106</v>
      </c>
      <c r="AA6" s="389"/>
    </row>
    <row r="7" spans="1:27">
      <c r="A7" s="392" t="s">
        <v>136</v>
      </c>
      <c r="B7" s="393" t="s">
        <v>137</v>
      </c>
      <c r="C7" s="393" t="s">
        <v>138</v>
      </c>
      <c r="D7" s="393" t="s">
        <v>139</v>
      </c>
      <c r="E7" s="393" t="s">
        <v>140</v>
      </c>
      <c r="F7" s="393" t="s">
        <v>139</v>
      </c>
      <c r="G7" s="393" t="s">
        <v>140</v>
      </c>
      <c r="H7" s="393" t="s">
        <v>139</v>
      </c>
      <c r="I7" s="393" t="s">
        <v>140</v>
      </c>
      <c r="J7" s="394" t="s">
        <v>139</v>
      </c>
      <c r="K7" s="395" t="s">
        <v>140</v>
      </c>
      <c r="L7" s="393" t="s">
        <v>139</v>
      </c>
      <c r="M7" s="393" t="s">
        <v>140</v>
      </c>
      <c r="N7" s="393" t="s">
        <v>139</v>
      </c>
      <c r="O7" s="393" t="s">
        <v>140</v>
      </c>
      <c r="P7" s="393" t="s">
        <v>139</v>
      </c>
      <c r="Q7" s="393" t="s">
        <v>140</v>
      </c>
      <c r="R7" s="393" t="s">
        <v>139</v>
      </c>
      <c r="S7" s="393" t="s">
        <v>140</v>
      </c>
      <c r="T7" s="393" t="s">
        <v>139</v>
      </c>
      <c r="U7" s="393" t="s">
        <v>140</v>
      </c>
      <c r="V7" s="393" t="s">
        <v>139</v>
      </c>
      <c r="W7" s="393" t="s">
        <v>140</v>
      </c>
      <c r="X7" s="393" t="s">
        <v>139</v>
      </c>
      <c r="Y7" s="393" t="s">
        <v>140</v>
      </c>
      <c r="Z7" s="393" t="s">
        <v>139</v>
      </c>
      <c r="AA7" s="393" t="s">
        <v>140</v>
      </c>
    </row>
    <row r="8" spans="1:27">
      <c r="A8" s="396"/>
      <c r="B8" s="397"/>
      <c r="C8" s="397"/>
      <c r="D8" s="397"/>
      <c r="E8" s="397"/>
      <c r="F8" s="397"/>
      <c r="G8" s="397"/>
      <c r="H8" s="397"/>
      <c r="I8" s="397"/>
      <c r="J8" s="398"/>
      <c r="K8" s="399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</row>
    <row r="9" spans="1:27">
      <c r="A9" s="400" t="s">
        <v>106</v>
      </c>
      <c r="B9" s="401">
        <f t="shared" ref="B9:Y9" si="0">B11+B36+B85+B97+B102+B136+B151+B189</f>
        <v>149387</v>
      </c>
      <c r="C9" s="401">
        <f t="shared" si="0"/>
        <v>83642274</v>
      </c>
      <c r="D9" s="401">
        <f t="shared" si="0"/>
        <v>134859</v>
      </c>
      <c r="E9" s="401">
        <f t="shared" si="0"/>
        <v>77838400</v>
      </c>
      <c r="F9" s="401">
        <f t="shared" si="0"/>
        <v>116197</v>
      </c>
      <c r="G9" s="401">
        <f t="shared" si="0"/>
        <v>70981672</v>
      </c>
      <c r="H9" s="401">
        <f>H11+H36+H85+H97+H102+H136+H151+H189</f>
        <v>96180</v>
      </c>
      <c r="I9" s="401">
        <f t="shared" si="0"/>
        <v>53927495</v>
      </c>
      <c r="J9" s="402">
        <f t="shared" si="0"/>
        <v>135293</v>
      </c>
      <c r="K9" s="403">
        <f t="shared" si="0"/>
        <v>86108621</v>
      </c>
      <c r="L9" s="401">
        <f t="shared" si="0"/>
        <v>137464</v>
      </c>
      <c r="M9" s="401">
        <f t="shared" si="0"/>
        <v>97259100</v>
      </c>
      <c r="N9" s="401">
        <f t="shared" si="0"/>
        <v>135636</v>
      </c>
      <c r="O9" s="401">
        <f>O11+O36+O85+O97+O102+O136+O151+O189</f>
        <v>113137191</v>
      </c>
      <c r="P9" s="401">
        <f t="shared" ref="P9:Q9" si="1">P11+P36+P85+P97+P102+P136+P151+P189</f>
        <v>180175</v>
      </c>
      <c r="Q9" s="401">
        <f t="shared" si="1"/>
        <v>130469911</v>
      </c>
      <c r="R9" s="401">
        <f t="shared" si="0"/>
        <v>138272</v>
      </c>
      <c r="S9" s="401">
        <f t="shared" si="0"/>
        <v>91374787</v>
      </c>
      <c r="T9" s="401">
        <f t="shared" si="0"/>
        <v>158604</v>
      </c>
      <c r="U9" s="401">
        <f t="shared" si="0"/>
        <v>99046159</v>
      </c>
      <c r="V9" s="401">
        <f>V11+V36+V85+V97+V102+V136+V151+V189</f>
        <v>154200</v>
      </c>
      <c r="W9" s="401">
        <f>W11+W36+W85+W97+W102+W136+W151+W189</f>
        <v>91747985</v>
      </c>
      <c r="X9" s="401">
        <f t="shared" si="0"/>
        <v>162659</v>
      </c>
      <c r="Y9" s="401">
        <f t="shared" si="0"/>
        <v>102455347</v>
      </c>
      <c r="Z9" s="401">
        <f>SUM(B9,D9,F9,H9,J9,L9,N9,P9,R9,T9,V9,X9)</f>
        <v>1698926</v>
      </c>
      <c r="AA9" s="401">
        <f>SUM(C9,E9,G9,I9,K9,M9,O9,Q9,S9,U9,W9,Y9)</f>
        <v>1097988942</v>
      </c>
    </row>
    <row r="10" spans="1:27">
      <c r="A10" s="404"/>
      <c r="B10" s="405"/>
      <c r="C10" s="405"/>
      <c r="D10" s="405"/>
      <c r="E10" s="405"/>
      <c r="F10" s="405"/>
      <c r="G10" s="405"/>
      <c r="H10" s="405"/>
      <c r="I10" s="405"/>
      <c r="J10" s="398"/>
      <c r="K10" s="399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</row>
    <row r="11" spans="1:27">
      <c r="A11" s="406" t="s">
        <v>141</v>
      </c>
      <c r="B11" s="407">
        <f t="shared" ref="B11:Y11" si="2">SUM(B12:B34)</f>
        <v>9822</v>
      </c>
      <c r="C11" s="407">
        <f t="shared" si="2"/>
        <v>7689072</v>
      </c>
      <c r="D11" s="407">
        <f t="shared" si="2"/>
        <v>13182</v>
      </c>
      <c r="E11" s="407">
        <f t="shared" si="2"/>
        <v>9988636</v>
      </c>
      <c r="F11" s="407">
        <f t="shared" si="2"/>
        <v>12924</v>
      </c>
      <c r="G11" s="407">
        <f t="shared" si="2"/>
        <v>10303881</v>
      </c>
      <c r="H11" s="407">
        <f t="shared" si="2"/>
        <v>8794</v>
      </c>
      <c r="I11" s="407">
        <f t="shared" si="2"/>
        <v>7937732</v>
      </c>
      <c r="J11" s="408">
        <f t="shared" si="2"/>
        <v>14153</v>
      </c>
      <c r="K11" s="409">
        <f>SUM(K12:K34)</f>
        <v>9985367</v>
      </c>
      <c r="L11" s="407">
        <f t="shared" si="2"/>
        <v>13721</v>
      </c>
      <c r="M11" s="407">
        <f t="shared" si="2"/>
        <v>10777159</v>
      </c>
      <c r="N11" s="407">
        <f t="shared" si="2"/>
        <v>17223</v>
      </c>
      <c r="O11" s="407">
        <f t="shared" si="2"/>
        <v>14149868</v>
      </c>
      <c r="P11" s="407">
        <f t="shared" si="2"/>
        <v>16854</v>
      </c>
      <c r="Q11" s="407">
        <f t="shared" si="2"/>
        <v>16948467</v>
      </c>
      <c r="R11" s="407">
        <f t="shared" si="2"/>
        <v>13693</v>
      </c>
      <c r="S11" s="407">
        <f t="shared" si="2"/>
        <v>11152146</v>
      </c>
      <c r="T11" s="407">
        <f t="shared" si="2"/>
        <v>11159</v>
      </c>
      <c r="U11" s="407">
        <f t="shared" si="2"/>
        <v>10364638</v>
      </c>
      <c r="V11" s="407">
        <f>SUM(V12:V34)</f>
        <v>11101</v>
      </c>
      <c r="W11" s="407">
        <f>SUM(W12:W34)</f>
        <v>10615154</v>
      </c>
      <c r="X11" s="407">
        <f t="shared" si="2"/>
        <v>15058</v>
      </c>
      <c r="Y11" s="407">
        <f t="shared" si="2"/>
        <v>14072707</v>
      </c>
      <c r="Z11" s="407">
        <f t="shared" ref="Z11:Z34" si="3">SUM(B11,D11,F11,H11,J11,L11,N11,P11,R11,T11,V11,X11)</f>
        <v>157684</v>
      </c>
      <c r="AA11" s="407">
        <f t="shared" ref="AA11:AA34" si="4">SUM(C11,E11,G11,I11,K11,M11,O11,Q11,S11,U11,W11,Y11)</f>
        <v>133984827</v>
      </c>
    </row>
    <row r="12" spans="1:27">
      <c r="A12" s="410" t="s">
        <v>222</v>
      </c>
      <c r="B12" s="411">
        <v>6052</v>
      </c>
      <c r="C12" s="411">
        <v>4259214</v>
      </c>
      <c r="D12" s="411">
        <v>7754</v>
      </c>
      <c r="E12" s="411">
        <v>4910425</v>
      </c>
      <c r="F12" s="411">
        <v>5600</v>
      </c>
      <c r="G12" s="411">
        <v>3312180</v>
      </c>
      <c r="H12" s="411">
        <v>3341</v>
      </c>
      <c r="I12" s="411">
        <v>2434783</v>
      </c>
      <c r="J12" s="412">
        <v>6917</v>
      </c>
      <c r="K12" s="413">
        <v>3550152</v>
      </c>
      <c r="L12" s="411">
        <v>4508</v>
      </c>
      <c r="M12" s="411">
        <v>3172221</v>
      </c>
      <c r="N12" s="411">
        <v>8345</v>
      </c>
      <c r="O12" s="411">
        <v>5467381</v>
      </c>
      <c r="P12" s="411">
        <v>6542</v>
      </c>
      <c r="Q12" s="411">
        <v>5892377</v>
      </c>
      <c r="R12" s="411">
        <v>4607</v>
      </c>
      <c r="S12" s="411">
        <v>2424966</v>
      </c>
      <c r="T12" s="411">
        <v>3933</v>
      </c>
      <c r="U12" s="411">
        <v>2807435</v>
      </c>
      <c r="V12" s="411">
        <f>_xlfn.IFNA(VLOOKUP(A12,[4]進出口值表查詢結果!$C$11:$F$68,4,0),-[5]整車!$B$22)</f>
        <v>4019</v>
      </c>
      <c r="W12" s="411">
        <f>_xlfn.IFNA(VLOOKUP(A12,[4]進出口值表查詢結果!$C$11:$F$68,3,0),-[5]整車!$B$22)</f>
        <v>3259963</v>
      </c>
      <c r="X12" s="411">
        <f>_xlfn.IFNA(VLOOKUP(A12,[6]進出口值表查詢結果!$C$11:$F$68,4,0),-[5]整車!$B$22)</f>
        <v>5220</v>
      </c>
      <c r="Y12" s="411">
        <f>_xlfn.IFNA(VLOOKUP(A12,[6]進出口值表查詢結果!$C$11:$F$68,3,0),-[5]整車!$B$22)</f>
        <v>3196394</v>
      </c>
      <c r="Z12" s="405">
        <f t="shared" si="3"/>
        <v>66838</v>
      </c>
      <c r="AA12" s="405">
        <f t="shared" si="4"/>
        <v>44687491</v>
      </c>
    </row>
    <row r="13" spans="1:27">
      <c r="A13" s="410" t="s">
        <v>232</v>
      </c>
      <c r="B13" s="411">
        <v>179</v>
      </c>
      <c r="C13" s="411">
        <v>131656</v>
      </c>
      <c r="D13" s="411">
        <v>274</v>
      </c>
      <c r="E13" s="411">
        <v>366955</v>
      </c>
      <c r="F13" s="411">
        <v>379</v>
      </c>
      <c r="G13" s="411">
        <v>326020</v>
      </c>
      <c r="H13" s="411">
        <v>412</v>
      </c>
      <c r="I13" s="411">
        <v>690860</v>
      </c>
      <c r="J13" s="412">
        <v>564</v>
      </c>
      <c r="K13" s="413">
        <v>591178</v>
      </c>
      <c r="L13" s="411">
        <v>419</v>
      </c>
      <c r="M13" s="411">
        <v>628920</v>
      </c>
      <c r="N13" s="411">
        <v>900</v>
      </c>
      <c r="O13" s="411">
        <v>1147430</v>
      </c>
      <c r="P13" s="411">
        <v>1146</v>
      </c>
      <c r="Q13" s="411">
        <v>1244090</v>
      </c>
      <c r="R13" s="411">
        <v>1102</v>
      </c>
      <c r="S13" s="411">
        <v>984782</v>
      </c>
      <c r="T13" s="411">
        <v>754</v>
      </c>
      <c r="U13" s="411">
        <v>962823</v>
      </c>
      <c r="V13" s="411">
        <f>_xlfn.IFNA(VLOOKUP(A13,[4]進出口值表查詢結果!$C$11:$F$68,4,0),-[5]整車!$B$22)</f>
        <v>856</v>
      </c>
      <c r="W13" s="411">
        <f>_xlfn.IFNA(VLOOKUP(A13,[4]進出口值表查詢結果!$C$11:$F$68,3,0),-[5]整車!$B$22)</f>
        <v>955426</v>
      </c>
      <c r="X13" s="411">
        <f>_xlfn.IFNA(VLOOKUP(A13,[6]進出口值表查詢結果!$C$11:$F$68,4,0),-[5]整車!$B$22)</f>
        <v>1391</v>
      </c>
      <c r="Y13" s="411">
        <f>_xlfn.IFNA(VLOOKUP(A13,[6]進出口值表查詢結果!$C$11:$F$68,3,0),-[5]整車!$B$22)</f>
        <v>1781279</v>
      </c>
      <c r="Z13" s="405">
        <f t="shared" si="3"/>
        <v>8376</v>
      </c>
      <c r="AA13" s="405">
        <f t="shared" si="4"/>
        <v>9811419</v>
      </c>
    </row>
    <row r="14" spans="1:27">
      <c r="A14" s="448" t="s">
        <v>233</v>
      </c>
      <c r="B14" s="411">
        <v>524</v>
      </c>
      <c r="C14" s="411">
        <v>127658</v>
      </c>
      <c r="D14" s="411">
        <v>549</v>
      </c>
      <c r="E14" s="411">
        <v>126180</v>
      </c>
      <c r="F14" s="411">
        <v>710</v>
      </c>
      <c r="G14" s="411">
        <v>174742</v>
      </c>
      <c r="H14" s="411">
        <v>864</v>
      </c>
      <c r="I14" s="411">
        <v>362370</v>
      </c>
      <c r="J14" s="412">
        <v>1603</v>
      </c>
      <c r="K14" s="413">
        <v>677515</v>
      </c>
      <c r="L14" s="411">
        <v>1216</v>
      </c>
      <c r="M14" s="411">
        <v>120579</v>
      </c>
      <c r="N14" s="411">
        <v>1021</v>
      </c>
      <c r="O14" s="411">
        <v>611528</v>
      </c>
      <c r="P14" s="411">
        <v>1131</v>
      </c>
      <c r="Q14" s="411">
        <v>586618</v>
      </c>
      <c r="R14" s="411">
        <v>1515</v>
      </c>
      <c r="S14" s="411">
        <v>914097</v>
      </c>
      <c r="T14" s="411">
        <v>818</v>
      </c>
      <c r="U14" s="411">
        <v>265715</v>
      </c>
      <c r="V14" s="411">
        <f>_xlfn.IFNA(VLOOKUP(A14,[4]進出口值表查詢結果!$C$11:$F$68,4,0),-[5]整車!$B$22)</f>
        <v>695</v>
      </c>
      <c r="W14" s="411">
        <f>_xlfn.IFNA(VLOOKUP(A14,[4]進出口值表查詢結果!$C$11:$F$68,3,0),-[5]整車!$B$22)</f>
        <v>379724</v>
      </c>
      <c r="X14" s="411">
        <f>_xlfn.IFNA(VLOOKUP(A14,[6]進出口值表查詢結果!$C$11:$F$68,4,0),-[5]整車!$B$22)</f>
        <v>456</v>
      </c>
      <c r="Y14" s="411">
        <f>_xlfn.IFNA(VLOOKUP(A14,[6]進出口值表查詢結果!$C$11:$F$68,3,0),-[5]整車!$B$22)</f>
        <v>425334</v>
      </c>
      <c r="Z14" s="405">
        <f t="shared" si="3"/>
        <v>11102</v>
      </c>
      <c r="AA14" s="405">
        <f t="shared" si="4"/>
        <v>4772060</v>
      </c>
    </row>
    <row r="15" spans="1:27">
      <c r="A15" s="448" t="s">
        <v>171</v>
      </c>
      <c r="B15" s="411">
        <v>65</v>
      </c>
      <c r="C15" s="411">
        <v>102167</v>
      </c>
      <c r="D15" s="411">
        <v>153</v>
      </c>
      <c r="E15" s="411">
        <v>198502</v>
      </c>
      <c r="F15" s="411">
        <v>171</v>
      </c>
      <c r="G15" s="411">
        <v>186525</v>
      </c>
      <c r="H15" s="411">
        <v>62</v>
      </c>
      <c r="I15" s="411">
        <v>69195</v>
      </c>
      <c r="J15" s="412">
        <v>111</v>
      </c>
      <c r="K15" s="413">
        <v>71668</v>
      </c>
      <c r="L15" s="411">
        <v>156</v>
      </c>
      <c r="M15" s="411">
        <v>125402</v>
      </c>
      <c r="N15" s="411">
        <v>167</v>
      </c>
      <c r="O15" s="411">
        <v>258485</v>
      </c>
      <c r="P15" s="411">
        <v>211</v>
      </c>
      <c r="Q15" s="411">
        <v>238597</v>
      </c>
      <c r="R15" s="411">
        <v>601</v>
      </c>
      <c r="S15" s="411">
        <v>371230</v>
      </c>
      <c r="T15" s="411">
        <v>212</v>
      </c>
      <c r="U15" s="411">
        <v>237659</v>
      </c>
      <c r="V15" s="411">
        <f>_xlfn.IFNA(VLOOKUP(A15,[4]進出口值表查詢結果!$C$11:$F$68,4,0),-[5]整車!$B$22)</f>
        <v>156</v>
      </c>
      <c r="W15" s="411">
        <f>_xlfn.IFNA(VLOOKUP(A15,[4]進出口值表查詢結果!$C$11:$F$68,3,0),-[5]整車!$B$22)</f>
        <v>243778</v>
      </c>
      <c r="X15" s="411">
        <f>_xlfn.IFNA(VLOOKUP(A15,[6]進出口值表查詢結果!$C$11:$F$68,4,0),-[5]整車!$B$22)</f>
        <v>452</v>
      </c>
      <c r="Y15" s="411">
        <f>_xlfn.IFNA(VLOOKUP(A15,[6]進出口值表查詢結果!$C$11:$F$68,3,0),-[5]整車!$B$22)</f>
        <v>279986</v>
      </c>
      <c r="Z15" s="405">
        <f t="shared" si="3"/>
        <v>2517</v>
      </c>
      <c r="AA15" s="405">
        <f t="shared" si="4"/>
        <v>2383194</v>
      </c>
    </row>
    <row r="16" spans="1:27">
      <c r="A16" s="449" t="s">
        <v>177</v>
      </c>
      <c r="B16" s="411">
        <v>1307</v>
      </c>
      <c r="C16" s="411">
        <v>1817059</v>
      </c>
      <c r="D16" s="411">
        <v>1950</v>
      </c>
      <c r="E16" s="411">
        <v>2185577</v>
      </c>
      <c r="F16" s="411">
        <v>2367</v>
      </c>
      <c r="G16" s="411">
        <v>2674246</v>
      </c>
      <c r="H16" s="411">
        <v>2201</v>
      </c>
      <c r="I16" s="411">
        <v>1979400</v>
      </c>
      <c r="J16" s="412">
        <v>2682</v>
      </c>
      <c r="K16" s="413">
        <v>2461078</v>
      </c>
      <c r="L16" s="411">
        <v>2380</v>
      </c>
      <c r="M16" s="411">
        <v>2624768</v>
      </c>
      <c r="N16" s="411">
        <v>2747</v>
      </c>
      <c r="O16" s="411">
        <v>2999359</v>
      </c>
      <c r="P16" s="411">
        <v>3612</v>
      </c>
      <c r="Q16" s="411">
        <v>4516165</v>
      </c>
      <c r="R16" s="411">
        <v>2996</v>
      </c>
      <c r="S16" s="411">
        <v>3713824</v>
      </c>
      <c r="T16" s="411">
        <v>2056</v>
      </c>
      <c r="U16" s="411">
        <v>2891152</v>
      </c>
      <c r="V16" s="411">
        <f>_xlfn.IFNA(VLOOKUP(A16,[4]進出口值表查詢結果!$C$11:$F$68,4,0),-[5]整車!$B$22)</f>
        <v>1790</v>
      </c>
      <c r="W16" s="411">
        <f>_xlfn.IFNA(VLOOKUP(A16,[4]進出口值表查詢結果!$C$11:$F$68,3,0),-[5]整車!$B$22)</f>
        <v>2212342</v>
      </c>
      <c r="X16" s="411">
        <f>_xlfn.IFNA(VLOOKUP(A16,[6]進出口值表查詢結果!$C$11:$F$68,4,0),-[5]整車!$B$22)</f>
        <v>1546</v>
      </c>
      <c r="Y16" s="411">
        <f>_xlfn.IFNA(VLOOKUP(A16,[6]進出口值表查詢結果!$C$11:$F$68,3,0),-[5]整車!$B$22)</f>
        <v>1984044</v>
      </c>
      <c r="Z16" s="405">
        <f t="shared" si="3"/>
        <v>27634</v>
      </c>
      <c r="AA16" s="405">
        <f t="shared" si="4"/>
        <v>32059014</v>
      </c>
    </row>
    <row r="17" spans="1:27">
      <c r="A17" s="448" t="s">
        <v>180</v>
      </c>
      <c r="B17" s="411">
        <v>196</v>
      </c>
      <c r="C17" s="411">
        <v>159614</v>
      </c>
      <c r="D17" s="411">
        <v>25</v>
      </c>
      <c r="E17" s="411">
        <v>14125</v>
      </c>
      <c r="F17" s="411">
        <v>272</v>
      </c>
      <c r="G17" s="411">
        <v>324659</v>
      </c>
      <c r="H17" s="411">
        <v>6</v>
      </c>
      <c r="I17" s="411">
        <v>198</v>
      </c>
      <c r="J17" s="412">
        <v>392</v>
      </c>
      <c r="K17" s="413">
        <v>442301</v>
      </c>
      <c r="L17" s="411">
        <v>213</v>
      </c>
      <c r="M17" s="411">
        <v>334619</v>
      </c>
      <c r="N17" s="411">
        <v>471</v>
      </c>
      <c r="O17" s="411">
        <v>520823</v>
      </c>
      <c r="P17" s="411">
        <v>373</v>
      </c>
      <c r="Q17" s="411">
        <v>455099</v>
      </c>
      <c r="R17" s="411">
        <v>34</v>
      </c>
      <c r="S17" s="411">
        <v>38452</v>
      </c>
      <c r="T17" s="411">
        <v>10</v>
      </c>
      <c r="U17" s="411">
        <v>4200</v>
      </c>
      <c r="V17" s="411">
        <f>_xlfn.IFNA(VLOOKUP(A17,[4]進出口值表查詢結果!$C$11:$F$68,4,0),-[5]整車!$B$22)</f>
        <v>34</v>
      </c>
      <c r="W17" s="411">
        <f>_xlfn.IFNA(VLOOKUP(A17,[4]進出口值表查詢結果!$C$11:$F$68,3,0),-[5]整車!$B$22)</f>
        <v>42910</v>
      </c>
      <c r="X17" s="411">
        <f>_xlfn.IFNA(VLOOKUP(A17,[6]進出口值表查詢結果!$C$11:$F$68,4,0),-[5]整車!$B$22)</f>
        <v>823</v>
      </c>
      <c r="Y17" s="411">
        <f>_xlfn.IFNA(VLOOKUP(A17,[6]進出口值表查詢結果!$C$11:$F$68,3,0),-[5]整車!$B$22)</f>
        <v>958153</v>
      </c>
      <c r="Z17" s="405">
        <f t="shared" si="3"/>
        <v>2849</v>
      </c>
      <c r="AA17" s="405">
        <f t="shared" si="4"/>
        <v>3295153</v>
      </c>
    </row>
    <row r="18" spans="1:27">
      <c r="A18" s="448" t="s">
        <v>182</v>
      </c>
      <c r="B18" s="411">
        <v>246</v>
      </c>
      <c r="C18" s="411">
        <v>218428</v>
      </c>
      <c r="D18" s="411">
        <v>112</v>
      </c>
      <c r="E18" s="411">
        <v>127248</v>
      </c>
      <c r="F18" s="411">
        <v>145</v>
      </c>
      <c r="G18" s="411">
        <v>175938</v>
      </c>
      <c r="H18" s="411">
        <v>76</v>
      </c>
      <c r="I18" s="411">
        <v>84167</v>
      </c>
      <c r="J18" s="412">
        <v>231</v>
      </c>
      <c r="K18" s="413">
        <v>292647</v>
      </c>
      <c r="L18" s="411">
        <v>225</v>
      </c>
      <c r="M18" s="411">
        <v>233311</v>
      </c>
      <c r="N18" s="411">
        <v>442</v>
      </c>
      <c r="O18" s="411">
        <v>515923</v>
      </c>
      <c r="P18" s="411">
        <v>635</v>
      </c>
      <c r="Q18" s="411">
        <v>666047</v>
      </c>
      <c r="R18" s="411">
        <v>372</v>
      </c>
      <c r="S18" s="411">
        <v>415965</v>
      </c>
      <c r="T18" s="411">
        <v>793</v>
      </c>
      <c r="U18" s="411">
        <v>698930</v>
      </c>
      <c r="V18" s="411">
        <f>_xlfn.IFNA(VLOOKUP(A18,[4]進出口值表查詢結果!$C$11:$F$68,4,0),-[5]整車!$B$22)</f>
        <v>332</v>
      </c>
      <c r="W18" s="411">
        <f>_xlfn.IFNA(VLOOKUP(A18,[4]進出口值表查詢結果!$C$11:$F$68,3,0),-[5]整車!$B$22)</f>
        <v>417088</v>
      </c>
      <c r="X18" s="411">
        <f>_xlfn.IFNA(VLOOKUP(A18,[6]進出口值表查詢結果!$C$11:$F$68,4,0),-[5]整車!$B$22)</f>
        <v>830</v>
      </c>
      <c r="Y18" s="411">
        <f>_xlfn.IFNA(VLOOKUP(A18,[6]進出口值表查詢結果!$C$11:$F$68,3,0),-[5]整車!$B$22)</f>
        <v>1167495</v>
      </c>
      <c r="Z18" s="405">
        <f t="shared" si="3"/>
        <v>4439</v>
      </c>
      <c r="AA18" s="405">
        <f t="shared" si="4"/>
        <v>5013187</v>
      </c>
    </row>
    <row r="19" spans="1:27">
      <c r="A19" s="448" t="s">
        <v>181</v>
      </c>
      <c r="B19" s="411">
        <v>38</v>
      </c>
      <c r="C19" s="411">
        <v>34255</v>
      </c>
      <c r="D19" s="411">
        <v>114</v>
      </c>
      <c r="E19" s="411">
        <v>142072</v>
      </c>
      <c r="F19" s="411">
        <v>47</v>
      </c>
      <c r="G19" s="411">
        <v>88748</v>
      </c>
      <c r="H19" s="411">
        <v>116</v>
      </c>
      <c r="I19" s="411">
        <v>179464</v>
      </c>
      <c r="J19" s="412">
        <v>134</v>
      </c>
      <c r="K19" s="413">
        <v>160240</v>
      </c>
      <c r="L19" s="411">
        <v>114</v>
      </c>
      <c r="M19" s="411">
        <v>167091</v>
      </c>
      <c r="N19" s="411">
        <v>103</v>
      </c>
      <c r="O19" s="411">
        <v>156524</v>
      </c>
      <c r="P19" s="411">
        <v>60</v>
      </c>
      <c r="Q19" s="411">
        <v>89867</v>
      </c>
      <c r="R19" s="411">
        <v>291</v>
      </c>
      <c r="S19" s="411">
        <v>452957</v>
      </c>
      <c r="T19" s="411">
        <v>157</v>
      </c>
      <c r="U19" s="411">
        <v>198796</v>
      </c>
      <c r="V19" s="411">
        <f>_xlfn.IFNA(VLOOKUP(A19,[4]進出口值表查詢結果!$C$11:$F$68,4,0),-[5]整車!$B$22)</f>
        <v>161</v>
      </c>
      <c r="W19" s="411">
        <f>_xlfn.IFNA(VLOOKUP(A19,[4]進出口值表查詢結果!$C$11:$F$68,3,0),-[5]整車!$B$22)</f>
        <v>332513</v>
      </c>
      <c r="X19" s="411">
        <f>_xlfn.IFNA(VLOOKUP(A19,[6]進出口值表查詢結果!$C$11:$F$68,4,0),-[5]整車!$B$22)</f>
        <v>82</v>
      </c>
      <c r="Y19" s="411">
        <f>_xlfn.IFNA(VLOOKUP(A19,[6]進出口值表查詢結果!$C$11:$F$68,3,0),-[5]整車!$B$22)</f>
        <v>135445</v>
      </c>
      <c r="Z19" s="405">
        <f t="shared" si="3"/>
        <v>1417</v>
      </c>
      <c r="AA19" s="405">
        <f t="shared" si="4"/>
        <v>2137972</v>
      </c>
    </row>
    <row r="20" spans="1:27">
      <c r="A20" s="448" t="s">
        <v>234</v>
      </c>
      <c r="B20" s="411">
        <v>0</v>
      </c>
      <c r="C20" s="411">
        <v>0</v>
      </c>
      <c r="D20" s="411">
        <v>62</v>
      </c>
      <c r="E20" s="411">
        <v>80913</v>
      </c>
      <c r="F20" s="411">
        <v>0</v>
      </c>
      <c r="G20" s="411"/>
      <c r="H20" s="411">
        <v>0</v>
      </c>
      <c r="I20" s="411">
        <v>0</v>
      </c>
      <c r="J20" s="412">
        <v>14</v>
      </c>
      <c r="K20" s="413">
        <v>18143</v>
      </c>
      <c r="L20" s="411">
        <v>0</v>
      </c>
      <c r="M20" s="411">
        <v>0</v>
      </c>
      <c r="N20" s="411">
        <v>0</v>
      </c>
      <c r="O20" s="411">
        <v>0</v>
      </c>
      <c r="P20" s="411">
        <v>0</v>
      </c>
      <c r="Q20" s="411">
        <v>0</v>
      </c>
      <c r="R20" s="411">
        <v>0</v>
      </c>
      <c r="S20" s="411">
        <v>0</v>
      </c>
      <c r="T20" s="411"/>
      <c r="U20" s="411"/>
      <c r="V20" s="411">
        <f>_xlfn.IFNA(VLOOKUP(A20,[4]進出口值表查詢結果!$C$11:$F$68,4,0),-[5]整車!$B$22)</f>
        <v>0</v>
      </c>
      <c r="W20" s="411">
        <f>_xlfn.IFNA(VLOOKUP(A20,[4]進出口值表查詢結果!$C$11:$F$68,3,0),-[5]整車!$B$22)</f>
        <v>0</v>
      </c>
      <c r="X20" s="411">
        <f>_xlfn.IFNA(VLOOKUP(A20,[6]進出口值表查詢結果!$C$11:$F$68,4,0),-[5]整車!$B$22)</f>
        <v>0</v>
      </c>
      <c r="Y20" s="411">
        <f>_xlfn.IFNA(VLOOKUP(A20,[6]進出口值表查詢結果!$C$11:$F$68,3,0),-[5]整車!$B$22)</f>
        <v>0</v>
      </c>
      <c r="Z20" s="405">
        <f t="shared" si="3"/>
        <v>76</v>
      </c>
      <c r="AA20" s="405">
        <f t="shared" si="4"/>
        <v>99056</v>
      </c>
    </row>
    <row r="21" spans="1:27">
      <c r="A21" s="448" t="s">
        <v>192</v>
      </c>
      <c r="B21" s="411">
        <v>367</v>
      </c>
      <c r="C21" s="411">
        <v>213697</v>
      </c>
      <c r="D21" s="411">
        <v>458</v>
      </c>
      <c r="E21" s="411">
        <v>230710</v>
      </c>
      <c r="F21" s="411">
        <v>165</v>
      </c>
      <c r="G21" s="411">
        <v>82941</v>
      </c>
      <c r="H21" s="411">
        <v>35</v>
      </c>
      <c r="I21" s="411">
        <v>4203</v>
      </c>
      <c r="J21" s="412">
        <v>74</v>
      </c>
      <c r="K21" s="413">
        <v>16703</v>
      </c>
      <c r="L21" s="411">
        <v>938</v>
      </c>
      <c r="M21" s="411">
        <v>178622</v>
      </c>
      <c r="N21" s="411">
        <v>107</v>
      </c>
      <c r="O21" s="411">
        <v>7169</v>
      </c>
      <c r="P21" s="411">
        <v>364</v>
      </c>
      <c r="Q21" s="411">
        <v>13151</v>
      </c>
      <c r="R21" s="411">
        <v>211</v>
      </c>
      <c r="S21" s="411">
        <v>139301</v>
      </c>
      <c r="T21" s="411">
        <v>291</v>
      </c>
      <c r="U21" s="411">
        <v>151421</v>
      </c>
      <c r="V21" s="411">
        <f>_xlfn.IFNA(VLOOKUP(A21,[4]進出口值表查詢結果!$C$11:$F$68,4,0),-[5]整車!$B$22)</f>
        <v>884</v>
      </c>
      <c r="W21" s="411">
        <f>_xlfn.IFNA(VLOOKUP(A21,[4]進出口值表查詢結果!$C$11:$F$68,3,0),-[5]整車!$B$22)</f>
        <v>377477</v>
      </c>
      <c r="X21" s="411">
        <f>_xlfn.IFNA(VLOOKUP(A21,[6]進出口值表查詢結果!$C$11:$F$68,4,0),-[5]整車!$B$22)</f>
        <v>872</v>
      </c>
      <c r="Y21" s="411">
        <f>_xlfn.IFNA(VLOOKUP(A21,[6]進出口值表查詢結果!$C$11:$F$68,3,0),-[5]整車!$B$22)</f>
        <v>486108</v>
      </c>
      <c r="Z21" s="405">
        <f t="shared" si="3"/>
        <v>4766</v>
      </c>
      <c r="AA21" s="405">
        <f t="shared" si="4"/>
        <v>1901503</v>
      </c>
    </row>
    <row r="22" spans="1:27">
      <c r="A22" s="448" t="s">
        <v>235</v>
      </c>
      <c r="B22" s="411">
        <v>0</v>
      </c>
      <c r="C22" s="411">
        <v>0</v>
      </c>
      <c r="D22" s="411"/>
      <c r="E22" s="411"/>
      <c r="F22" s="411">
        <v>0</v>
      </c>
      <c r="G22" s="411"/>
      <c r="H22" s="411">
        <v>0</v>
      </c>
      <c r="I22" s="411">
        <v>0</v>
      </c>
      <c r="J22" s="412">
        <v>0</v>
      </c>
      <c r="K22" s="415" t="s">
        <v>60</v>
      </c>
      <c r="L22" s="411">
        <v>0</v>
      </c>
      <c r="M22" s="411">
        <v>0</v>
      </c>
      <c r="N22" s="411">
        <v>0</v>
      </c>
      <c r="O22" s="411">
        <v>0</v>
      </c>
      <c r="P22" s="411">
        <v>0</v>
      </c>
      <c r="Q22" s="411">
        <v>0</v>
      </c>
      <c r="R22" s="411">
        <v>0</v>
      </c>
      <c r="S22" s="411">
        <v>0</v>
      </c>
      <c r="T22" s="411"/>
      <c r="U22" s="411"/>
      <c r="V22" s="411">
        <f>_xlfn.IFNA(VLOOKUP(A22,[4]進出口值表查詢結果!$C$11:$F$68,4,0),-[5]整車!$B$22)</f>
        <v>0</v>
      </c>
      <c r="W22" s="411">
        <f>_xlfn.IFNA(VLOOKUP(A22,[4]進出口值表查詢結果!$C$11:$F$68,3,0),-[5]整車!$B$22)</f>
        <v>0</v>
      </c>
      <c r="X22" s="411">
        <f>_xlfn.IFNA(VLOOKUP(A22,[6]進出口值表查詢結果!$C$11:$F$68,4,0),-[5]整車!$B$22)</f>
        <v>0</v>
      </c>
      <c r="Y22" s="411">
        <f>_xlfn.IFNA(VLOOKUP(A22,[6]進出口值表查詢結果!$C$11:$F$68,3,0),-[5]整車!$B$22)</f>
        <v>0</v>
      </c>
      <c r="Z22" s="405">
        <f t="shared" si="3"/>
        <v>0</v>
      </c>
      <c r="AA22" s="405">
        <f t="shared" si="4"/>
        <v>0</v>
      </c>
    </row>
    <row r="23" spans="1:27">
      <c r="A23" s="448" t="s">
        <v>179</v>
      </c>
      <c r="B23" s="411">
        <v>4</v>
      </c>
      <c r="C23" s="411">
        <v>12662</v>
      </c>
      <c r="D23" s="411">
        <v>36</v>
      </c>
      <c r="E23" s="411">
        <v>33578</v>
      </c>
      <c r="F23" s="411">
        <v>0</v>
      </c>
      <c r="G23" s="411"/>
      <c r="H23" s="411">
        <v>0</v>
      </c>
      <c r="I23" s="411">
        <v>0</v>
      </c>
      <c r="J23" s="412" t="s">
        <v>60</v>
      </c>
      <c r="K23" s="415" t="s">
        <v>60</v>
      </c>
      <c r="L23" s="411">
        <v>12</v>
      </c>
      <c r="M23" s="411">
        <v>40985</v>
      </c>
      <c r="N23" s="411">
        <v>11</v>
      </c>
      <c r="O23" s="411">
        <v>18898</v>
      </c>
      <c r="P23" s="411">
        <v>15</v>
      </c>
      <c r="Q23" s="411">
        <v>18841</v>
      </c>
      <c r="R23" s="411">
        <v>0</v>
      </c>
      <c r="S23" s="411">
        <v>0</v>
      </c>
      <c r="T23" s="411">
        <v>4</v>
      </c>
      <c r="U23" s="411">
        <v>8709</v>
      </c>
      <c r="V23" s="411">
        <f>_xlfn.IFNA(VLOOKUP(A23,[4]進出口值表查詢結果!$C$11:$F$68,4,0),-[5]整車!$B$22)</f>
        <v>0</v>
      </c>
      <c r="W23" s="411">
        <f>_xlfn.IFNA(VLOOKUP(A23,[4]進出口值表查詢結果!$C$11:$F$68,3,0),-[5]整車!$B$22)</f>
        <v>0</v>
      </c>
      <c r="X23" s="411">
        <f>_xlfn.IFNA(VLOOKUP(A23,[6]進出口值表查詢結果!$C$11:$F$68,4,0),-[5]整車!$B$22)</f>
        <v>23</v>
      </c>
      <c r="Y23" s="411">
        <f>_xlfn.IFNA(VLOOKUP(A23,[6]進出口值表查詢結果!$C$11:$F$68,3,0),-[5]整車!$B$22)</f>
        <v>41742</v>
      </c>
      <c r="Z23" s="405">
        <f t="shared" si="3"/>
        <v>105</v>
      </c>
      <c r="AA23" s="405">
        <f t="shared" si="4"/>
        <v>175415</v>
      </c>
    </row>
    <row r="24" spans="1:27">
      <c r="A24" s="448" t="s">
        <v>236</v>
      </c>
      <c r="B24" s="411">
        <v>0</v>
      </c>
      <c r="C24" s="411">
        <v>0</v>
      </c>
      <c r="D24" s="411"/>
      <c r="E24" s="411"/>
      <c r="F24" s="411">
        <v>0</v>
      </c>
      <c r="G24" s="411"/>
      <c r="H24" s="411">
        <v>0</v>
      </c>
      <c r="I24" s="411">
        <v>0</v>
      </c>
      <c r="J24" s="412">
        <v>1</v>
      </c>
      <c r="K24" s="413">
        <v>2606</v>
      </c>
      <c r="L24" s="411">
        <v>0</v>
      </c>
      <c r="M24" s="405">
        <v>0</v>
      </c>
      <c r="N24" s="411">
        <v>0</v>
      </c>
      <c r="O24" s="411">
        <v>0</v>
      </c>
      <c r="P24" s="411">
        <v>0</v>
      </c>
      <c r="Q24" s="411">
        <v>0</v>
      </c>
      <c r="R24" s="411">
        <v>0</v>
      </c>
      <c r="S24" s="411">
        <v>0</v>
      </c>
      <c r="T24" s="411"/>
      <c r="U24" s="411"/>
      <c r="V24" s="411">
        <f>_xlfn.IFNA(VLOOKUP(A24,[4]進出口值表查詢結果!$C$11:$F$68,4,0),-[5]整車!$B$22)</f>
        <v>0</v>
      </c>
      <c r="W24" s="411">
        <f>_xlfn.IFNA(VLOOKUP(A24,[4]進出口值表查詢結果!$C$11:$F$68,3,0),-[5]整車!$B$22)</f>
        <v>0</v>
      </c>
      <c r="X24" s="411">
        <f>_xlfn.IFNA(VLOOKUP(A24,[6]進出口值表查詢結果!$C$11:$F$68,4,0),-[5]整車!$B$22)</f>
        <v>0</v>
      </c>
      <c r="Y24" s="411">
        <f>_xlfn.IFNA(VLOOKUP(A24,[6]進出口值表查詢結果!$C$11:$F$68,3,0),-[5]整車!$B$22)</f>
        <v>0</v>
      </c>
      <c r="Z24" s="405">
        <f t="shared" si="3"/>
        <v>1</v>
      </c>
      <c r="AA24" s="405">
        <f t="shared" si="4"/>
        <v>2606</v>
      </c>
    </row>
    <row r="25" spans="1:27">
      <c r="A25" s="448" t="s">
        <v>237</v>
      </c>
      <c r="B25" s="411">
        <v>0</v>
      </c>
      <c r="C25" s="411">
        <v>0</v>
      </c>
      <c r="D25" s="411"/>
      <c r="E25" s="411"/>
      <c r="F25" s="411">
        <v>0</v>
      </c>
      <c r="G25" s="411"/>
      <c r="H25" s="411">
        <v>0</v>
      </c>
      <c r="I25" s="411">
        <v>0</v>
      </c>
      <c r="J25" s="412" t="s">
        <v>60</v>
      </c>
      <c r="K25" s="415" t="s">
        <v>60</v>
      </c>
      <c r="L25" s="411">
        <v>0</v>
      </c>
      <c r="M25" s="411">
        <v>0</v>
      </c>
      <c r="N25" s="411">
        <v>0</v>
      </c>
      <c r="O25" s="411">
        <v>0</v>
      </c>
      <c r="P25" s="411">
        <v>0</v>
      </c>
      <c r="Q25" s="411">
        <v>0</v>
      </c>
      <c r="R25" s="411">
        <v>0</v>
      </c>
      <c r="S25" s="411">
        <v>0</v>
      </c>
      <c r="T25" s="411"/>
      <c r="U25" s="411"/>
      <c r="V25" s="411">
        <f>_xlfn.IFNA(VLOOKUP(A25,[4]進出口值表查詢結果!$C$11:$F$68,4,0),-[5]整車!$B$22)</f>
        <v>0</v>
      </c>
      <c r="W25" s="411">
        <f>_xlfn.IFNA(VLOOKUP(A25,[4]進出口值表查詢結果!$C$11:$F$68,3,0),-[5]整車!$B$22)</f>
        <v>0</v>
      </c>
      <c r="X25" s="411">
        <f>_xlfn.IFNA(VLOOKUP(A25,[6]進出口值表查詢結果!$C$11:$F$68,4,0),-[5]整車!$B$22)</f>
        <v>0</v>
      </c>
      <c r="Y25" s="411">
        <f>_xlfn.IFNA(VLOOKUP(A25,[6]進出口值表查詢結果!$C$11:$F$68,3,0),-[5]整車!$B$22)</f>
        <v>0</v>
      </c>
      <c r="Z25" s="405">
        <f t="shared" si="3"/>
        <v>0</v>
      </c>
      <c r="AA25" s="405">
        <f t="shared" si="4"/>
        <v>0</v>
      </c>
    </row>
    <row r="26" spans="1:27">
      <c r="A26" s="448" t="s">
        <v>238</v>
      </c>
      <c r="B26" s="411">
        <v>0</v>
      </c>
      <c r="C26" s="411">
        <v>0</v>
      </c>
      <c r="D26" s="411"/>
      <c r="E26" s="411"/>
      <c r="F26" s="411">
        <v>10</v>
      </c>
      <c r="G26" s="411">
        <v>9226</v>
      </c>
      <c r="H26" s="411">
        <v>0</v>
      </c>
      <c r="I26" s="411">
        <v>0</v>
      </c>
      <c r="J26" s="412" t="s">
        <v>60</v>
      </c>
      <c r="K26" s="415" t="s">
        <v>60</v>
      </c>
      <c r="L26" s="411">
        <v>2</v>
      </c>
      <c r="M26" s="411">
        <v>536</v>
      </c>
      <c r="N26" s="411">
        <v>0</v>
      </c>
      <c r="O26" s="411">
        <v>0</v>
      </c>
      <c r="P26" s="411">
        <v>34</v>
      </c>
      <c r="Q26" s="411">
        <v>17452</v>
      </c>
      <c r="R26" s="411">
        <v>0</v>
      </c>
      <c r="S26" s="411">
        <v>0</v>
      </c>
      <c r="T26" s="411">
        <v>10</v>
      </c>
      <c r="U26" s="411">
        <v>9501</v>
      </c>
      <c r="V26" s="411">
        <f>_xlfn.IFNA(VLOOKUP(A26,[4]進出口值表查詢結果!$C$11:$F$68,4,0),-[5]整車!$B$22)</f>
        <v>0</v>
      </c>
      <c r="W26" s="411">
        <f>_xlfn.IFNA(VLOOKUP(A26,[4]進出口值表查詢結果!$C$11:$F$68,3,0),-[5]整車!$B$22)</f>
        <v>0</v>
      </c>
      <c r="X26" s="411">
        <f>_xlfn.IFNA(VLOOKUP(A26,[6]進出口值表查詢結果!$C$11:$F$68,4,0),-[5]整車!$B$22)</f>
        <v>0</v>
      </c>
      <c r="Y26" s="411">
        <f>_xlfn.IFNA(VLOOKUP(A26,[6]進出口值表查詢結果!$C$11:$F$68,3,0),-[5]整車!$B$22)</f>
        <v>0</v>
      </c>
      <c r="Z26" s="405">
        <f t="shared" si="3"/>
        <v>56</v>
      </c>
      <c r="AA26" s="405">
        <f t="shared" si="4"/>
        <v>36715</v>
      </c>
    </row>
    <row r="27" spans="1:27">
      <c r="A27" s="448" t="s">
        <v>198</v>
      </c>
      <c r="B27" s="411">
        <v>12</v>
      </c>
      <c r="C27" s="411">
        <v>11363</v>
      </c>
      <c r="D27" s="411">
        <v>156</v>
      </c>
      <c r="E27" s="411">
        <v>136343</v>
      </c>
      <c r="F27" s="411">
        <v>53</v>
      </c>
      <c r="G27" s="411">
        <v>48024</v>
      </c>
      <c r="H27" s="411">
        <v>0</v>
      </c>
      <c r="I27" s="411">
        <v>0</v>
      </c>
      <c r="J27" s="412">
        <v>62</v>
      </c>
      <c r="K27" s="413">
        <v>51087</v>
      </c>
      <c r="L27" s="411">
        <v>0</v>
      </c>
      <c r="M27" s="411">
        <v>0</v>
      </c>
      <c r="N27" s="411">
        <v>53</v>
      </c>
      <c r="O27" s="411">
        <v>53415</v>
      </c>
      <c r="P27" s="411">
        <v>125</v>
      </c>
      <c r="Q27" s="411">
        <v>148830</v>
      </c>
      <c r="R27" s="411">
        <v>20</v>
      </c>
      <c r="S27" s="411">
        <v>19056</v>
      </c>
      <c r="T27" s="411">
        <v>26</v>
      </c>
      <c r="U27" s="411">
        <v>35077</v>
      </c>
      <c r="V27" s="411">
        <f>_xlfn.IFNA(VLOOKUP(A27,[4]進出口值表查詢結果!$C$11:$F$68,4,0),-[5]整車!$B$22)</f>
        <v>6</v>
      </c>
      <c r="W27" s="411">
        <f>_xlfn.IFNA(VLOOKUP(A27,[4]進出口值表查詢結果!$C$11:$F$68,3,0),-[5]整車!$B$22)</f>
        <v>6932</v>
      </c>
      <c r="X27" s="411">
        <f>_xlfn.IFNA(VLOOKUP(A27,[6]進出口值表查詢結果!$C$11:$F$68,4,0),-[5]整車!$B$22)</f>
        <v>211</v>
      </c>
      <c r="Y27" s="411">
        <f>_xlfn.IFNA(VLOOKUP(A27,[6]進出口值表查詢結果!$C$11:$F$68,3,0),-[5]整車!$B$22)</f>
        <v>156683</v>
      </c>
      <c r="Z27" s="405">
        <f t="shared" si="3"/>
        <v>724</v>
      </c>
      <c r="AA27" s="405">
        <f t="shared" si="4"/>
        <v>666810</v>
      </c>
    </row>
    <row r="28" spans="1:27">
      <c r="A28" s="448" t="s">
        <v>239</v>
      </c>
      <c r="B28" s="411">
        <v>0</v>
      </c>
      <c r="C28" s="411">
        <v>0</v>
      </c>
      <c r="D28" s="411"/>
      <c r="E28" s="411"/>
      <c r="F28" s="411">
        <v>0</v>
      </c>
      <c r="G28" s="411"/>
      <c r="H28" s="411">
        <v>0</v>
      </c>
      <c r="I28" s="411">
        <v>0</v>
      </c>
      <c r="J28" s="412" t="s">
        <v>60</v>
      </c>
      <c r="K28" s="415" t="s">
        <v>60</v>
      </c>
      <c r="L28" s="411">
        <v>0</v>
      </c>
      <c r="M28" s="411">
        <v>0</v>
      </c>
      <c r="N28" s="411">
        <v>0</v>
      </c>
      <c r="O28" s="411">
        <v>0</v>
      </c>
      <c r="P28" s="411">
        <v>0</v>
      </c>
      <c r="Q28" s="411">
        <v>0</v>
      </c>
      <c r="R28" s="411">
        <v>0</v>
      </c>
      <c r="S28" s="411">
        <v>0</v>
      </c>
      <c r="T28" s="411"/>
      <c r="U28" s="411"/>
      <c r="V28" s="411">
        <f>_xlfn.IFNA(VLOOKUP(A28,[4]進出口值表查詢結果!$C$11:$F$68,4,0),-[5]整車!$B$22)</f>
        <v>0</v>
      </c>
      <c r="W28" s="411">
        <f>_xlfn.IFNA(VLOOKUP(A28,[4]進出口值表查詢結果!$C$11:$F$68,3,0),-[5]整車!$B$22)</f>
        <v>0</v>
      </c>
      <c r="X28" s="411">
        <f>_xlfn.IFNA(VLOOKUP(A28,[6]進出口值表查詢結果!$C$11:$F$68,4,0),-[5]整車!$B$22)</f>
        <v>0</v>
      </c>
      <c r="Y28" s="411">
        <f>_xlfn.IFNA(VLOOKUP(A28,[6]進出口值表查詢結果!$C$11:$F$68,3,0),-[5]整車!$B$22)</f>
        <v>0</v>
      </c>
      <c r="Z28" s="405">
        <f t="shared" si="3"/>
        <v>0</v>
      </c>
      <c r="AA28" s="405">
        <f t="shared" si="4"/>
        <v>0</v>
      </c>
    </row>
    <row r="29" spans="1:27">
      <c r="A29" s="448" t="s">
        <v>168</v>
      </c>
      <c r="B29" s="411">
        <v>832</v>
      </c>
      <c r="C29" s="411">
        <v>601299</v>
      </c>
      <c r="D29" s="411">
        <v>1474</v>
      </c>
      <c r="E29" s="411">
        <v>1335375</v>
      </c>
      <c r="F29" s="411">
        <v>2575</v>
      </c>
      <c r="G29" s="411">
        <v>2824860</v>
      </c>
      <c r="H29" s="411">
        <v>1590</v>
      </c>
      <c r="I29" s="411">
        <v>2035410</v>
      </c>
      <c r="J29" s="412">
        <v>1368</v>
      </c>
      <c r="K29" s="415">
        <v>1650049</v>
      </c>
      <c r="L29" s="411">
        <v>3338</v>
      </c>
      <c r="M29" s="411">
        <v>3123497</v>
      </c>
      <c r="N29" s="411">
        <v>2847</v>
      </c>
      <c r="O29" s="411">
        <v>2378126</v>
      </c>
      <c r="P29" s="411">
        <v>2606</v>
      </c>
      <c r="Q29" s="411">
        <v>3061333</v>
      </c>
      <c r="R29" s="411">
        <v>1944</v>
      </c>
      <c r="S29" s="411">
        <v>1677516</v>
      </c>
      <c r="T29" s="411">
        <v>2095</v>
      </c>
      <c r="U29" s="411">
        <v>2093220</v>
      </c>
      <c r="V29" s="411">
        <f>_xlfn.IFNA(VLOOKUP(A29,[4]進出口值表查詢結果!$C$11:$F$68,4,0),-[5]整車!$B$22)</f>
        <v>2168</v>
      </c>
      <c r="W29" s="411">
        <f>_xlfn.IFNA(VLOOKUP(A29,[4]進出口值表查詢結果!$C$11:$F$68,3,0),-[5]整車!$B$22)</f>
        <v>2387001</v>
      </c>
      <c r="X29" s="411">
        <f>_xlfn.IFNA(VLOOKUP(A29,[6]進出口值表查詢結果!$C$11:$F$68,4,0),-[5]整車!$B$22)</f>
        <v>3104</v>
      </c>
      <c r="Y29" s="411">
        <f>_xlfn.IFNA(VLOOKUP(A29,[6]進出口值表查詢結果!$C$11:$F$68,3,0),-[5]整車!$B$22)</f>
        <v>3401926</v>
      </c>
      <c r="Z29" s="405">
        <f t="shared" si="3"/>
        <v>25941</v>
      </c>
      <c r="AA29" s="405">
        <f t="shared" si="4"/>
        <v>26569612</v>
      </c>
    </row>
    <row r="30" spans="1:27">
      <c r="A30" s="450" t="s">
        <v>241</v>
      </c>
      <c r="B30" s="405">
        <v>0</v>
      </c>
      <c r="C30" s="405">
        <v>0</v>
      </c>
      <c r="D30" s="405"/>
      <c r="E30" s="405"/>
      <c r="F30" s="405">
        <v>0</v>
      </c>
      <c r="G30" s="405"/>
      <c r="H30" s="405">
        <v>0</v>
      </c>
      <c r="I30" s="405">
        <v>0</v>
      </c>
      <c r="J30" s="398" t="s">
        <v>60</v>
      </c>
      <c r="K30" s="415" t="s">
        <v>60</v>
      </c>
      <c r="L30" s="405">
        <v>0</v>
      </c>
      <c r="M30" s="405">
        <v>0</v>
      </c>
      <c r="N30" s="405">
        <v>0</v>
      </c>
      <c r="O30" s="405">
        <v>0</v>
      </c>
      <c r="P30" s="405">
        <v>0</v>
      </c>
      <c r="Q30" s="405">
        <v>0</v>
      </c>
      <c r="R30" s="405">
        <v>0</v>
      </c>
      <c r="S30" s="405">
        <v>0</v>
      </c>
      <c r="T30" s="405"/>
      <c r="U30" s="405"/>
      <c r="V30" s="411">
        <f>_xlfn.IFNA(VLOOKUP(A30,[4]進出口值表查詢結果!$C$11:$F$68,4,0),-[5]整車!$B$22)</f>
        <v>0</v>
      </c>
      <c r="W30" s="411">
        <f>_xlfn.IFNA(VLOOKUP(A30,[4]進出口值表查詢結果!$C$11:$F$68,3,0),-[5]整車!$B$22)</f>
        <v>0</v>
      </c>
      <c r="X30" s="411">
        <f>_xlfn.IFNA(VLOOKUP(A30,[6]進出口值表查詢結果!$C$11:$F$68,4,0),-[5]整車!$B$22)</f>
        <v>0</v>
      </c>
      <c r="Y30" s="411">
        <f>_xlfn.IFNA(VLOOKUP(A30,[6]進出口值表查詢結果!$C$11:$F$68,3,0),-[5]整車!$B$22)</f>
        <v>0</v>
      </c>
      <c r="Z30" s="405">
        <f t="shared" si="3"/>
        <v>0</v>
      </c>
      <c r="AA30" s="405">
        <f t="shared" si="4"/>
        <v>0</v>
      </c>
    </row>
    <row r="31" spans="1:27">
      <c r="A31" s="448" t="s">
        <v>242</v>
      </c>
      <c r="B31" s="405">
        <v>0</v>
      </c>
      <c r="C31" s="405">
        <v>0</v>
      </c>
      <c r="D31" s="411"/>
      <c r="E31" s="411"/>
      <c r="F31" s="411">
        <v>0</v>
      </c>
      <c r="G31" s="411"/>
      <c r="H31" s="411">
        <v>0</v>
      </c>
      <c r="I31" s="411">
        <v>0</v>
      </c>
      <c r="J31" s="412"/>
      <c r="K31" s="415" t="s">
        <v>60</v>
      </c>
      <c r="L31" s="411">
        <v>0</v>
      </c>
      <c r="M31" s="411">
        <v>0</v>
      </c>
      <c r="N31" s="411">
        <v>0</v>
      </c>
      <c r="O31" s="411">
        <v>0</v>
      </c>
      <c r="P31" s="405">
        <v>0</v>
      </c>
      <c r="Q31" s="405">
        <v>0</v>
      </c>
      <c r="R31" s="405">
        <v>0</v>
      </c>
      <c r="S31" s="405">
        <v>0</v>
      </c>
      <c r="T31" s="411"/>
      <c r="U31" s="411"/>
      <c r="V31" s="411">
        <f>_xlfn.IFNA(VLOOKUP(A31,[4]進出口值表查詢結果!$C$11:$F$68,4,0),-[5]整車!$B$22)</f>
        <v>0</v>
      </c>
      <c r="W31" s="411">
        <f>_xlfn.IFNA(VLOOKUP(A31,[4]進出口值表查詢結果!$C$11:$F$68,3,0),-[5]整車!$B$22)</f>
        <v>0</v>
      </c>
      <c r="X31" s="411">
        <f>_xlfn.IFNA(VLOOKUP(A31,[6]進出口值表查詢結果!$C$11:$F$68,4,0),-[5]整車!$B$22)</f>
        <v>0</v>
      </c>
      <c r="Y31" s="411">
        <f>_xlfn.IFNA(VLOOKUP(A31,[6]進出口值表查詢結果!$C$11:$F$68,3,0),-[5]整車!$B$22)</f>
        <v>0</v>
      </c>
      <c r="Z31" s="405">
        <f t="shared" si="3"/>
        <v>0</v>
      </c>
      <c r="AA31" s="405">
        <f t="shared" si="4"/>
        <v>0</v>
      </c>
    </row>
    <row r="32" spans="1:27">
      <c r="A32" s="448" t="s">
        <v>243</v>
      </c>
      <c r="B32" s="405">
        <v>0</v>
      </c>
      <c r="C32" s="405">
        <v>0</v>
      </c>
      <c r="D32" s="411"/>
      <c r="E32" s="411"/>
      <c r="F32" s="411">
        <v>0</v>
      </c>
      <c r="G32" s="411"/>
      <c r="H32" s="411">
        <v>2</v>
      </c>
      <c r="I32" s="411">
        <v>3147</v>
      </c>
      <c r="J32" s="412" t="s">
        <v>60</v>
      </c>
      <c r="K32" s="415" t="s">
        <v>60</v>
      </c>
      <c r="L32" s="411">
        <v>0</v>
      </c>
      <c r="M32" s="411">
        <v>0</v>
      </c>
      <c r="N32" s="411">
        <v>9</v>
      </c>
      <c r="O32" s="411">
        <v>14807</v>
      </c>
      <c r="P32" s="405">
        <v>0</v>
      </c>
      <c r="Q32" s="405">
        <v>0</v>
      </c>
      <c r="R32" s="405">
        <v>0</v>
      </c>
      <c r="S32" s="405">
        <v>0</v>
      </c>
      <c r="T32" s="411"/>
      <c r="U32" s="411"/>
      <c r="V32" s="411">
        <f>_xlfn.IFNA(VLOOKUP(A32,[4]進出口值表查詢結果!$C$11:$F$68,4,0),-[5]整車!$B$22)</f>
        <v>0</v>
      </c>
      <c r="W32" s="411">
        <f>_xlfn.IFNA(VLOOKUP(A32,[4]進出口值表查詢結果!$C$11:$F$68,3,0),-[5]整車!$B$22)</f>
        <v>0</v>
      </c>
      <c r="X32" s="411">
        <f>_xlfn.IFNA(VLOOKUP(A32,[6]進出口值表查詢結果!$C$11:$F$68,4,0),-[5]整車!$B$22)</f>
        <v>12</v>
      </c>
      <c r="Y32" s="411">
        <f>_xlfn.IFNA(VLOOKUP(A32,[6]進出口值表查詢結果!$C$11:$F$68,3,0),-[5]整車!$B$22)</f>
        <v>16410</v>
      </c>
      <c r="Z32" s="405">
        <f t="shared" si="3"/>
        <v>23</v>
      </c>
      <c r="AA32" s="405">
        <f t="shared" si="4"/>
        <v>34364</v>
      </c>
    </row>
    <row r="33" spans="1:27">
      <c r="A33" s="448" t="s">
        <v>244</v>
      </c>
      <c r="B33" s="405">
        <v>0</v>
      </c>
      <c r="C33" s="405">
        <v>0</v>
      </c>
      <c r="D33" s="411">
        <v>65</v>
      </c>
      <c r="E33" s="411">
        <v>100633</v>
      </c>
      <c r="F33" s="405">
        <v>430</v>
      </c>
      <c r="G33" s="411">
        <v>75772</v>
      </c>
      <c r="H33" s="411">
        <v>89</v>
      </c>
      <c r="I33" s="411">
        <v>94535</v>
      </c>
      <c r="J33" s="412" t="s">
        <v>60</v>
      </c>
      <c r="K33" s="415" t="s">
        <v>60</v>
      </c>
      <c r="L33" s="411">
        <v>0</v>
      </c>
      <c r="M33" s="411">
        <v>0</v>
      </c>
      <c r="N33" s="411">
        <v>0</v>
      </c>
      <c r="O33" s="411">
        <v>0</v>
      </c>
      <c r="P33" s="405">
        <v>0</v>
      </c>
      <c r="Q33" s="405">
        <v>0</v>
      </c>
      <c r="R33" s="405">
        <v>0</v>
      </c>
      <c r="S33" s="405">
        <v>0</v>
      </c>
      <c r="T33" s="411"/>
      <c r="U33" s="411"/>
      <c r="V33" s="411">
        <f>_xlfn.IFNA(VLOOKUP(A33,[4]進出口值表查詢結果!$C$11:$F$68,4,0),-[5]整車!$B$22)</f>
        <v>0</v>
      </c>
      <c r="W33" s="411">
        <f>_xlfn.IFNA(VLOOKUP(A33,[4]進出口值表查詢結果!$C$11:$F$68,3,0),-[5]整車!$B$22)</f>
        <v>0</v>
      </c>
      <c r="X33" s="411">
        <f>_xlfn.IFNA(VLOOKUP(A33,[6]進出口值表查詢結果!$C$11:$F$68,4,0),-[5]整車!$B$22)</f>
        <v>36</v>
      </c>
      <c r="Y33" s="411">
        <f>_xlfn.IFNA(VLOOKUP(A33,[6]進出口值表查詢結果!$C$11:$F$68,3,0),-[5]整車!$B$22)</f>
        <v>41708</v>
      </c>
      <c r="Z33" s="411">
        <f t="shared" si="3"/>
        <v>620</v>
      </c>
      <c r="AA33" s="411">
        <f t="shared" si="4"/>
        <v>312648</v>
      </c>
    </row>
    <row r="34" spans="1:27">
      <c r="A34" s="448" t="s">
        <v>245</v>
      </c>
      <c r="B34" s="405">
        <v>0</v>
      </c>
      <c r="C34" s="405">
        <v>0</v>
      </c>
      <c r="D34" s="411"/>
      <c r="E34" s="411"/>
      <c r="F34" s="411">
        <v>0</v>
      </c>
      <c r="G34" s="411"/>
      <c r="H34" s="411">
        <v>0</v>
      </c>
      <c r="I34" s="411">
        <v>0</v>
      </c>
      <c r="J34" s="412" t="s">
        <v>60</v>
      </c>
      <c r="K34" s="415" t="s">
        <v>60</v>
      </c>
      <c r="L34" s="411">
        <v>200</v>
      </c>
      <c r="M34" s="411">
        <v>26608</v>
      </c>
      <c r="N34" s="411">
        <v>0</v>
      </c>
      <c r="O34" s="411">
        <v>0</v>
      </c>
      <c r="P34" s="405">
        <v>0</v>
      </c>
      <c r="Q34" s="405">
        <v>0</v>
      </c>
      <c r="R34" s="405">
        <v>0</v>
      </c>
      <c r="S34" s="405">
        <v>0</v>
      </c>
      <c r="T34" s="411"/>
      <c r="U34" s="411"/>
      <c r="V34" s="411">
        <f>_xlfn.IFNA(VLOOKUP(A34,[4]進出口值表查詢結果!$C$11:$F$68,4,0),-[5]整車!$B$22)</f>
        <v>0</v>
      </c>
      <c r="W34" s="411">
        <f>_xlfn.IFNA(VLOOKUP(A34,[4]進出口值表查詢結果!$C$11:$F$68,3,0),-[5]整車!$B$22)</f>
        <v>0</v>
      </c>
      <c r="X34" s="411">
        <f>_xlfn.IFNA(VLOOKUP(A34,[6]進出口值表查詢結果!$C$11:$F$68,4,0),-[5]整車!$B$22)</f>
        <v>0</v>
      </c>
      <c r="Y34" s="411">
        <f>_xlfn.IFNA(VLOOKUP(A34,[6]進出口值表查詢結果!$C$11:$F$68,3,0),-[5]整車!$B$22)</f>
        <v>0</v>
      </c>
      <c r="Z34" s="411">
        <f t="shared" si="3"/>
        <v>200</v>
      </c>
      <c r="AA34" s="411">
        <f t="shared" si="4"/>
        <v>26608</v>
      </c>
    </row>
    <row r="35" spans="1:27">
      <c r="A35" s="404"/>
      <c r="B35" s="405"/>
      <c r="C35" s="405"/>
      <c r="D35" s="405"/>
      <c r="E35" s="405"/>
      <c r="F35" s="405"/>
      <c r="G35" s="405"/>
      <c r="H35" s="405"/>
      <c r="I35" s="405"/>
      <c r="J35" s="398"/>
      <c r="K35" s="399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</row>
    <row r="36" spans="1:27">
      <c r="A36" s="417" t="s">
        <v>142</v>
      </c>
      <c r="B36" s="418">
        <f t="shared" ref="B36:Y36" si="5">B38+B68+B75</f>
        <v>79424</v>
      </c>
      <c r="C36" s="418">
        <f t="shared" si="5"/>
        <v>35612604</v>
      </c>
      <c r="D36" s="418">
        <f t="shared" si="5"/>
        <v>64213</v>
      </c>
      <c r="E36" s="418">
        <f t="shared" si="5"/>
        <v>30491608</v>
      </c>
      <c r="F36" s="418">
        <f t="shared" si="5"/>
        <v>54696</v>
      </c>
      <c r="G36" s="418">
        <f t="shared" si="5"/>
        <v>29542744</v>
      </c>
      <c r="H36" s="418">
        <f t="shared" si="5"/>
        <v>39009</v>
      </c>
      <c r="I36" s="418">
        <f t="shared" si="5"/>
        <v>19973565</v>
      </c>
      <c r="J36" s="419">
        <f t="shared" si="5"/>
        <v>44931</v>
      </c>
      <c r="K36" s="420">
        <f>K38+K68+K75</f>
        <v>28357229</v>
      </c>
      <c r="L36" s="418">
        <f t="shared" si="5"/>
        <v>51038</v>
      </c>
      <c r="M36" s="418">
        <f t="shared" si="5"/>
        <v>32305965</v>
      </c>
      <c r="N36" s="418">
        <f t="shared" si="5"/>
        <v>44856</v>
      </c>
      <c r="O36" s="418">
        <f t="shared" si="5"/>
        <v>35121669</v>
      </c>
      <c r="P36" s="418">
        <f t="shared" si="5"/>
        <v>69496</v>
      </c>
      <c r="Q36" s="418">
        <f t="shared" si="5"/>
        <v>46505146</v>
      </c>
      <c r="R36" s="418">
        <f t="shared" si="5"/>
        <v>46124</v>
      </c>
      <c r="S36" s="418">
        <f t="shared" si="5"/>
        <v>32297052</v>
      </c>
      <c r="T36" s="418">
        <f t="shared" si="5"/>
        <v>63488</v>
      </c>
      <c r="U36" s="418">
        <f t="shared" si="5"/>
        <v>38464858</v>
      </c>
      <c r="V36" s="418">
        <f>V38+V68+V75</f>
        <v>52331</v>
      </c>
      <c r="W36" s="418">
        <f>W38+W68+W75</f>
        <v>31078138</v>
      </c>
      <c r="X36" s="418">
        <f t="shared" si="5"/>
        <v>64845</v>
      </c>
      <c r="Y36" s="418">
        <f t="shared" si="5"/>
        <v>39655701</v>
      </c>
      <c r="Z36" s="418">
        <f>SUM(B36,D36,F36,H36,J36,L36,N36,P36,R36,T36,V36,X36)</f>
        <v>674451</v>
      </c>
      <c r="AA36" s="418">
        <f>SUM(C36,E36,G36,I36,K36,M36,O36,Q36,S36,U36,W36,Y36)</f>
        <v>399406279</v>
      </c>
    </row>
    <row r="37" spans="1:27">
      <c r="A37" s="404"/>
      <c r="B37" s="405"/>
      <c r="C37" s="405"/>
      <c r="D37" s="405"/>
      <c r="E37" s="405"/>
      <c r="F37" s="405"/>
      <c r="G37" s="405"/>
      <c r="H37" s="405"/>
      <c r="I37" s="405"/>
      <c r="J37" s="398"/>
      <c r="K37" s="399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</row>
    <row r="38" spans="1:27">
      <c r="A38" s="421" t="s">
        <v>9</v>
      </c>
      <c r="B38" s="422">
        <f t="shared" ref="B38:Y38" si="6">SUM(B39:B66)</f>
        <v>71602</v>
      </c>
      <c r="C38" s="422">
        <f t="shared" si="6"/>
        <v>31042061</v>
      </c>
      <c r="D38" s="422">
        <f t="shared" si="6"/>
        <v>57938</v>
      </c>
      <c r="E38" s="422">
        <f t="shared" si="6"/>
        <v>27066923</v>
      </c>
      <c r="F38" s="422">
        <f t="shared" si="6"/>
        <v>50036</v>
      </c>
      <c r="G38" s="422">
        <f t="shared" si="6"/>
        <v>26756451</v>
      </c>
      <c r="H38" s="422">
        <f t="shared" si="6"/>
        <v>35898</v>
      </c>
      <c r="I38" s="422">
        <f t="shared" si="6"/>
        <v>18239616</v>
      </c>
      <c r="J38" s="423">
        <f t="shared" si="6"/>
        <v>42641</v>
      </c>
      <c r="K38" s="424">
        <f>SUM(K39:K66)</f>
        <v>26690377</v>
      </c>
      <c r="L38" s="422">
        <f t="shared" si="6"/>
        <v>48143</v>
      </c>
      <c r="M38" s="422">
        <f t="shared" si="6"/>
        <v>30331535</v>
      </c>
      <c r="N38" s="422">
        <f t="shared" si="6"/>
        <v>41659</v>
      </c>
      <c r="O38" s="422">
        <f t="shared" si="6"/>
        <v>32356018</v>
      </c>
      <c r="P38" s="422">
        <f t="shared" si="6"/>
        <v>67372</v>
      </c>
      <c r="Q38" s="422">
        <f t="shared" si="6"/>
        <v>44304841</v>
      </c>
      <c r="R38" s="422">
        <f t="shared" si="6"/>
        <v>44242</v>
      </c>
      <c r="S38" s="422">
        <f t="shared" si="6"/>
        <v>30263800</v>
      </c>
      <c r="T38" s="422">
        <f t="shared" si="6"/>
        <v>58319</v>
      </c>
      <c r="U38" s="422">
        <f t="shared" si="6"/>
        <v>35452809</v>
      </c>
      <c r="V38" s="422">
        <f>SUM(V39:V66)</f>
        <v>49253</v>
      </c>
      <c r="W38" s="422">
        <f>SUM(W39:W66)</f>
        <v>28348880</v>
      </c>
      <c r="X38" s="422">
        <f t="shared" si="6"/>
        <v>58138</v>
      </c>
      <c r="Y38" s="422">
        <f t="shared" si="6"/>
        <v>33913506</v>
      </c>
      <c r="Z38" s="422">
        <f t="shared" ref="Z38:Z66" si="7">SUM(B38,D38,F38,H38,J38,L38,N38,P38,R38,T38,V38,X38)</f>
        <v>625241</v>
      </c>
      <c r="AA38" s="422">
        <f t="shared" ref="AA38:AA66" si="8">SUM(C38,E38,G38,I38,K38,M38,O38,Q38,S38,U38,W38,Y38)</f>
        <v>364766817</v>
      </c>
    </row>
    <row r="39" spans="1:27">
      <c r="A39" s="448" t="s">
        <v>161</v>
      </c>
      <c r="B39" s="411">
        <v>9455</v>
      </c>
      <c r="C39" s="411">
        <v>8098805</v>
      </c>
      <c r="D39" s="411">
        <v>5899</v>
      </c>
      <c r="E39" s="411">
        <v>4489009</v>
      </c>
      <c r="F39" s="411">
        <v>11184</v>
      </c>
      <c r="G39" s="411">
        <v>11101791</v>
      </c>
      <c r="H39" s="411">
        <v>7475</v>
      </c>
      <c r="I39" s="411">
        <v>8873601</v>
      </c>
      <c r="J39" s="412">
        <v>12869</v>
      </c>
      <c r="K39" s="413">
        <v>13913534</v>
      </c>
      <c r="L39" s="411">
        <v>14682</v>
      </c>
      <c r="M39" s="411">
        <v>14178313</v>
      </c>
      <c r="N39" s="411">
        <v>14082</v>
      </c>
      <c r="O39" s="411">
        <v>14946790</v>
      </c>
      <c r="P39" s="411">
        <v>17288</v>
      </c>
      <c r="Q39" s="411">
        <v>20932370</v>
      </c>
      <c r="R39" s="411">
        <v>13841</v>
      </c>
      <c r="S39" s="411">
        <v>14623372</v>
      </c>
      <c r="T39" s="411">
        <v>14781</v>
      </c>
      <c r="U39" s="411">
        <v>14961515</v>
      </c>
      <c r="V39" s="411">
        <f>_xlfn.IFNA(VLOOKUP(A39,[4]進出口值表查詢結果!$C$11:$F$68,4,0),-[5]整車!$B$22)</f>
        <v>14525</v>
      </c>
      <c r="W39" s="411">
        <f>_xlfn.IFNA(VLOOKUP(A39,[4]進出口值表查詢結果!$C$11:$F$68,3,0),-[5]整車!$B$22)</f>
        <v>13590883</v>
      </c>
      <c r="X39" s="411">
        <f>_xlfn.IFNA(VLOOKUP(A39,[6]進出口值表查詢結果!$C$11:$F$68,4,0),-[5]整車!$B$22)</f>
        <v>15792</v>
      </c>
      <c r="Y39" s="411">
        <f>_xlfn.IFNA(VLOOKUP(A39,[6]進出口值表查詢結果!$C$11:$F$68,3,0),-[5]整車!$B$22)</f>
        <v>15201155</v>
      </c>
      <c r="Z39" s="405">
        <f t="shared" si="7"/>
        <v>151873</v>
      </c>
      <c r="AA39" s="405">
        <f t="shared" si="8"/>
        <v>154911138</v>
      </c>
    </row>
    <row r="40" spans="1:27">
      <c r="A40" s="448" t="s">
        <v>164</v>
      </c>
      <c r="B40" s="411">
        <v>6408</v>
      </c>
      <c r="C40" s="411">
        <v>3502900</v>
      </c>
      <c r="D40" s="411">
        <v>12057</v>
      </c>
      <c r="E40" s="411">
        <v>3128315</v>
      </c>
      <c r="F40" s="411">
        <v>8271</v>
      </c>
      <c r="G40" s="411">
        <v>2563956</v>
      </c>
      <c r="H40" s="411">
        <v>4864</v>
      </c>
      <c r="I40" s="411">
        <v>1321695</v>
      </c>
      <c r="J40" s="412">
        <v>2458</v>
      </c>
      <c r="K40" s="413">
        <v>672571</v>
      </c>
      <c r="L40" s="411">
        <v>2556</v>
      </c>
      <c r="M40" s="411">
        <v>1168366</v>
      </c>
      <c r="N40" s="411">
        <v>4316</v>
      </c>
      <c r="O40" s="411">
        <v>1533943</v>
      </c>
      <c r="P40" s="411">
        <v>4965</v>
      </c>
      <c r="Q40" s="411">
        <v>2104096</v>
      </c>
      <c r="R40" s="411">
        <v>3366</v>
      </c>
      <c r="S40" s="411">
        <v>1847351</v>
      </c>
      <c r="T40" s="411">
        <v>3654</v>
      </c>
      <c r="U40" s="411">
        <v>1456075</v>
      </c>
      <c r="V40" s="411">
        <f>_xlfn.IFNA(VLOOKUP(A40,[4]進出口值表查詢結果!$C$11:$F$68,4,0),-[5]整車!$B$22)</f>
        <v>5797</v>
      </c>
      <c r="W40" s="411">
        <f>_xlfn.IFNA(VLOOKUP(A40,[4]進出口值表查詢結果!$C$11:$F$68,3,0),-[5]整車!$B$22)</f>
        <v>1411961</v>
      </c>
      <c r="X40" s="411">
        <f>_xlfn.IFNA(VLOOKUP(A40,[6]進出口值表查詢結果!$C$11:$F$68,4,0),-[5]整車!$B$22)</f>
        <v>5920</v>
      </c>
      <c r="Y40" s="411">
        <f>_xlfn.IFNA(VLOOKUP(A40,[6]進出口值表查詢結果!$C$11:$F$68,3,0),-[5]整車!$B$22)</f>
        <v>1991602</v>
      </c>
      <c r="Z40" s="405">
        <f t="shared" si="7"/>
        <v>64632</v>
      </c>
      <c r="AA40" s="405">
        <f t="shared" si="8"/>
        <v>22702831</v>
      </c>
    </row>
    <row r="41" spans="1:27">
      <c r="A41" s="448" t="s">
        <v>178</v>
      </c>
      <c r="B41" s="411">
        <v>1316</v>
      </c>
      <c r="C41" s="411">
        <v>717427</v>
      </c>
      <c r="D41" s="411">
        <v>911</v>
      </c>
      <c r="E41" s="411">
        <v>709326</v>
      </c>
      <c r="F41" s="411">
        <v>1777</v>
      </c>
      <c r="G41" s="411">
        <v>1217722</v>
      </c>
      <c r="H41" s="411">
        <v>547</v>
      </c>
      <c r="I41" s="411">
        <v>1236471</v>
      </c>
      <c r="J41" s="412">
        <v>504</v>
      </c>
      <c r="K41" s="413">
        <v>997393</v>
      </c>
      <c r="L41" s="411">
        <v>1828</v>
      </c>
      <c r="M41" s="411">
        <v>1782072</v>
      </c>
      <c r="N41" s="411">
        <v>858</v>
      </c>
      <c r="O41" s="411">
        <v>1473021</v>
      </c>
      <c r="P41" s="411">
        <v>1248</v>
      </c>
      <c r="Q41" s="411">
        <v>1567705</v>
      </c>
      <c r="R41" s="411">
        <v>1489</v>
      </c>
      <c r="S41" s="411">
        <v>1445890</v>
      </c>
      <c r="T41" s="411">
        <v>1319</v>
      </c>
      <c r="U41" s="411">
        <v>1108193</v>
      </c>
      <c r="V41" s="411">
        <f>_xlfn.IFNA(VLOOKUP(A41,[4]進出口值表查詢結果!$C$11:$F$68,4,0),-[5]整車!$B$22)</f>
        <v>1769</v>
      </c>
      <c r="W41" s="411">
        <f>_xlfn.IFNA(VLOOKUP(A41,[4]進出口值表查詢結果!$C$11:$F$68,3,0),-[5]整車!$B$22)</f>
        <v>798510</v>
      </c>
      <c r="X41" s="411">
        <f>_xlfn.IFNA(VLOOKUP(A41,[6]進出口值表查詢結果!$C$11:$F$68,4,0),-[5]整車!$B$22)</f>
        <v>2665</v>
      </c>
      <c r="Y41" s="411">
        <f>_xlfn.IFNA(VLOOKUP(A41,[6]進出口值表查詢結果!$C$11:$F$68,3,0),-[5]整車!$B$22)</f>
        <v>1213680</v>
      </c>
      <c r="Z41" s="405">
        <f t="shared" si="7"/>
        <v>16231</v>
      </c>
      <c r="AA41" s="405">
        <f t="shared" si="8"/>
        <v>14267410</v>
      </c>
    </row>
    <row r="42" spans="1:27">
      <c r="A42" s="448" t="s">
        <v>162</v>
      </c>
      <c r="B42" s="411">
        <v>17706</v>
      </c>
      <c r="C42" s="411">
        <v>5035525</v>
      </c>
      <c r="D42" s="411">
        <v>6240</v>
      </c>
      <c r="E42" s="411">
        <v>3784977</v>
      </c>
      <c r="F42" s="411">
        <v>9566</v>
      </c>
      <c r="G42" s="411">
        <v>2935879</v>
      </c>
      <c r="H42" s="411">
        <v>6503</v>
      </c>
      <c r="I42" s="411">
        <v>3044684</v>
      </c>
      <c r="J42" s="412">
        <v>5112</v>
      </c>
      <c r="K42" s="413">
        <v>3224993</v>
      </c>
      <c r="L42" s="411">
        <v>13471</v>
      </c>
      <c r="M42" s="411">
        <v>4417423</v>
      </c>
      <c r="N42" s="411">
        <v>11009</v>
      </c>
      <c r="O42" s="411">
        <v>4729278</v>
      </c>
      <c r="P42" s="411">
        <v>33998</v>
      </c>
      <c r="Q42" s="411">
        <v>11641642</v>
      </c>
      <c r="R42" s="411">
        <v>15962</v>
      </c>
      <c r="S42" s="411">
        <v>6253943</v>
      </c>
      <c r="T42" s="411">
        <v>18510</v>
      </c>
      <c r="U42" s="411">
        <v>8270668</v>
      </c>
      <c r="V42" s="411">
        <f>_xlfn.IFNA(VLOOKUP(A42,[4]進出口值表查詢結果!$C$11:$F$68,4,0),-[5]整車!$B$22)</f>
        <v>12194</v>
      </c>
      <c r="W42" s="411">
        <f>_xlfn.IFNA(VLOOKUP(A42,[4]進出口值表查詢結果!$C$11:$F$68,3,0),-[5]整車!$B$22)</f>
        <v>5955460</v>
      </c>
      <c r="X42" s="411">
        <f>_xlfn.IFNA(VLOOKUP(A42,[6]進出口值表查詢結果!$C$11:$F$68,4,0),-[5]整車!$B$22)</f>
        <v>14217</v>
      </c>
      <c r="Y42" s="411">
        <f>_xlfn.IFNA(VLOOKUP(A42,[6]進出口值表查詢結果!$C$11:$F$68,3,0),-[5]整車!$B$22)</f>
        <v>5372669</v>
      </c>
      <c r="Z42" s="405">
        <f t="shared" si="7"/>
        <v>164488</v>
      </c>
      <c r="AA42" s="405">
        <f t="shared" si="8"/>
        <v>64667141</v>
      </c>
    </row>
    <row r="43" spans="1:27">
      <c r="A43" s="448" t="s">
        <v>170</v>
      </c>
      <c r="B43" s="411">
        <v>1251</v>
      </c>
      <c r="C43" s="411">
        <v>1143718</v>
      </c>
      <c r="D43" s="411">
        <v>1214</v>
      </c>
      <c r="E43" s="411">
        <v>1514756</v>
      </c>
      <c r="F43" s="411">
        <v>1275</v>
      </c>
      <c r="G43" s="411">
        <v>1300366</v>
      </c>
      <c r="H43" s="411">
        <v>85</v>
      </c>
      <c r="I43" s="411">
        <v>106062</v>
      </c>
      <c r="J43" s="412">
        <v>889</v>
      </c>
      <c r="K43" s="413">
        <v>1214599</v>
      </c>
      <c r="L43" s="411">
        <v>1601</v>
      </c>
      <c r="M43" s="411">
        <v>1668970</v>
      </c>
      <c r="N43" s="411">
        <v>925</v>
      </c>
      <c r="O43" s="411">
        <v>1104904</v>
      </c>
      <c r="P43" s="411">
        <v>519</v>
      </c>
      <c r="Q43" s="411">
        <v>835276</v>
      </c>
      <c r="R43" s="411">
        <v>1150</v>
      </c>
      <c r="S43" s="411">
        <v>1209512</v>
      </c>
      <c r="T43" s="411">
        <v>2343</v>
      </c>
      <c r="U43" s="411">
        <v>2166095</v>
      </c>
      <c r="V43" s="411">
        <f>_xlfn.IFNA(VLOOKUP(A43,[4]進出口值表查詢結果!$C$11:$F$68,4,0),-[5]整車!$B$22)</f>
        <v>1094</v>
      </c>
      <c r="W43" s="411">
        <f>_xlfn.IFNA(VLOOKUP(A43,[4]進出口值表查詢結果!$C$11:$F$68,3,0),-[5]整車!$B$22)</f>
        <v>1193068</v>
      </c>
      <c r="X43" s="411">
        <f>_xlfn.IFNA(VLOOKUP(A43,[6]進出口值表查詢結果!$C$11:$F$68,4,0),-[5]整車!$B$22)</f>
        <v>680</v>
      </c>
      <c r="Y43" s="411">
        <f>_xlfn.IFNA(VLOOKUP(A43,[6]進出口值表查詢結果!$C$11:$F$68,3,0),-[5]整車!$B$22)</f>
        <v>895521</v>
      </c>
      <c r="Z43" s="405">
        <f t="shared" si="7"/>
        <v>13026</v>
      </c>
      <c r="AA43" s="405">
        <f t="shared" si="8"/>
        <v>14352847</v>
      </c>
    </row>
    <row r="44" spans="1:27">
      <c r="A44" s="410" t="s">
        <v>249</v>
      </c>
      <c r="B44" s="411">
        <v>1462</v>
      </c>
      <c r="C44" s="411">
        <v>1150648</v>
      </c>
      <c r="D44" s="411">
        <v>1170</v>
      </c>
      <c r="E44" s="411">
        <v>1065890</v>
      </c>
      <c r="F44" s="411">
        <v>328</v>
      </c>
      <c r="G44" s="411">
        <v>441720</v>
      </c>
      <c r="H44" s="411">
        <v>198</v>
      </c>
      <c r="I44" s="411">
        <v>604272</v>
      </c>
      <c r="J44" s="412">
        <v>824</v>
      </c>
      <c r="K44" s="413">
        <v>1298798</v>
      </c>
      <c r="L44" s="411">
        <v>1079</v>
      </c>
      <c r="M44" s="411">
        <v>1208211</v>
      </c>
      <c r="N44" s="411">
        <v>807</v>
      </c>
      <c r="O44" s="411">
        <v>1002195</v>
      </c>
      <c r="P44" s="411">
        <v>796</v>
      </c>
      <c r="Q44" s="411">
        <v>1264047</v>
      </c>
      <c r="R44" s="411">
        <v>605</v>
      </c>
      <c r="S44" s="411">
        <v>956624</v>
      </c>
      <c r="T44" s="411">
        <v>1343</v>
      </c>
      <c r="U44" s="411">
        <v>1450743</v>
      </c>
      <c r="V44" s="411">
        <f>_xlfn.IFNA(VLOOKUP(A44,[4]進出口值表查詢結果!$C$11:$F$68,4,0),-[5]整車!$B$22)</f>
        <v>1030</v>
      </c>
      <c r="W44" s="411">
        <f>_xlfn.IFNA(VLOOKUP(A44,[4]進出口值表查詢結果!$C$11:$F$68,3,0),-[5]整車!$B$22)</f>
        <v>1221871</v>
      </c>
      <c r="X44" s="411">
        <f>_xlfn.IFNA(VLOOKUP(A44,[6]進出口值表查詢結果!$C$11:$F$68,4,0),-[5]整車!$B$22)</f>
        <v>1914</v>
      </c>
      <c r="Y44" s="411">
        <f>_xlfn.IFNA(VLOOKUP(A44,[6]進出口值表查詢結果!$C$11:$F$68,3,0),-[5]整車!$B$22)</f>
        <v>2462982</v>
      </c>
      <c r="Z44" s="405">
        <f t="shared" si="7"/>
        <v>11556</v>
      </c>
      <c r="AA44" s="405">
        <f t="shared" si="8"/>
        <v>14128001</v>
      </c>
    </row>
    <row r="45" spans="1:27">
      <c r="A45" s="448" t="s">
        <v>188</v>
      </c>
      <c r="B45" s="411">
        <v>8259</v>
      </c>
      <c r="C45" s="411">
        <v>7055116</v>
      </c>
      <c r="D45" s="411">
        <v>7827</v>
      </c>
      <c r="E45" s="411">
        <v>8311625</v>
      </c>
      <c r="F45" s="411">
        <v>5451</v>
      </c>
      <c r="G45" s="411">
        <v>4815102</v>
      </c>
      <c r="H45" s="411">
        <v>1437</v>
      </c>
      <c r="I45" s="411">
        <v>897615</v>
      </c>
      <c r="J45" s="412">
        <v>6587</v>
      </c>
      <c r="K45" s="413">
        <v>3549849</v>
      </c>
      <c r="L45" s="411">
        <v>5956</v>
      </c>
      <c r="M45" s="411">
        <v>4372019</v>
      </c>
      <c r="N45" s="411">
        <v>6178</v>
      </c>
      <c r="O45" s="411">
        <v>5869574</v>
      </c>
      <c r="P45" s="411">
        <v>5911</v>
      </c>
      <c r="Q45" s="411">
        <v>4858793</v>
      </c>
      <c r="R45" s="411">
        <v>4741</v>
      </c>
      <c r="S45" s="411">
        <v>2750680</v>
      </c>
      <c r="T45" s="411">
        <v>8165</v>
      </c>
      <c r="U45" s="411">
        <v>3665783</v>
      </c>
      <c r="V45" s="411">
        <f>_xlfn.IFNA(VLOOKUP(A45,[4]進出口值表查詢結果!$C$11:$F$68,4,0),-[5]整車!$B$22)</f>
        <v>4599</v>
      </c>
      <c r="W45" s="411">
        <f>_xlfn.IFNA(VLOOKUP(A45,[4]進出口值表查詢結果!$C$11:$F$68,3,0),-[5]整車!$B$22)</f>
        <v>2448875</v>
      </c>
      <c r="X45" s="411">
        <f>_xlfn.IFNA(VLOOKUP(A45,[6]進出口值表查詢結果!$C$11:$F$68,4,0),-[5]整車!$B$22)</f>
        <v>6519</v>
      </c>
      <c r="Y45" s="411">
        <f>_xlfn.IFNA(VLOOKUP(A45,[6]進出口值表查詢結果!$C$11:$F$68,3,0),-[5]整車!$B$22)</f>
        <v>4708366</v>
      </c>
      <c r="Z45" s="405">
        <f t="shared" si="7"/>
        <v>71630</v>
      </c>
      <c r="AA45" s="405">
        <f t="shared" si="8"/>
        <v>53303397</v>
      </c>
    </row>
    <row r="46" spans="1:27">
      <c r="A46" s="448" t="s">
        <v>165</v>
      </c>
      <c r="B46" s="411">
        <v>2698</v>
      </c>
      <c r="C46" s="411">
        <v>337022</v>
      </c>
      <c r="D46" s="411">
        <v>4227</v>
      </c>
      <c r="E46" s="411">
        <v>590807</v>
      </c>
      <c r="F46" s="411">
        <v>1385</v>
      </c>
      <c r="G46" s="411">
        <v>364355</v>
      </c>
      <c r="H46" s="411">
        <v>2867</v>
      </c>
      <c r="I46" s="411">
        <v>160451</v>
      </c>
      <c r="J46" s="412">
        <v>493</v>
      </c>
      <c r="K46" s="413">
        <v>68059</v>
      </c>
      <c r="L46" s="411">
        <v>3511</v>
      </c>
      <c r="M46" s="411">
        <v>345274</v>
      </c>
      <c r="N46" s="425">
        <v>616</v>
      </c>
      <c r="O46" s="425">
        <v>145435</v>
      </c>
      <c r="P46" s="411">
        <v>252</v>
      </c>
      <c r="Q46" s="411">
        <v>50525</v>
      </c>
      <c r="R46" s="411">
        <v>1078</v>
      </c>
      <c r="S46" s="411">
        <v>229756</v>
      </c>
      <c r="T46" s="411">
        <v>2600</v>
      </c>
      <c r="U46" s="411">
        <v>425508</v>
      </c>
      <c r="V46" s="411">
        <f>_xlfn.IFNA(VLOOKUP(A46,[4]進出口值表查詢結果!$C$11:$F$68,4,0),-[5]整車!$B$22)</f>
        <v>2376</v>
      </c>
      <c r="W46" s="411">
        <f>_xlfn.IFNA(VLOOKUP(A46,[4]進出口值表查詢結果!$C$11:$F$68,3,0),-[5]整車!$B$22)</f>
        <v>357540</v>
      </c>
      <c r="X46" s="411">
        <f>_xlfn.IFNA(VLOOKUP(A46,[6]進出口值表查詢結果!$C$11:$F$68,4,0),-[5]整車!$B$22)</f>
        <v>3399</v>
      </c>
      <c r="Y46" s="411">
        <f>_xlfn.IFNA(VLOOKUP(A46,[6]進出口值表查詢結果!$C$11:$F$68,3,0),-[5]整車!$B$22)</f>
        <v>252100</v>
      </c>
      <c r="Z46" s="405">
        <f t="shared" si="7"/>
        <v>25502</v>
      </c>
      <c r="AA46" s="405">
        <f t="shared" si="8"/>
        <v>3326832</v>
      </c>
    </row>
    <row r="47" spans="1:27">
      <c r="A47" s="448" t="s">
        <v>191</v>
      </c>
      <c r="B47" s="411">
        <v>0</v>
      </c>
      <c r="C47" s="411">
        <v>0</v>
      </c>
      <c r="D47" s="411"/>
      <c r="E47" s="411"/>
      <c r="F47" s="411">
        <v>0</v>
      </c>
      <c r="G47" s="411"/>
      <c r="H47" s="411">
        <v>0</v>
      </c>
      <c r="I47" s="411">
        <v>0</v>
      </c>
      <c r="J47" s="412">
        <v>17</v>
      </c>
      <c r="K47" s="413">
        <v>30939</v>
      </c>
      <c r="L47" s="411">
        <v>0</v>
      </c>
      <c r="M47" s="411">
        <v>0</v>
      </c>
      <c r="N47" s="411">
        <v>0</v>
      </c>
      <c r="O47" s="411">
        <v>0</v>
      </c>
      <c r="P47" s="411">
        <v>0</v>
      </c>
      <c r="Q47" s="411">
        <v>0</v>
      </c>
      <c r="R47" s="411">
        <v>0</v>
      </c>
      <c r="S47" s="411">
        <v>0</v>
      </c>
      <c r="T47" s="411"/>
      <c r="U47" s="411"/>
      <c r="V47" s="411">
        <f>_xlfn.IFNA(VLOOKUP(A47,[4]進出口值表查詢結果!$C$11:$F$68,4,0),-[5]整車!$B$22)</f>
        <v>13</v>
      </c>
      <c r="W47" s="411">
        <f>_xlfn.IFNA(VLOOKUP(A47,[4]進出口值表查詢結果!$C$11:$F$68,3,0),-[5]整車!$B$22)</f>
        <v>30641</v>
      </c>
      <c r="X47" s="411">
        <f>_xlfn.IFNA(VLOOKUP(A47,[6]進出口值表查詢結果!$C$11:$F$68,4,0),-[5]整車!$B$22)</f>
        <v>0</v>
      </c>
      <c r="Y47" s="411">
        <f>_xlfn.IFNA(VLOOKUP(A47,[6]進出口值表查詢結果!$C$11:$F$68,3,0),-[5]整車!$B$22)</f>
        <v>0</v>
      </c>
      <c r="Z47" s="405">
        <f t="shared" si="7"/>
        <v>30</v>
      </c>
      <c r="AA47" s="405">
        <f t="shared" si="8"/>
        <v>61580</v>
      </c>
    </row>
    <row r="48" spans="1:27">
      <c r="A48" s="448" t="s">
        <v>252</v>
      </c>
      <c r="B48" s="411">
        <v>1496</v>
      </c>
      <c r="C48" s="411">
        <v>75974</v>
      </c>
      <c r="D48" s="411">
        <v>887</v>
      </c>
      <c r="E48" s="411">
        <v>76782</v>
      </c>
      <c r="F48" s="411">
        <v>282</v>
      </c>
      <c r="G48" s="411">
        <v>34683</v>
      </c>
      <c r="H48" s="411">
        <v>243</v>
      </c>
      <c r="I48" s="411">
        <v>59854</v>
      </c>
      <c r="J48" s="412">
        <v>2854</v>
      </c>
      <c r="K48" s="413">
        <v>111627</v>
      </c>
      <c r="L48" s="411">
        <v>292</v>
      </c>
      <c r="M48" s="411">
        <v>40717</v>
      </c>
      <c r="N48" s="425">
        <v>50</v>
      </c>
      <c r="O48" s="425">
        <v>7437</v>
      </c>
      <c r="P48" s="411">
        <v>0</v>
      </c>
      <c r="Q48" s="411">
        <v>0</v>
      </c>
      <c r="R48" s="411">
        <v>63</v>
      </c>
      <c r="S48" s="411">
        <v>7337</v>
      </c>
      <c r="T48" s="411">
        <v>110</v>
      </c>
      <c r="U48" s="411">
        <v>19242</v>
      </c>
      <c r="V48" s="411">
        <f>_xlfn.IFNA(VLOOKUP(A48,[4]進出口值表查詢結果!$C$11:$F$68,4,0),-[5]整車!$B$22)</f>
        <v>2810</v>
      </c>
      <c r="W48" s="411">
        <f>_xlfn.IFNA(VLOOKUP(A48,[4]進出口值表查詢結果!$C$11:$F$68,3,0),-[5]整車!$B$22)</f>
        <v>115217</v>
      </c>
      <c r="X48" s="411">
        <f>_xlfn.IFNA(VLOOKUP(A48,[6]進出口值表查詢結果!$C$11:$F$68,4,0),-[5]整車!$B$22)</f>
        <v>233</v>
      </c>
      <c r="Y48" s="411">
        <f>_xlfn.IFNA(VLOOKUP(A48,[6]進出口值表查詢結果!$C$11:$F$68,3,0),-[5]整車!$B$22)</f>
        <v>49405</v>
      </c>
      <c r="Z48" s="405">
        <f t="shared" si="7"/>
        <v>9320</v>
      </c>
      <c r="AA48" s="405">
        <f t="shared" si="8"/>
        <v>598275</v>
      </c>
    </row>
    <row r="49" spans="1:27">
      <c r="A49" s="448" t="s">
        <v>194</v>
      </c>
      <c r="B49" s="411">
        <v>0</v>
      </c>
      <c r="C49" s="411">
        <v>0</v>
      </c>
      <c r="D49" s="411"/>
      <c r="E49" s="411"/>
      <c r="F49" s="411">
        <v>0</v>
      </c>
      <c r="G49" s="411"/>
      <c r="H49" s="411">
        <v>0</v>
      </c>
      <c r="I49" s="411">
        <v>0</v>
      </c>
      <c r="J49" s="412" t="s">
        <v>60</v>
      </c>
      <c r="K49" s="415" t="s">
        <v>60</v>
      </c>
      <c r="L49" s="411">
        <v>0</v>
      </c>
      <c r="M49" s="411">
        <v>0</v>
      </c>
      <c r="N49" s="411">
        <v>0</v>
      </c>
      <c r="O49" s="411">
        <v>0</v>
      </c>
      <c r="P49" s="411">
        <v>1103</v>
      </c>
      <c r="Q49" s="411">
        <v>149812</v>
      </c>
      <c r="R49" s="411">
        <v>0</v>
      </c>
      <c r="S49" s="411">
        <v>0</v>
      </c>
      <c r="T49" s="411">
        <v>1020</v>
      </c>
      <c r="U49" s="411">
        <v>82719</v>
      </c>
      <c r="V49" s="411">
        <f>_xlfn.IFNA(VLOOKUP(A49,[4]進出口值表查詢結果!$C$11:$F$68,4,0),-[5]整車!$B$22)</f>
        <v>250</v>
      </c>
      <c r="W49" s="411">
        <f>_xlfn.IFNA(VLOOKUP(A49,[4]進出口值表查詢結果!$C$11:$F$68,3,0),-[5]整車!$B$22)</f>
        <v>40485</v>
      </c>
      <c r="X49" s="411">
        <f>_xlfn.IFNA(VLOOKUP(A49,[6]進出口值表查詢結果!$C$11:$F$68,4,0),-[5]整車!$B$22)</f>
        <v>0</v>
      </c>
      <c r="Y49" s="411">
        <f>_xlfn.IFNA(VLOOKUP(A49,[6]進出口值表查詢結果!$C$11:$F$68,3,0),-[5]整車!$B$22)</f>
        <v>0</v>
      </c>
      <c r="Z49" s="405">
        <f t="shared" si="7"/>
        <v>2373</v>
      </c>
      <c r="AA49" s="405">
        <f t="shared" si="8"/>
        <v>273016</v>
      </c>
    </row>
    <row r="50" spans="1:27">
      <c r="A50" s="448" t="s">
        <v>253</v>
      </c>
      <c r="B50" s="411">
        <v>0</v>
      </c>
      <c r="C50" s="411">
        <v>0</v>
      </c>
      <c r="D50" s="411"/>
      <c r="E50" s="411"/>
      <c r="F50" s="411">
        <v>41</v>
      </c>
      <c r="G50" s="411">
        <v>46233</v>
      </c>
      <c r="H50" s="411">
        <v>0</v>
      </c>
      <c r="I50" s="411">
        <v>0</v>
      </c>
      <c r="J50" s="412">
        <v>78</v>
      </c>
      <c r="K50" s="415">
        <v>136719</v>
      </c>
      <c r="L50" s="411">
        <v>73</v>
      </c>
      <c r="M50" s="411">
        <v>111226</v>
      </c>
      <c r="N50" s="425">
        <v>42</v>
      </c>
      <c r="O50" s="425">
        <v>82995</v>
      </c>
      <c r="P50" s="411">
        <v>76</v>
      </c>
      <c r="Q50" s="411">
        <v>189800</v>
      </c>
      <c r="R50" s="411">
        <v>3</v>
      </c>
      <c r="S50" s="411">
        <v>18037</v>
      </c>
      <c r="T50" s="411"/>
      <c r="U50" s="411"/>
      <c r="V50" s="411">
        <f>_xlfn.IFNA(VLOOKUP(A50,[4]進出口值表查詢結果!$C$11:$F$68,4,0),-[5]整車!$B$22)</f>
        <v>0</v>
      </c>
      <c r="W50" s="411">
        <f>_xlfn.IFNA(VLOOKUP(A50,[4]進出口值表查詢結果!$C$11:$F$68,3,0),-[5]整車!$B$22)</f>
        <v>0</v>
      </c>
      <c r="X50" s="411">
        <f>_xlfn.IFNA(VLOOKUP(A50,[6]進出口值表查詢結果!$C$11:$F$68,4,0),-[5]整車!$B$22)</f>
        <v>0</v>
      </c>
      <c r="Y50" s="411">
        <f>_xlfn.IFNA(VLOOKUP(A50,[6]進出口值表查詢結果!$C$11:$F$68,3,0),-[5]整車!$B$22)</f>
        <v>0</v>
      </c>
      <c r="Z50" s="405">
        <f t="shared" si="7"/>
        <v>313</v>
      </c>
      <c r="AA50" s="405">
        <f t="shared" si="8"/>
        <v>585010</v>
      </c>
    </row>
    <row r="51" spans="1:27">
      <c r="A51" s="448" t="s">
        <v>186</v>
      </c>
      <c r="B51" s="411">
        <v>201</v>
      </c>
      <c r="C51" s="411">
        <v>272709</v>
      </c>
      <c r="D51" s="411"/>
      <c r="E51" s="411"/>
      <c r="F51" s="411">
        <v>0</v>
      </c>
      <c r="G51" s="411"/>
      <c r="H51" s="411">
        <v>32</v>
      </c>
      <c r="I51" s="411">
        <v>33620</v>
      </c>
      <c r="J51" s="412">
        <v>101</v>
      </c>
      <c r="K51" s="415">
        <v>102138</v>
      </c>
      <c r="L51" s="411">
        <v>63</v>
      </c>
      <c r="M51" s="411">
        <v>100302</v>
      </c>
      <c r="N51" s="425">
        <v>9</v>
      </c>
      <c r="O51" s="425">
        <v>13320</v>
      </c>
      <c r="P51" s="411">
        <v>0</v>
      </c>
      <c r="Q51" s="411">
        <v>0</v>
      </c>
      <c r="R51" s="411">
        <v>78</v>
      </c>
      <c r="S51" s="411">
        <v>157745</v>
      </c>
      <c r="T51" s="411"/>
      <c r="U51" s="411"/>
      <c r="V51" s="411">
        <f>_xlfn.IFNA(VLOOKUP(A51,[4]進出口值表查詢結果!$C$11:$F$68,4,0),-[5]整車!$B$22)</f>
        <v>149</v>
      </c>
      <c r="W51" s="411">
        <f>_xlfn.IFNA(VLOOKUP(A51,[4]進出口值表查詢結果!$C$11:$F$68,3,0),-[5]整車!$B$22)</f>
        <v>101179</v>
      </c>
      <c r="X51" s="411">
        <f>_xlfn.IFNA(VLOOKUP(A51,[6]進出口值表查詢結果!$C$11:$F$68,4,0),-[5]整車!$B$22)</f>
        <v>177</v>
      </c>
      <c r="Y51" s="411">
        <f>_xlfn.IFNA(VLOOKUP(A51,[6]進出口值表查詢結果!$C$11:$F$68,3,0),-[5]整車!$B$22)</f>
        <v>208957</v>
      </c>
      <c r="Z51" s="405">
        <f t="shared" si="7"/>
        <v>810</v>
      </c>
      <c r="AA51" s="405">
        <f t="shared" si="8"/>
        <v>989970</v>
      </c>
    </row>
    <row r="52" spans="1:27">
      <c r="A52" s="448" t="s">
        <v>255</v>
      </c>
      <c r="B52" s="411">
        <v>14850</v>
      </c>
      <c r="C52" s="411">
        <v>1819825</v>
      </c>
      <c r="D52" s="411">
        <v>10994</v>
      </c>
      <c r="E52" s="411">
        <v>1791539</v>
      </c>
      <c r="F52" s="411">
        <v>5163</v>
      </c>
      <c r="G52" s="411">
        <v>792431</v>
      </c>
      <c r="H52" s="411">
        <v>8731</v>
      </c>
      <c r="I52" s="411">
        <v>1291818</v>
      </c>
      <c r="J52" s="412">
        <v>8229</v>
      </c>
      <c r="K52" s="413">
        <v>909253</v>
      </c>
      <c r="L52" s="411">
        <v>1974</v>
      </c>
      <c r="M52" s="411">
        <v>362668</v>
      </c>
      <c r="N52" s="425">
        <v>1030</v>
      </c>
      <c r="O52" s="425">
        <v>144084</v>
      </c>
      <c r="P52" s="411">
        <v>637</v>
      </c>
      <c r="Q52" s="411">
        <v>148186</v>
      </c>
      <c r="R52" s="411">
        <v>0</v>
      </c>
      <c r="S52" s="411">
        <v>0</v>
      </c>
      <c r="T52" s="411">
        <v>492</v>
      </c>
      <c r="U52" s="411">
        <v>276110</v>
      </c>
      <c r="V52" s="411">
        <f>_xlfn.IFNA(VLOOKUP(A52,[4]進出口值表查詢結果!$C$11:$F$68,4,0),-[5]整車!$B$22)</f>
        <v>373</v>
      </c>
      <c r="W52" s="411">
        <f>_xlfn.IFNA(VLOOKUP(A52,[4]進出口值表查詢結果!$C$11:$F$68,3,0),-[5]整車!$B$22)</f>
        <v>210711</v>
      </c>
      <c r="X52" s="411">
        <f>_xlfn.IFNA(VLOOKUP(A52,[6]進出口值表查詢結果!$C$11:$F$68,4,0),-[5]整車!$B$22)</f>
        <v>255</v>
      </c>
      <c r="Y52" s="411">
        <f>_xlfn.IFNA(VLOOKUP(A52,[6]進出口值表查詢結果!$C$11:$F$68,3,0),-[5]整車!$B$22)</f>
        <v>121134</v>
      </c>
      <c r="Z52" s="405">
        <f t="shared" si="7"/>
        <v>52728</v>
      </c>
      <c r="AA52" s="405">
        <f t="shared" si="8"/>
        <v>7867759</v>
      </c>
    </row>
    <row r="53" spans="1:27">
      <c r="A53" s="448" t="s">
        <v>169</v>
      </c>
      <c r="B53" s="411">
        <v>415</v>
      </c>
      <c r="C53" s="411">
        <v>138854</v>
      </c>
      <c r="D53" s="411">
        <v>347</v>
      </c>
      <c r="E53" s="411">
        <v>89541</v>
      </c>
      <c r="F53" s="411">
        <v>168</v>
      </c>
      <c r="G53" s="411">
        <v>63590</v>
      </c>
      <c r="H53" s="411">
        <v>91</v>
      </c>
      <c r="I53" s="411">
        <v>41073</v>
      </c>
      <c r="J53" s="412" t="s">
        <v>60</v>
      </c>
      <c r="K53" s="415" t="s">
        <v>60</v>
      </c>
      <c r="L53" s="411">
        <v>192</v>
      </c>
      <c r="M53" s="411">
        <v>38137</v>
      </c>
      <c r="N53" s="425">
        <v>565</v>
      </c>
      <c r="O53" s="425">
        <v>326470</v>
      </c>
      <c r="P53" s="411">
        <v>55</v>
      </c>
      <c r="Q53" s="411">
        <v>37445</v>
      </c>
      <c r="R53" s="411">
        <v>12</v>
      </c>
      <c r="S53" s="411">
        <v>17120</v>
      </c>
      <c r="T53" s="411">
        <v>3</v>
      </c>
      <c r="U53" s="411">
        <v>1549</v>
      </c>
      <c r="V53" s="411">
        <f>_xlfn.IFNA(VLOOKUP(A53,[4]進出口值表查詢結果!$C$11:$F$68,4,0),-[5]整車!$B$22)</f>
        <v>6</v>
      </c>
      <c r="W53" s="411">
        <f>_xlfn.IFNA(VLOOKUP(A53,[4]進出口值表查詢結果!$C$11:$F$68,3,0),-[5]整車!$B$22)</f>
        <v>1837</v>
      </c>
      <c r="X53" s="411">
        <f>_xlfn.IFNA(VLOOKUP(A53,[6]進出口值表查詢結果!$C$11:$F$68,4,0),-[5]整車!$B$22)</f>
        <v>0</v>
      </c>
      <c r="Y53" s="411">
        <f>_xlfn.IFNA(VLOOKUP(A53,[6]進出口值表查詢結果!$C$11:$F$68,3,0),-[5]整車!$B$22)</f>
        <v>0</v>
      </c>
      <c r="Z53" s="405">
        <f t="shared" si="7"/>
        <v>1854</v>
      </c>
      <c r="AA53" s="405">
        <f t="shared" si="8"/>
        <v>755616</v>
      </c>
    </row>
    <row r="54" spans="1:27">
      <c r="A54" s="448" t="s">
        <v>176</v>
      </c>
      <c r="B54" s="411">
        <v>2701</v>
      </c>
      <c r="C54" s="411">
        <v>1013330</v>
      </c>
      <c r="D54" s="411">
        <v>526</v>
      </c>
      <c r="E54" s="411">
        <v>174316</v>
      </c>
      <c r="F54" s="411">
        <v>871</v>
      </c>
      <c r="G54" s="411">
        <v>261235</v>
      </c>
      <c r="H54" s="411">
        <v>560</v>
      </c>
      <c r="I54" s="411">
        <v>111328</v>
      </c>
      <c r="J54" s="412">
        <v>122</v>
      </c>
      <c r="K54" s="415">
        <v>126429</v>
      </c>
      <c r="L54" s="411">
        <v>437</v>
      </c>
      <c r="M54" s="411">
        <v>340350</v>
      </c>
      <c r="N54" s="425">
        <v>995</v>
      </c>
      <c r="O54" s="425">
        <v>812171</v>
      </c>
      <c r="P54" s="411">
        <v>393</v>
      </c>
      <c r="Q54" s="411">
        <v>427618</v>
      </c>
      <c r="R54" s="411">
        <v>1762</v>
      </c>
      <c r="S54" s="411">
        <v>731590</v>
      </c>
      <c r="T54" s="411">
        <v>2871</v>
      </c>
      <c r="U54" s="411">
        <v>1163960</v>
      </c>
      <c r="V54" s="411">
        <f>_xlfn.IFNA(VLOOKUP(A54,[4]進出口值表查詢結果!$C$11:$F$68,4,0),-[5]整車!$B$22)</f>
        <v>2077</v>
      </c>
      <c r="W54" s="411">
        <f>_xlfn.IFNA(VLOOKUP(A54,[4]進出口值表查詢結果!$C$11:$F$68,3,0),-[5]整車!$B$22)</f>
        <v>695253</v>
      </c>
      <c r="X54" s="411">
        <f>_xlfn.IFNA(VLOOKUP(A54,[6]進出口值表查詢結果!$C$11:$F$68,4,0),-[5]整車!$B$22)</f>
        <v>2420</v>
      </c>
      <c r="Y54" s="411">
        <f>_xlfn.IFNA(VLOOKUP(A54,[6]進出口值表查詢結果!$C$11:$F$68,3,0),-[5]整車!$B$22)</f>
        <v>651295</v>
      </c>
      <c r="Z54" s="405">
        <f t="shared" si="7"/>
        <v>15735</v>
      </c>
      <c r="AA54" s="405">
        <f t="shared" si="8"/>
        <v>6508875</v>
      </c>
    </row>
    <row r="55" spans="1:27">
      <c r="A55" s="448" t="s">
        <v>166</v>
      </c>
      <c r="B55" s="411">
        <v>184</v>
      </c>
      <c r="C55" s="411">
        <v>65445</v>
      </c>
      <c r="D55" s="411">
        <v>384</v>
      </c>
      <c r="E55" s="411">
        <v>270420</v>
      </c>
      <c r="F55" s="411">
        <v>117</v>
      </c>
      <c r="G55" s="411">
        <v>125456</v>
      </c>
      <c r="H55" s="411">
        <v>125</v>
      </c>
      <c r="I55" s="411">
        <v>79330</v>
      </c>
      <c r="J55" s="412">
        <v>112</v>
      </c>
      <c r="K55" s="415">
        <v>53759</v>
      </c>
      <c r="L55" s="411">
        <v>191</v>
      </c>
      <c r="M55" s="411">
        <v>102112</v>
      </c>
      <c r="N55" s="425">
        <v>97</v>
      </c>
      <c r="O55" s="425">
        <v>124577</v>
      </c>
      <c r="P55" s="411">
        <v>96</v>
      </c>
      <c r="Q55" s="411">
        <v>91901</v>
      </c>
      <c r="R55" s="411">
        <v>1</v>
      </c>
      <c r="S55" s="411">
        <v>4144</v>
      </c>
      <c r="T55" s="411">
        <v>262</v>
      </c>
      <c r="U55" s="411">
        <v>270569</v>
      </c>
      <c r="V55" s="411">
        <f>_xlfn.IFNA(VLOOKUP(A55,[4]進出口值表查詢結果!$C$11:$F$68,4,0),-[5]整車!$B$22)</f>
        <v>124</v>
      </c>
      <c r="W55" s="411">
        <f>_xlfn.IFNA(VLOOKUP(A55,[4]進出口值表查詢結果!$C$11:$F$68,3,0),-[5]整車!$B$22)</f>
        <v>163570</v>
      </c>
      <c r="X55" s="411">
        <f>_xlfn.IFNA(VLOOKUP(A55,[6]進出口值表查詢結果!$C$11:$F$68,4,0),-[5]整車!$B$22)</f>
        <v>2983</v>
      </c>
      <c r="Y55" s="411">
        <f>_xlfn.IFNA(VLOOKUP(A55,[6]進出口值表查詢結果!$C$11:$F$68,3,0),-[5]整車!$B$22)</f>
        <v>600700</v>
      </c>
      <c r="Z55" s="405">
        <f t="shared" si="7"/>
        <v>4676</v>
      </c>
      <c r="AA55" s="405">
        <f t="shared" si="8"/>
        <v>1951983</v>
      </c>
    </row>
    <row r="56" spans="1:27">
      <c r="A56" s="448" t="s">
        <v>172</v>
      </c>
      <c r="B56" s="411">
        <v>1004</v>
      </c>
      <c r="C56" s="411">
        <v>51950</v>
      </c>
      <c r="D56" s="411">
        <v>726</v>
      </c>
      <c r="E56" s="411">
        <v>56062</v>
      </c>
      <c r="F56" s="411">
        <v>1874</v>
      </c>
      <c r="G56" s="411">
        <v>133920</v>
      </c>
      <c r="H56" s="411">
        <v>806</v>
      </c>
      <c r="I56" s="411">
        <v>75224</v>
      </c>
      <c r="J56" s="412" t="s">
        <v>60</v>
      </c>
      <c r="K56" s="415" t="s">
        <v>60</v>
      </c>
      <c r="L56" s="411">
        <v>52</v>
      </c>
      <c r="M56" s="411">
        <v>5931</v>
      </c>
      <c r="N56" s="411">
        <v>0</v>
      </c>
      <c r="O56" s="411">
        <v>0</v>
      </c>
      <c r="P56" s="411">
        <v>0</v>
      </c>
      <c r="Q56" s="411">
        <v>0</v>
      </c>
      <c r="R56" s="411">
        <v>0</v>
      </c>
      <c r="S56" s="411">
        <v>0</v>
      </c>
      <c r="T56" s="411">
        <v>70</v>
      </c>
      <c r="U56" s="411">
        <v>11429</v>
      </c>
      <c r="V56" s="411">
        <f>_xlfn.IFNA(VLOOKUP(A56,[4]進出口值表查詢結果!$C$11:$F$68,4,0),-[5]整車!$B$22)</f>
        <v>13</v>
      </c>
      <c r="W56" s="411">
        <f>_xlfn.IFNA(VLOOKUP(A56,[4]進出口值表查詢結果!$C$11:$F$68,3,0),-[5]整車!$B$22)</f>
        <v>1698</v>
      </c>
      <c r="X56" s="411">
        <f>_xlfn.IFNA(VLOOKUP(A56,[6]進出口值表查詢結果!$C$11:$F$68,4,0),-[5]整車!$B$22)</f>
        <v>55</v>
      </c>
      <c r="Y56" s="411">
        <f>_xlfn.IFNA(VLOOKUP(A56,[6]進出口值表查詢結果!$C$11:$F$68,3,0),-[5]整車!$B$22)</f>
        <v>5808</v>
      </c>
      <c r="Z56" s="405">
        <f t="shared" si="7"/>
        <v>4600</v>
      </c>
      <c r="AA56" s="405">
        <f t="shared" si="8"/>
        <v>342022</v>
      </c>
    </row>
    <row r="57" spans="1:27">
      <c r="A57" s="448" t="s">
        <v>261</v>
      </c>
      <c r="B57" s="411">
        <v>0</v>
      </c>
      <c r="C57" s="411">
        <v>0</v>
      </c>
      <c r="D57" s="411">
        <v>40</v>
      </c>
      <c r="E57" s="411">
        <v>6163</v>
      </c>
      <c r="F57" s="411">
        <v>0</v>
      </c>
      <c r="G57" s="411"/>
      <c r="H57" s="411">
        <v>0</v>
      </c>
      <c r="I57" s="411">
        <v>0</v>
      </c>
      <c r="J57" s="412" t="s">
        <v>60</v>
      </c>
      <c r="K57" s="415" t="s">
        <v>60</v>
      </c>
      <c r="L57" s="411">
        <v>0</v>
      </c>
      <c r="M57" s="411">
        <v>0</v>
      </c>
      <c r="N57" s="411">
        <v>0</v>
      </c>
      <c r="O57" s="411">
        <v>0</v>
      </c>
      <c r="P57" s="411">
        <v>0</v>
      </c>
      <c r="Q57" s="411">
        <v>0</v>
      </c>
      <c r="R57" s="411">
        <v>0</v>
      </c>
      <c r="S57" s="411">
        <v>0</v>
      </c>
      <c r="T57" s="411"/>
      <c r="U57" s="411"/>
      <c r="V57" s="411">
        <f>_xlfn.IFNA(VLOOKUP(A57,[4]進出口值表查詢結果!$C$11:$F$68,4,0),-[5]整車!$B$22)</f>
        <v>0</v>
      </c>
      <c r="W57" s="411">
        <f>_xlfn.IFNA(VLOOKUP(A57,[4]進出口值表查詢結果!$C$11:$F$68,3,0),-[5]整車!$B$22)</f>
        <v>0</v>
      </c>
      <c r="X57" s="411">
        <f>_xlfn.IFNA(VLOOKUP(A57,[6]進出口值表查詢結果!$C$11:$F$68,4,0),-[5]整車!$B$22)</f>
        <v>0</v>
      </c>
      <c r="Y57" s="411">
        <f>_xlfn.IFNA(VLOOKUP(A57,[6]進出口值表查詢結果!$C$11:$F$68,3,0),-[5]整車!$B$22)</f>
        <v>0</v>
      </c>
      <c r="Z57" s="405">
        <f t="shared" si="7"/>
        <v>40</v>
      </c>
      <c r="AA57" s="405">
        <f t="shared" si="8"/>
        <v>6163</v>
      </c>
    </row>
    <row r="58" spans="1:27">
      <c r="A58" s="451" t="s">
        <v>263</v>
      </c>
      <c r="B58" s="411">
        <v>696</v>
      </c>
      <c r="C58" s="411">
        <v>253916</v>
      </c>
      <c r="D58" s="411">
        <v>1323</v>
      </c>
      <c r="E58" s="411">
        <v>281646</v>
      </c>
      <c r="F58" s="411">
        <v>898</v>
      </c>
      <c r="G58" s="411">
        <v>263987</v>
      </c>
      <c r="H58" s="411">
        <v>276</v>
      </c>
      <c r="I58" s="411">
        <v>95595</v>
      </c>
      <c r="J58" s="412">
        <v>767</v>
      </c>
      <c r="K58" s="415">
        <v>158803</v>
      </c>
      <c r="L58" s="411">
        <v>0</v>
      </c>
      <c r="M58" s="411">
        <v>0</v>
      </c>
      <c r="N58" s="425">
        <v>80</v>
      </c>
      <c r="O58" s="425">
        <v>39824</v>
      </c>
      <c r="P58" s="411">
        <v>0</v>
      </c>
      <c r="Q58" s="411">
        <v>0</v>
      </c>
      <c r="R58" s="411">
        <v>0</v>
      </c>
      <c r="S58" s="411">
        <v>0</v>
      </c>
      <c r="T58" s="411">
        <v>169</v>
      </c>
      <c r="U58" s="411">
        <v>44957</v>
      </c>
      <c r="V58" s="411">
        <f>_xlfn.IFNA(VLOOKUP(A58,[4]進出口值表查詢結果!$C$11:$F$68,4,0),-[5]整車!$B$22)</f>
        <v>0</v>
      </c>
      <c r="W58" s="411">
        <f>_xlfn.IFNA(VLOOKUP(A58,[4]進出口值表查詢結果!$C$11:$F$68,3,0),-[5]整車!$B$22)</f>
        <v>0</v>
      </c>
      <c r="X58" s="411">
        <f>_xlfn.IFNA(VLOOKUP(A58,[6]進出口值表查詢結果!$C$11:$F$68,4,0),-[5]整車!$B$22)</f>
        <v>0</v>
      </c>
      <c r="Y58" s="411">
        <f>_xlfn.IFNA(VLOOKUP(A58,[6]進出口值表查詢結果!$C$11:$F$68,3,0),-[5]整車!$B$22)</f>
        <v>0</v>
      </c>
      <c r="Z58" s="405">
        <f t="shared" si="7"/>
        <v>4209</v>
      </c>
      <c r="AA58" s="405">
        <f t="shared" si="8"/>
        <v>1138728</v>
      </c>
    </row>
    <row r="59" spans="1:27">
      <c r="A59" s="452" t="s">
        <v>18</v>
      </c>
      <c r="B59" s="411">
        <v>0</v>
      </c>
      <c r="C59" s="411">
        <v>0</v>
      </c>
      <c r="D59" s="411"/>
      <c r="E59" s="411"/>
      <c r="F59" s="411">
        <v>0</v>
      </c>
      <c r="G59" s="411"/>
      <c r="H59" s="411">
        <v>0</v>
      </c>
      <c r="I59" s="411">
        <v>0</v>
      </c>
      <c r="J59" s="412">
        <v>50</v>
      </c>
      <c r="K59" s="415">
        <v>5012</v>
      </c>
      <c r="L59" s="411">
        <v>0</v>
      </c>
      <c r="M59" s="411">
        <v>0</v>
      </c>
      <c r="N59" s="411">
        <v>0</v>
      </c>
      <c r="O59" s="411">
        <v>0</v>
      </c>
      <c r="P59" s="411">
        <v>0</v>
      </c>
      <c r="Q59" s="411">
        <v>0</v>
      </c>
      <c r="R59" s="411">
        <v>0</v>
      </c>
      <c r="S59" s="411">
        <v>0</v>
      </c>
      <c r="T59" s="411">
        <v>440</v>
      </c>
      <c r="U59" s="411">
        <v>55250</v>
      </c>
      <c r="V59" s="411">
        <f>_xlfn.IFNA(VLOOKUP(A59,[4]進出口值表查詢結果!$C$11:$F$68,4,0),-[5]整車!$B$22)</f>
        <v>0</v>
      </c>
      <c r="W59" s="411">
        <f>_xlfn.IFNA(VLOOKUP(A59,[4]進出口值表查詢結果!$C$11:$F$68,3,0),-[5]整車!$B$22)</f>
        <v>0</v>
      </c>
      <c r="X59" s="411">
        <f>_xlfn.IFNA(VLOOKUP(A59,[6]進出口值表查詢結果!$C$11:$F$68,4,0),-[5]整車!$B$22)</f>
        <v>0</v>
      </c>
      <c r="Y59" s="411">
        <f>_xlfn.IFNA(VLOOKUP(A59,[6]進出口值表查詢結果!$C$11:$F$68,3,0),-[5]整車!$B$22)</f>
        <v>0</v>
      </c>
      <c r="Z59" s="405">
        <f t="shared" si="7"/>
        <v>490</v>
      </c>
      <c r="AA59" s="405">
        <f t="shared" si="8"/>
        <v>60262</v>
      </c>
    </row>
    <row r="60" spans="1:27">
      <c r="A60" s="448" t="s">
        <v>266</v>
      </c>
      <c r="B60" s="411">
        <v>0</v>
      </c>
      <c r="C60" s="411">
        <v>0</v>
      </c>
      <c r="D60" s="411">
        <v>523</v>
      </c>
      <c r="E60" s="411">
        <v>150033</v>
      </c>
      <c r="F60" s="411">
        <v>813</v>
      </c>
      <c r="G60" s="411">
        <v>183637</v>
      </c>
      <c r="H60" s="411">
        <v>317</v>
      </c>
      <c r="I60" s="411">
        <v>63199</v>
      </c>
      <c r="J60" s="412" t="s">
        <v>60</v>
      </c>
      <c r="K60" s="415" t="s">
        <v>60</v>
      </c>
      <c r="L60" s="411">
        <v>160</v>
      </c>
      <c r="M60" s="411">
        <v>66421</v>
      </c>
      <c r="N60" s="411">
        <v>0</v>
      </c>
      <c r="O60" s="411">
        <v>0</v>
      </c>
      <c r="P60" s="411">
        <v>0</v>
      </c>
      <c r="Q60" s="411">
        <v>0</v>
      </c>
      <c r="R60" s="411">
        <v>0</v>
      </c>
      <c r="S60" s="411">
        <v>0</v>
      </c>
      <c r="T60" s="411"/>
      <c r="U60" s="411"/>
      <c r="V60" s="411">
        <f>_xlfn.IFNA(VLOOKUP(A60,[4]進出口值表查詢結果!$C$11:$F$68,4,0),-[5]整車!$B$22)</f>
        <v>0</v>
      </c>
      <c r="W60" s="411">
        <f>_xlfn.IFNA(VLOOKUP(A60,[4]進出口值表查詢結果!$C$11:$F$68,3,0),-[5]整車!$B$22)</f>
        <v>0</v>
      </c>
      <c r="X60" s="411">
        <f>_xlfn.IFNA(VLOOKUP(A60,[6]進出口值表查詢結果!$C$11:$F$68,4,0),-[5]整車!$B$22)</f>
        <v>0</v>
      </c>
      <c r="Y60" s="411">
        <f>_xlfn.IFNA(VLOOKUP(A60,[6]進出口值表查詢結果!$C$11:$F$68,3,0),-[5]整車!$B$22)</f>
        <v>0</v>
      </c>
      <c r="Z60" s="405">
        <f t="shared" si="7"/>
        <v>1813</v>
      </c>
      <c r="AA60" s="405">
        <f t="shared" si="8"/>
        <v>463290</v>
      </c>
    </row>
    <row r="61" spans="1:27">
      <c r="A61" s="410" t="s">
        <v>267</v>
      </c>
      <c r="B61" s="411">
        <v>1370</v>
      </c>
      <c r="C61" s="411">
        <v>251116</v>
      </c>
      <c r="D61" s="411">
        <v>1982</v>
      </c>
      <c r="E61" s="411">
        <v>436276</v>
      </c>
      <c r="F61" s="411">
        <v>324</v>
      </c>
      <c r="G61" s="411">
        <v>53469</v>
      </c>
      <c r="H61" s="411">
        <v>496</v>
      </c>
      <c r="I61" s="411">
        <v>109871</v>
      </c>
      <c r="J61" s="412">
        <v>113</v>
      </c>
      <c r="K61" s="426">
        <v>38322</v>
      </c>
      <c r="L61" s="411">
        <v>0</v>
      </c>
      <c r="M61" s="411">
        <v>0</v>
      </c>
      <c r="N61" s="411">
        <v>0</v>
      </c>
      <c r="O61" s="411">
        <v>0</v>
      </c>
      <c r="P61" s="411">
        <v>0</v>
      </c>
      <c r="Q61" s="411">
        <v>0</v>
      </c>
      <c r="R61" s="411">
        <v>0</v>
      </c>
      <c r="S61" s="411">
        <v>0</v>
      </c>
      <c r="T61" s="411"/>
      <c r="U61" s="411"/>
      <c r="V61" s="411">
        <f>_xlfn.IFNA(VLOOKUP(A61,[4]進出口值表查詢結果!$C$11:$F$68,4,0),-[5]整車!$B$22)</f>
        <v>0</v>
      </c>
      <c r="W61" s="411">
        <f>_xlfn.IFNA(VLOOKUP(A61,[4]進出口值表查詢結果!$C$11:$F$68,3,0),-[5]整車!$B$22)</f>
        <v>0</v>
      </c>
      <c r="X61" s="411">
        <f>_xlfn.IFNA(VLOOKUP(A61,[6]進出口值表查詢結果!$C$11:$F$68,4,0),-[5]整車!$B$22)</f>
        <v>214</v>
      </c>
      <c r="Y61" s="411">
        <f>_xlfn.IFNA(VLOOKUP(A61,[6]進出口值表查詢結果!$C$11:$F$68,3,0),-[5]整車!$B$22)</f>
        <v>33520</v>
      </c>
      <c r="Z61" s="405">
        <f t="shared" si="7"/>
        <v>4499</v>
      </c>
      <c r="AA61" s="405">
        <f t="shared" si="8"/>
        <v>922574</v>
      </c>
    </row>
    <row r="62" spans="1:27">
      <c r="A62" s="448" t="s">
        <v>269</v>
      </c>
      <c r="B62" s="411">
        <v>70</v>
      </c>
      <c r="C62" s="411">
        <v>43452</v>
      </c>
      <c r="D62" s="411">
        <v>261</v>
      </c>
      <c r="E62" s="411">
        <v>64456</v>
      </c>
      <c r="F62" s="411">
        <v>18</v>
      </c>
      <c r="G62" s="411">
        <v>17756</v>
      </c>
      <c r="H62" s="411">
        <v>0</v>
      </c>
      <c r="I62" s="411">
        <v>0</v>
      </c>
      <c r="J62" s="412" t="s">
        <v>60</v>
      </c>
      <c r="K62" s="415" t="s">
        <v>60</v>
      </c>
      <c r="L62" s="411">
        <v>25</v>
      </c>
      <c r="M62" s="411">
        <v>23023</v>
      </c>
      <c r="N62" s="411">
        <v>0</v>
      </c>
      <c r="O62" s="411">
        <v>0</v>
      </c>
      <c r="P62" s="411">
        <v>0</v>
      </c>
      <c r="Q62" s="411">
        <v>0</v>
      </c>
      <c r="R62" s="411">
        <v>0</v>
      </c>
      <c r="S62" s="411">
        <v>0</v>
      </c>
      <c r="T62" s="411"/>
      <c r="U62" s="411"/>
      <c r="V62" s="411">
        <f>_xlfn.IFNA(VLOOKUP(A62,[4]進出口值表查詢結果!$C$11:$F$68,4,0),-[5]整車!$B$22)</f>
        <v>1</v>
      </c>
      <c r="W62" s="411">
        <f>_xlfn.IFNA(VLOOKUP(A62,[4]進出口值表查詢結果!$C$11:$F$68,3,0),-[5]整車!$B$22)</f>
        <v>3951</v>
      </c>
      <c r="X62" s="411">
        <f>_xlfn.IFNA(VLOOKUP(A62,[6]進出口值表查詢結果!$C$11:$F$68,4,0),-[5]整車!$B$22)</f>
        <v>355</v>
      </c>
      <c r="Y62" s="411">
        <f>_xlfn.IFNA(VLOOKUP(A62,[6]進出口值表查詢結果!$C$11:$F$68,3,0),-[5]整車!$B$22)</f>
        <v>93772</v>
      </c>
      <c r="Z62" s="405">
        <f t="shared" si="7"/>
        <v>730</v>
      </c>
      <c r="AA62" s="405">
        <f t="shared" si="8"/>
        <v>246410</v>
      </c>
    </row>
    <row r="63" spans="1:27">
      <c r="A63" s="451" t="s">
        <v>403</v>
      </c>
      <c r="B63" s="411">
        <v>0</v>
      </c>
      <c r="C63" s="411">
        <v>0</v>
      </c>
      <c r="D63" s="411"/>
      <c r="E63" s="411"/>
      <c r="F63" s="411">
        <v>80</v>
      </c>
      <c r="G63" s="411">
        <v>11981</v>
      </c>
      <c r="H63" s="411">
        <v>125</v>
      </c>
      <c r="I63" s="411">
        <v>14310</v>
      </c>
      <c r="J63" s="412">
        <v>100</v>
      </c>
      <c r="K63" s="415">
        <v>16037</v>
      </c>
      <c r="L63" s="411">
        <v>0</v>
      </c>
      <c r="M63" s="411">
        <v>0</v>
      </c>
      <c r="N63" s="411">
        <v>0</v>
      </c>
      <c r="O63" s="411">
        <v>0</v>
      </c>
      <c r="P63" s="411">
        <v>0</v>
      </c>
      <c r="Q63" s="411">
        <v>0</v>
      </c>
      <c r="R63" s="411">
        <v>0</v>
      </c>
      <c r="S63" s="411">
        <v>0</v>
      </c>
      <c r="T63" s="411">
        <v>125</v>
      </c>
      <c r="U63" s="411">
        <v>16317</v>
      </c>
      <c r="V63" s="411">
        <f>_xlfn.IFNA(VLOOKUP(A63,[4]進出口值表查詢結果!$C$11:$F$68,4,0),-[5]整車!$B$22)</f>
        <v>0</v>
      </c>
      <c r="W63" s="411">
        <f>_xlfn.IFNA(VLOOKUP(A63,[4]進出口值表查詢結果!$C$11:$F$68,3,0),-[5]整車!$B$22)</f>
        <v>0</v>
      </c>
      <c r="X63" s="411">
        <f>_xlfn.IFNA(VLOOKUP(A63,[6]進出口值表查詢結果!$C$11:$F$68,4,0),-[5]整車!$B$22)</f>
        <v>340</v>
      </c>
      <c r="Y63" s="411">
        <f>_xlfn.IFNA(VLOOKUP(A63,[6]進出口值表查詢結果!$C$11:$F$68,3,0),-[5]整車!$B$22)</f>
        <v>50840</v>
      </c>
      <c r="Z63" s="405">
        <f t="shared" si="7"/>
        <v>770</v>
      </c>
      <c r="AA63" s="405">
        <f t="shared" si="8"/>
        <v>109485</v>
      </c>
    </row>
    <row r="64" spans="1:27">
      <c r="A64" s="448" t="s">
        <v>190</v>
      </c>
      <c r="B64" s="411">
        <v>44</v>
      </c>
      <c r="C64" s="411">
        <v>6265</v>
      </c>
      <c r="D64" s="411"/>
      <c r="E64" s="411"/>
      <c r="F64" s="411">
        <v>0</v>
      </c>
      <c r="G64" s="411"/>
      <c r="H64" s="411">
        <v>0</v>
      </c>
      <c r="I64" s="411">
        <v>0</v>
      </c>
      <c r="J64" s="412">
        <v>74</v>
      </c>
      <c r="K64" s="415">
        <v>8920</v>
      </c>
      <c r="L64" s="411">
        <v>0</v>
      </c>
      <c r="M64" s="411">
        <v>0</v>
      </c>
      <c r="N64" s="411">
        <v>0</v>
      </c>
      <c r="O64" s="411">
        <v>0</v>
      </c>
      <c r="P64" s="411">
        <v>35</v>
      </c>
      <c r="Q64" s="411">
        <v>5625</v>
      </c>
      <c r="R64" s="411">
        <v>45</v>
      </c>
      <c r="S64" s="411">
        <v>4959</v>
      </c>
      <c r="T64" s="411">
        <v>42</v>
      </c>
      <c r="U64" s="411">
        <v>6127</v>
      </c>
      <c r="V64" s="411">
        <f>_xlfn.IFNA(VLOOKUP(A64,[4]進出口值表查詢結果!$C$11:$F$68,4,0),-[5]整車!$B$22)</f>
        <v>0</v>
      </c>
      <c r="W64" s="411">
        <f>_xlfn.IFNA(VLOOKUP(A64,[4]進出口值表查詢結果!$C$11:$F$68,3,0),-[5]整車!$B$22)</f>
        <v>0</v>
      </c>
      <c r="X64" s="411">
        <f>_xlfn.IFNA(VLOOKUP(A64,[6]進出口值表查詢結果!$C$11:$F$68,4,0),-[5]整車!$B$22)</f>
        <v>0</v>
      </c>
      <c r="Y64" s="411">
        <f>_xlfn.IFNA(VLOOKUP(A64,[6]進出口值表查詢結果!$C$11:$F$68,3,0),-[5]整車!$B$22)</f>
        <v>0</v>
      </c>
      <c r="Z64" s="405">
        <f t="shared" si="7"/>
        <v>240</v>
      </c>
      <c r="AA64" s="405">
        <f t="shared" si="8"/>
        <v>31896</v>
      </c>
    </row>
    <row r="65" spans="1:27">
      <c r="A65" s="448" t="s">
        <v>185</v>
      </c>
      <c r="B65" s="411">
        <v>0</v>
      </c>
      <c r="C65" s="411">
        <v>0</v>
      </c>
      <c r="D65" s="411"/>
      <c r="E65" s="411"/>
      <c r="F65" s="411">
        <v>20</v>
      </c>
      <c r="G65" s="411">
        <v>7667</v>
      </c>
      <c r="H65" s="411">
        <v>0</v>
      </c>
      <c r="I65" s="411">
        <v>0</v>
      </c>
      <c r="J65" s="412">
        <v>53</v>
      </c>
      <c r="K65" s="415">
        <v>6883</v>
      </c>
      <c r="L65" s="411">
        <v>0</v>
      </c>
      <c r="M65" s="411">
        <v>0</v>
      </c>
      <c r="N65" s="411">
        <v>0</v>
      </c>
      <c r="O65" s="411">
        <v>0</v>
      </c>
      <c r="P65" s="411">
        <v>0</v>
      </c>
      <c r="Q65" s="411">
        <v>0</v>
      </c>
      <c r="R65" s="411">
        <v>46</v>
      </c>
      <c r="S65" s="411">
        <v>5740</v>
      </c>
      <c r="T65" s="411"/>
      <c r="U65" s="411"/>
      <c r="V65" s="411">
        <f>_xlfn.IFNA(VLOOKUP(A65,[4]進出口值表查詢結果!$C$11:$F$68,4,0),-[5]整車!$B$22)</f>
        <v>53</v>
      </c>
      <c r="W65" s="411">
        <f>_xlfn.IFNA(VLOOKUP(A65,[4]進出口值表查詢結果!$C$11:$F$68,3,0),-[5]整車!$B$22)</f>
        <v>6170</v>
      </c>
      <c r="X65" s="411">
        <f>_xlfn.IFNA(VLOOKUP(A65,[6]進出口值表查詢結果!$C$11:$F$68,4,0),-[5]整車!$B$22)</f>
        <v>0</v>
      </c>
      <c r="Y65" s="411">
        <f>_xlfn.IFNA(VLOOKUP(A65,[6]進出口值表查詢結果!$C$11:$F$68,3,0),-[5]整車!$B$22)</f>
        <v>0</v>
      </c>
      <c r="Z65" s="405">
        <f t="shared" si="7"/>
        <v>172</v>
      </c>
      <c r="AA65" s="405">
        <f t="shared" si="8"/>
        <v>26460</v>
      </c>
    </row>
    <row r="66" spans="1:27">
      <c r="A66" s="448" t="s">
        <v>273</v>
      </c>
      <c r="B66" s="411">
        <v>16</v>
      </c>
      <c r="C66" s="411">
        <v>8064</v>
      </c>
      <c r="D66" s="411">
        <v>400</v>
      </c>
      <c r="E66" s="411">
        <v>74984</v>
      </c>
      <c r="F66" s="411">
        <v>130</v>
      </c>
      <c r="G66" s="411">
        <v>19515</v>
      </c>
      <c r="H66" s="411">
        <v>120</v>
      </c>
      <c r="I66" s="411">
        <v>19543</v>
      </c>
      <c r="J66" s="412">
        <v>235</v>
      </c>
      <c r="K66" s="415">
        <v>45740</v>
      </c>
      <c r="L66" s="411">
        <v>0</v>
      </c>
      <c r="M66" s="411">
        <v>0</v>
      </c>
      <c r="N66" s="411">
        <v>0</v>
      </c>
      <c r="O66" s="411">
        <v>0</v>
      </c>
      <c r="P66" s="411">
        <v>0</v>
      </c>
      <c r="Q66" s="411">
        <v>0</v>
      </c>
      <c r="R66" s="411">
        <v>0</v>
      </c>
      <c r="S66" s="411">
        <v>0</v>
      </c>
      <c r="T66" s="411"/>
      <c r="U66" s="411"/>
      <c r="V66" s="411">
        <f>_xlfn.IFNA(VLOOKUP(A66,[4]進出口值表查詢結果!$C$11:$F$68,4,0),-[5]整車!$B$22)</f>
        <v>0</v>
      </c>
      <c r="W66" s="411">
        <f>_xlfn.IFNA(VLOOKUP(A66,[4]進出口值表查詢結果!$C$11:$F$68,3,0),-[5]整車!$B$22)</f>
        <v>0</v>
      </c>
      <c r="X66" s="411">
        <f>_xlfn.IFNA(VLOOKUP(A66,[6]進出口值表查詢結果!$C$11:$F$68,4,0),-[5]整車!$B$22)</f>
        <v>0</v>
      </c>
      <c r="Y66" s="411">
        <f>_xlfn.IFNA(VLOOKUP(A66,[6]進出口值表查詢結果!$C$11:$F$68,3,0),-[5]整車!$B$22)</f>
        <v>0</v>
      </c>
      <c r="Z66" s="405">
        <f t="shared" si="7"/>
        <v>901</v>
      </c>
      <c r="AA66" s="405">
        <f t="shared" si="8"/>
        <v>167846</v>
      </c>
    </row>
    <row r="67" spans="1:27">
      <c r="A67" s="414"/>
      <c r="B67" s="411"/>
      <c r="C67" s="411"/>
      <c r="D67" s="411"/>
      <c r="E67" s="411"/>
      <c r="F67" s="411"/>
      <c r="G67" s="411"/>
      <c r="H67" s="411"/>
      <c r="I67" s="411"/>
      <c r="J67" s="412"/>
      <c r="K67" s="413"/>
      <c r="L67" s="411"/>
      <c r="M67" s="411"/>
      <c r="N67" s="411"/>
      <c r="O67" s="411"/>
      <c r="P67" s="411"/>
      <c r="Q67" s="411"/>
      <c r="R67" s="411"/>
      <c r="S67" s="411"/>
      <c r="T67" s="411"/>
      <c r="U67" s="411"/>
      <c r="V67" s="411"/>
      <c r="W67" s="411"/>
      <c r="X67" s="411"/>
      <c r="Y67" s="411"/>
      <c r="Z67" s="405"/>
      <c r="AA67" s="405"/>
    </row>
    <row r="68" spans="1:27">
      <c r="A68" s="427" t="s">
        <v>20</v>
      </c>
      <c r="B68" s="428">
        <f t="shared" ref="B68:G68" si="9">SUM(B69:B73)</f>
        <v>6047</v>
      </c>
      <c r="C68" s="428">
        <f t="shared" si="9"/>
        <v>3779240</v>
      </c>
      <c r="D68" s="428">
        <f t="shared" si="9"/>
        <v>4374</v>
      </c>
      <c r="E68" s="428">
        <f t="shared" si="9"/>
        <v>2793538</v>
      </c>
      <c r="F68" s="428">
        <f t="shared" si="9"/>
        <v>3335</v>
      </c>
      <c r="G68" s="428">
        <f t="shared" si="9"/>
        <v>1866843</v>
      </c>
      <c r="H68" s="428">
        <f>SUM(H69:H73)</f>
        <v>2480</v>
      </c>
      <c r="I68" s="428">
        <f>SUM(I69:I73)</f>
        <v>1512983</v>
      </c>
      <c r="J68" s="429">
        <f t="shared" ref="J68:O68" si="10">SUM(J69:J73)</f>
        <v>1816</v>
      </c>
      <c r="K68" s="430">
        <f t="shared" si="10"/>
        <v>1480084</v>
      </c>
      <c r="L68" s="428">
        <f t="shared" si="10"/>
        <v>1849</v>
      </c>
      <c r="M68" s="428">
        <f t="shared" si="10"/>
        <v>1617191</v>
      </c>
      <c r="N68" s="428">
        <f t="shared" si="10"/>
        <v>1838</v>
      </c>
      <c r="O68" s="428">
        <f t="shared" si="10"/>
        <v>1928770</v>
      </c>
      <c r="P68" s="428">
        <f>SUM(P69:P73)</f>
        <v>1960</v>
      </c>
      <c r="Q68" s="428">
        <f>SUM(Q69:Q73)</f>
        <v>1999119</v>
      </c>
      <c r="R68" s="428">
        <f t="shared" ref="R68:Y68" si="11">SUM(R69:R73)</f>
        <v>1097</v>
      </c>
      <c r="S68" s="428">
        <f t="shared" si="11"/>
        <v>1708965</v>
      </c>
      <c r="T68" s="428">
        <f t="shared" si="11"/>
        <v>2389</v>
      </c>
      <c r="U68" s="428">
        <f t="shared" si="11"/>
        <v>2156903</v>
      </c>
      <c r="V68" s="428">
        <f>SUM(V69:V73)</f>
        <v>1149</v>
      </c>
      <c r="W68" s="428">
        <f>SUM(W69:W73)</f>
        <v>1843745</v>
      </c>
      <c r="X68" s="428">
        <f t="shared" si="11"/>
        <v>3615</v>
      </c>
      <c r="Y68" s="428">
        <f t="shared" si="11"/>
        <v>4337331</v>
      </c>
      <c r="Z68" s="422">
        <f t="shared" ref="Z68:AA73" si="12">SUM(B68,D68,F68,H68,J68,L68,N68,P68,R68,T68,V68,X68)</f>
        <v>31949</v>
      </c>
      <c r="AA68" s="422">
        <f t="shared" si="12"/>
        <v>27024712</v>
      </c>
    </row>
    <row r="69" spans="1:27">
      <c r="A69" s="448" t="s">
        <v>183</v>
      </c>
      <c r="B69" s="411">
        <v>1857</v>
      </c>
      <c r="C69" s="411">
        <v>2017794</v>
      </c>
      <c r="D69" s="411">
        <v>1373</v>
      </c>
      <c r="E69" s="411">
        <v>1011526</v>
      </c>
      <c r="F69" s="411">
        <v>425</v>
      </c>
      <c r="G69" s="411">
        <v>428146</v>
      </c>
      <c r="H69" s="411">
        <v>671</v>
      </c>
      <c r="I69" s="411">
        <v>699536</v>
      </c>
      <c r="J69" s="412">
        <v>587</v>
      </c>
      <c r="K69" s="413">
        <v>1041998</v>
      </c>
      <c r="L69" s="411">
        <v>1055</v>
      </c>
      <c r="M69" s="411">
        <v>1243264</v>
      </c>
      <c r="N69" s="425">
        <v>947</v>
      </c>
      <c r="O69" s="425">
        <v>1493476</v>
      </c>
      <c r="P69" s="411">
        <v>1258</v>
      </c>
      <c r="Q69" s="411">
        <v>1726838</v>
      </c>
      <c r="R69" s="411">
        <v>988</v>
      </c>
      <c r="S69" s="411">
        <v>1565929</v>
      </c>
      <c r="T69" s="411">
        <v>2202</v>
      </c>
      <c r="U69" s="411">
        <v>2043237</v>
      </c>
      <c r="V69" s="411">
        <f>_xlfn.IFNA(VLOOKUP(A69,[4]進出口值表查詢結果!$C$11:$F$68,4,0),-[5]整車!$B$22)</f>
        <v>835</v>
      </c>
      <c r="W69" s="411">
        <f>_xlfn.IFNA(VLOOKUP(A69,[4]進出口值表查詢結果!$C$11:$F$68,3,0),-[5]整車!$B$22)</f>
        <v>1325166</v>
      </c>
      <c r="X69" s="411">
        <f>_xlfn.IFNA(VLOOKUP(A69,[6]進出口值表查詢結果!$C$11:$F$68,4,0),-[5]整車!$B$22)</f>
        <v>2736</v>
      </c>
      <c r="Y69" s="411">
        <f>_xlfn.IFNA(VLOOKUP(A69,[6]進出口值表查詢結果!$C$11:$F$68,3,0),-[5]整車!$B$22)</f>
        <v>3402098</v>
      </c>
      <c r="Z69" s="405">
        <f t="shared" si="12"/>
        <v>14934</v>
      </c>
      <c r="AA69" s="405">
        <f t="shared" si="12"/>
        <v>17999008</v>
      </c>
    </row>
    <row r="70" spans="1:27">
      <c r="A70" s="448" t="s">
        <v>274</v>
      </c>
      <c r="B70" s="411">
        <v>4127</v>
      </c>
      <c r="C70" s="411">
        <v>1691969</v>
      </c>
      <c r="D70" s="411">
        <v>2950</v>
      </c>
      <c r="E70" s="411">
        <v>1716256</v>
      </c>
      <c r="F70" s="411">
        <v>2760</v>
      </c>
      <c r="G70" s="411">
        <v>1417688</v>
      </c>
      <c r="H70" s="411">
        <v>1808</v>
      </c>
      <c r="I70" s="411">
        <v>811327</v>
      </c>
      <c r="J70" s="412">
        <v>1210</v>
      </c>
      <c r="K70" s="413">
        <v>402504</v>
      </c>
      <c r="L70" s="411">
        <v>780</v>
      </c>
      <c r="M70" s="411">
        <v>350268</v>
      </c>
      <c r="N70" s="425">
        <v>875</v>
      </c>
      <c r="O70" s="425">
        <v>407876</v>
      </c>
      <c r="P70" s="411">
        <v>700</v>
      </c>
      <c r="Q70" s="411">
        <v>267943</v>
      </c>
      <c r="R70" s="411">
        <v>108</v>
      </c>
      <c r="S70" s="411">
        <v>140862</v>
      </c>
      <c r="T70" s="411">
        <v>186</v>
      </c>
      <c r="U70" s="411">
        <v>111463</v>
      </c>
      <c r="V70" s="411">
        <f>_xlfn.IFNA(VLOOKUP(A70,[4]進出口值表查詢結果!$C$11:$F$68,4,0),-[5]整車!$B$22)</f>
        <v>314</v>
      </c>
      <c r="W70" s="411">
        <f>_xlfn.IFNA(VLOOKUP(A70,[4]進出口值表查詢結果!$C$11:$F$68,3,0),-[5]整車!$B$22)</f>
        <v>518579</v>
      </c>
      <c r="X70" s="411">
        <f>_xlfn.IFNA(VLOOKUP(A70,[6]進出口值表查詢結果!$C$11:$F$68,4,0),-[5]整車!$B$22)</f>
        <v>838</v>
      </c>
      <c r="Y70" s="411">
        <f>_xlfn.IFNA(VLOOKUP(A70,[6]進出口值表查詢結果!$C$11:$F$68,3,0),-[5]整車!$B$22)</f>
        <v>906262</v>
      </c>
      <c r="Z70" s="405">
        <f t="shared" si="12"/>
        <v>16656</v>
      </c>
      <c r="AA70" s="405">
        <f t="shared" si="12"/>
        <v>8742997</v>
      </c>
    </row>
    <row r="71" spans="1:27">
      <c r="A71" s="448" t="s">
        <v>275</v>
      </c>
      <c r="B71" s="411">
        <v>63</v>
      </c>
      <c r="C71" s="411">
        <v>69477</v>
      </c>
      <c r="D71" s="411">
        <v>51</v>
      </c>
      <c r="E71" s="411">
        <v>65756</v>
      </c>
      <c r="F71" s="411">
        <v>150</v>
      </c>
      <c r="G71" s="411">
        <v>21009</v>
      </c>
      <c r="H71" s="411">
        <v>1</v>
      </c>
      <c r="I71" s="411">
        <v>2120</v>
      </c>
      <c r="J71" s="412">
        <v>19</v>
      </c>
      <c r="K71" s="413">
        <v>35582</v>
      </c>
      <c r="L71" s="411">
        <v>14</v>
      </c>
      <c r="M71" s="411">
        <v>23659</v>
      </c>
      <c r="N71" s="425">
        <v>16</v>
      </c>
      <c r="O71" s="425">
        <v>27418</v>
      </c>
      <c r="P71" s="411">
        <v>2</v>
      </c>
      <c r="Q71" s="411">
        <v>4338</v>
      </c>
      <c r="R71" s="411">
        <v>1</v>
      </c>
      <c r="S71" s="411">
        <v>2174</v>
      </c>
      <c r="T71" s="411">
        <v>1</v>
      </c>
      <c r="U71" s="411">
        <v>2203</v>
      </c>
      <c r="V71" s="411">
        <f>_xlfn.IFNA(VLOOKUP(A71,[4]進出口值表查詢結果!$C$11:$F$68,4,0),-[5]整車!$B$22)</f>
        <v>0</v>
      </c>
      <c r="W71" s="411">
        <f>_xlfn.IFNA(VLOOKUP(A71,[4]進出口值表查詢結果!$C$11:$F$68,3,0),-[5]整車!$B$22)</f>
        <v>0</v>
      </c>
      <c r="X71" s="411">
        <f>_xlfn.IFNA(VLOOKUP(A71,[6]進出口值表查詢結果!$C$11:$F$68,4,0),-[5]整車!$B$22)</f>
        <v>41</v>
      </c>
      <c r="Y71" s="411">
        <f>_xlfn.IFNA(VLOOKUP(A71,[6]進出口值表查詢結果!$C$11:$F$68,3,0),-[5]整車!$B$22)</f>
        <v>28971</v>
      </c>
      <c r="Z71" s="405">
        <f t="shared" si="12"/>
        <v>359</v>
      </c>
      <c r="AA71" s="405">
        <f t="shared" si="12"/>
        <v>282707</v>
      </c>
    </row>
    <row r="72" spans="1:27">
      <c r="A72" s="448" t="s">
        <v>277</v>
      </c>
      <c r="B72" s="411">
        <v>0</v>
      </c>
      <c r="C72" s="411">
        <v>0</v>
      </c>
      <c r="D72" s="411"/>
      <c r="E72" s="411"/>
      <c r="F72" s="411">
        <v>0</v>
      </c>
      <c r="G72" s="411"/>
      <c r="H72" s="411">
        <v>0</v>
      </c>
      <c r="I72" s="411">
        <v>0</v>
      </c>
      <c r="J72" s="412" t="s">
        <v>60</v>
      </c>
      <c r="K72" s="415" t="s">
        <v>60</v>
      </c>
      <c r="L72" s="411">
        <v>0</v>
      </c>
      <c r="M72" s="411">
        <v>0</v>
      </c>
      <c r="N72" s="411">
        <v>0</v>
      </c>
      <c r="O72" s="411">
        <v>0</v>
      </c>
      <c r="P72" s="411">
        <v>0</v>
      </c>
      <c r="Q72" s="411">
        <v>0</v>
      </c>
      <c r="R72" s="411">
        <v>0</v>
      </c>
      <c r="S72" s="411">
        <v>0</v>
      </c>
      <c r="T72" s="411"/>
      <c r="U72" s="411"/>
      <c r="V72" s="411">
        <f>_xlfn.IFNA(VLOOKUP(A72,[4]進出口值表查詢結果!$C$11:$F$68,4,0),-[5]整車!$B$22)</f>
        <v>0</v>
      </c>
      <c r="W72" s="411">
        <f>_xlfn.IFNA(VLOOKUP(A72,[4]進出口值表查詢結果!$C$11:$F$68,3,0),-[5]整車!$B$22)</f>
        <v>0</v>
      </c>
      <c r="X72" s="411">
        <f>_xlfn.IFNA(VLOOKUP(A72,[6]進出口值表查詢結果!$C$11:$F$68,4,0),-[5]整車!$B$22)</f>
        <v>0</v>
      </c>
      <c r="Y72" s="411">
        <f>_xlfn.IFNA(VLOOKUP(A72,[6]進出口值表查詢結果!$C$11:$F$68,3,0),-[5]整車!$B$22)</f>
        <v>0</v>
      </c>
      <c r="Z72" s="405">
        <f t="shared" si="12"/>
        <v>0</v>
      </c>
      <c r="AA72" s="405">
        <f t="shared" si="12"/>
        <v>0</v>
      </c>
    </row>
    <row r="73" spans="1:27">
      <c r="A73" s="448" t="s">
        <v>276</v>
      </c>
      <c r="B73" s="411">
        <v>0</v>
      </c>
      <c r="C73" s="411">
        <v>0</v>
      </c>
      <c r="D73" s="411"/>
      <c r="E73" s="411"/>
      <c r="F73" s="411">
        <v>0</v>
      </c>
      <c r="G73" s="411"/>
      <c r="H73" s="411">
        <v>0</v>
      </c>
      <c r="I73" s="411">
        <v>0</v>
      </c>
      <c r="J73" s="412" t="s">
        <v>60</v>
      </c>
      <c r="K73" s="415" t="s">
        <v>60</v>
      </c>
      <c r="L73" s="411">
        <v>0</v>
      </c>
      <c r="M73" s="411">
        <v>0</v>
      </c>
      <c r="N73" s="411">
        <v>0</v>
      </c>
      <c r="O73" s="411">
        <v>0</v>
      </c>
      <c r="P73" s="411">
        <v>0</v>
      </c>
      <c r="Q73" s="411">
        <v>0</v>
      </c>
      <c r="R73" s="411">
        <v>0</v>
      </c>
      <c r="S73" s="411">
        <v>0</v>
      </c>
      <c r="T73" s="411"/>
      <c r="U73" s="411"/>
      <c r="V73" s="411">
        <f>_xlfn.IFNA(VLOOKUP(A73,[4]進出口值表查詢結果!$C$11:$F$68,4,0),-[5]整車!$B$22)</f>
        <v>0</v>
      </c>
      <c r="W73" s="411">
        <f>_xlfn.IFNA(VLOOKUP(A73,[4]進出口值表查詢結果!$C$11:$F$68,3,0),-[5]整車!$B$22)</f>
        <v>0</v>
      </c>
      <c r="X73" s="411">
        <f>_xlfn.IFNA(VLOOKUP(A73,[6]進出口值表查詢結果!$C$11:$F$68,4,0),-[5]整車!$B$22)</f>
        <v>0</v>
      </c>
      <c r="Y73" s="411">
        <f>_xlfn.IFNA(VLOOKUP(A73,[6]進出口值表查詢結果!$C$11:$F$68,3,0),-[5]整車!$B$22)</f>
        <v>0</v>
      </c>
      <c r="Z73" s="405">
        <f t="shared" si="12"/>
        <v>0</v>
      </c>
      <c r="AA73" s="405">
        <f t="shared" si="12"/>
        <v>0</v>
      </c>
    </row>
    <row r="74" spans="1:27">
      <c r="A74" s="414"/>
      <c r="B74" s="411"/>
      <c r="C74" s="411"/>
      <c r="D74" s="411"/>
      <c r="E74" s="411"/>
      <c r="F74" s="411"/>
      <c r="G74" s="411"/>
      <c r="H74" s="411"/>
      <c r="I74" s="411"/>
      <c r="J74" s="412"/>
      <c r="K74" s="413"/>
      <c r="L74" s="411"/>
      <c r="M74" s="411"/>
      <c r="N74" s="411"/>
      <c r="O74" s="411"/>
      <c r="P74" s="411"/>
      <c r="Q74" s="411"/>
      <c r="R74" s="411"/>
      <c r="S74" s="411"/>
      <c r="T74" s="411"/>
      <c r="U74" s="411"/>
      <c r="V74" s="411"/>
      <c r="W74" s="411"/>
      <c r="X74" s="411"/>
      <c r="Y74" s="411"/>
      <c r="Z74" s="405"/>
      <c r="AA74" s="405"/>
    </row>
    <row r="75" spans="1:27">
      <c r="A75" s="427" t="s">
        <v>143</v>
      </c>
      <c r="B75" s="428">
        <f t="shared" ref="B75:Y75" si="13">SUM(B76:B83)</f>
        <v>1775</v>
      </c>
      <c r="C75" s="428">
        <f t="shared" si="13"/>
        <v>791303</v>
      </c>
      <c r="D75" s="428">
        <f t="shared" si="13"/>
        <v>1901</v>
      </c>
      <c r="E75" s="428">
        <f t="shared" si="13"/>
        <v>631147</v>
      </c>
      <c r="F75" s="428">
        <f t="shared" si="13"/>
        <v>1325</v>
      </c>
      <c r="G75" s="428">
        <f t="shared" si="13"/>
        <v>919450</v>
      </c>
      <c r="H75" s="428">
        <f t="shared" si="13"/>
        <v>631</v>
      </c>
      <c r="I75" s="428">
        <f>SUM(I76:I83)</f>
        <v>220966</v>
      </c>
      <c r="J75" s="429">
        <f t="shared" si="13"/>
        <v>474</v>
      </c>
      <c r="K75" s="430">
        <f>SUM(K76:K83)</f>
        <v>186768</v>
      </c>
      <c r="L75" s="428">
        <f t="shared" si="13"/>
        <v>1046</v>
      </c>
      <c r="M75" s="428">
        <f t="shared" si="13"/>
        <v>357239</v>
      </c>
      <c r="N75" s="428">
        <f t="shared" si="13"/>
        <v>1359</v>
      </c>
      <c r="O75" s="428">
        <f t="shared" si="13"/>
        <v>836881</v>
      </c>
      <c r="P75" s="428">
        <f t="shared" si="13"/>
        <v>164</v>
      </c>
      <c r="Q75" s="428">
        <f t="shared" si="13"/>
        <v>201186</v>
      </c>
      <c r="R75" s="428">
        <f t="shared" si="13"/>
        <v>785</v>
      </c>
      <c r="S75" s="428">
        <f t="shared" si="13"/>
        <v>324287</v>
      </c>
      <c r="T75" s="428">
        <f t="shared" si="13"/>
        <v>2780</v>
      </c>
      <c r="U75" s="428">
        <f t="shared" si="13"/>
        <v>855146</v>
      </c>
      <c r="V75" s="428">
        <f>SUM(V76:V83)</f>
        <v>1929</v>
      </c>
      <c r="W75" s="428">
        <f>SUM(W76:W83)</f>
        <v>885513</v>
      </c>
      <c r="X75" s="428">
        <f t="shared" si="13"/>
        <v>3092</v>
      </c>
      <c r="Y75" s="428">
        <f t="shared" si="13"/>
        <v>1404864</v>
      </c>
      <c r="Z75" s="422">
        <f t="shared" ref="Z75:Z83" si="14">SUM(B75,D75,F75,H75,J75,L75,N75,P75,R75,T75,V75,X75)</f>
        <v>17261</v>
      </c>
      <c r="AA75" s="422">
        <f t="shared" ref="AA75:AA83" si="15">SUM(C75,E75,G75,I75,K75,M75,O75,Q75,S75,U75,W75,Y75)</f>
        <v>7614750</v>
      </c>
    </row>
    <row r="76" spans="1:27">
      <c r="A76" s="448" t="s">
        <v>279</v>
      </c>
      <c r="B76" s="411">
        <v>1579</v>
      </c>
      <c r="C76" s="411">
        <v>669877</v>
      </c>
      <c r="D76" s="411">
        <v>1436</v>
      </c>
      <c r="E76" s="411">
        <v>495570</v>
      </c>
      <c r="F76" s="411">
        <v>931</v>
      </c>
      <c r="G76" s="411">
        <v>702788</v>
      </c>
      <c r="H76" s="411">
        <v>631</v>
      </c>
      <c r="I76" s="411">
        <v>220966</v>
      </c>
      <c r="J76" s="412">
        <v>324</v>
      </c>
      <c r="K76" s="426">
        <v>164549</v>
      </c>
      <c r="L76" s="411">
        <v>815</v>
      </c>
      <c r="M76" s="411">
        <v>323962</v>
      </c>
      <c r="N76" s="425">
        <v>822</v>
      </c>
      <c r="O76" s="425">
        <v>518255</v>
      </c>
      <c r="P76" s="411">
        <v>119</v>
      </c>
      <c r="Q76" s="411">
        <v>179634</v>
      </c>
      <c r="R76" s="411">
        <v>495</v>
      </c>
      <c r="S76" s="411">
        <v>221230</v>
      </c>
      <c r="T76" s="411">
        <v>2780</v>
      </c>
      <c r="U76" s="411">
        <v>855146</v>
      </c>
      <c r="V76" s="411">
        <f>_xlfn.IFNA(VLOOKUP(A76,[4]進出口值表查詢結果!$C$11:$F$68,4,0),-[5]整車!$B$22)</f>
        <v>1812</v>
      </c>
      <c r="W76" s="411">
        <f>_xlfn.IFNA(VLOOKUP(A76,[4]進出口值表查詢結果!$C$11:$F$68,3,0),-[5]整車!$B$22)</f>
        <v>779724</v>
      </c>
      <c r="X76" s="411">
        <f>_xlfn.IFNA(VLOOKUP(A76,[6]進出口值表查詢結果!$C$11:$F$68,4,0),-[5]整車!$B$22)</f>
        <v>2631</v>
      </c>
      <c r="Y76" s="411">
        <f>_xlfn.IFNA(VLOOKUP(A76,[6]進出口值表查詢結果!$C$11:$F$68,3,0),-[5]整車!$B$22)</f>
        <v>1193493</v>
      </c>
      <c r="Z76" s="405">
        <f t="shared" si="14"/>
        <v>14375</v>
      </c>
      <c r="AA76" s="405">
        <f t="shared" si="15"/>
        <v>6325194</v>
      </c>
    </row>
    <row r="77" spans="1:27">
      <c r="A77" s="448" t="s">
        <v>280</v>
      </c>
      <c r="B77" s="411">
        <v>0</v>
      </c>
      <c r="C77" s="411">
        <v>0</v>
      </c>
      <c r="D77" s="411"/>
      <c r="E77" s="411"/>
      <c r="F77" s="411">
        <v>0</v>
      </c>
      <c r="G77" s="411"/>
      <c r="H77" s="411">
        <v>0</v>
      </c>
      <c r="I77" s="411">
        <v>0</v>
      </c>
      <c r="J77" s="412" t="s">
        <v>60</v>
      </c>
      <c r="K77" s="415" t="s">
        <v>60</v>
      </c>
      <c r="L77" s="411">
        <v>0</v>
      </c>
      <c r="M77" s="411">
        <v>0</v>
      </c>
      <c r="N77" s="411">
        <v>0</v>
      </c>
      <c r="O77" s="411">
        <v>0</v>
      </c>
      <c r="P77" s="411">
        <v>0</v>
      </c>
      <c r="Q77" s="411">
        <v>0</v>
      </c>
      <c r="R77" s="411">
        <v>0</v>
      </c>
      <c r="S77" s="411">
        <v>0</v>
      </c>
      <c r="T77" s="411"/>
      <c r="U77" s="411"/>
      <c r="V77" s="411">
        <f>_xlfn.IFNA(VLOOKUP(A77,[4]進出口值表查詢結果!$C$11:$F$68,4,0),-[5]整車!$B$22)</f>
        <v>0</v>
      </c>
      <c r="W77" s="411">
        <f>_xlfn.IFNA(VLOOKUP(A77,[4]進出口值表查詢結果!$C$11:$F$68,3,0),-[5]整車!$B$22)</f>
        <v>0</v>
      </c>
      <c r="X77" s="411">
        <f>_xlfn.IFNA(VLOOKUP(A77,[6]進出口值表查詢結果!$C$11:$F$68,4,0),-[5]整車!$B$22)</f>
        <v>0</v>
      </c>
      <c r="Y77" s="411">
        <f>_xlfn.IFNA(VLOOKUP(A77,[6]進出口值表查詢結果!$C$11:$F$68,3,0),-[5]整車!$B$22)</f>
        <v>0</v>
      </c>
      <c r="Z77" s="405">
        <f t="shared" si="14"/>
        <v>0</v>
      </c>
      <c r="AA77" s="405">
        <f t="shared" si="15"/>
        <v>0</v>
      </c>
    </row>
    <row r="78" spans="1:27">
      <c r="A78" s="448" t="s">
        <v>281</v>
      </c>
      <c r="B78" s="411"/>
      <c r="C78" s="411"/>
      <c r="D78" s="411"/>
      <c r="E78" s="411"/>
      <c r="F78" s="411">
        <v>0</v>
      </c>
      <c r="G78" s="411"/>
      <c r="H78" s="411">
        <v>0</v>
      </c>
      <c r="I78" s="411">
        <v>0</v>
      </c>
      <c r="J78" s="412" t="s">
        <v>60</v>
      </c>
      <c r="K78" s="415" t="s">
        <v>60</v>
      </c>
      <c r="L78" s="411">
        <v>0</v>
      </c>
      <c r="M78" s="411">
        <v>0</v>
      </c>
      <c r="N78" s="411">
        <v>0</v>
      </c>
      <c r="O78" s="411">
        <v>0</v>
      </c>
      <c r="P78" s="411">
        <v>0</v>
      </c>
      <c r="Q78" s="411">
        <v>0</v>
      </c>
      <c r="R78" s="411">
        <v>0</v>
      </c>
      <c r="S78" s="411">
        <v>0</v>
      </c>
      <c r="T78" s="411"/>
      <c r="U78" s="411"/>
      <c r="V78" s="411">
        <f>_xlfn.IFNA(VLOOKUP(A78,[4]進出口值表查詢結果!$C$11:$F$68,4,0),-[5]整車!$B$22)</f>
        <v>0</v>
      </c>
      <c r="W78" s="411">
        <f>_xlfn.IFNA(VLOOKUP(A78,[4]進出口值表查詢結果!$C$11:$F$68,3,0),-[5]整車!$B$22)</f>
        <v>0</v>
      </c>
      <c r="X78" s="411">
        <f>_xlfn.IFNA(VLOOKUP(A78,[6]進出口值表查詢結果!$C$11:$F$68,4,0),-[5]整車!$B$22)</f>
        <v>0</v>
      </c>
      <c r="Y78" s="411">
        <f>_xlfn.IFNA(VLOOKUP(A78,[6]進出口值表查詢結果!$C$11:$F$68,3,0),-[5]整車!$B$22)</f>
        <v>0</v>
      </c>
      <c r="Z78" s="405">
        <f t="shared" si="14"/>
        <v>0</v>
      </c>
      <c r="AA78" s="405">
        <f t="shared" si="15"/>
        <v>0</v>
      </c>
    </row>
    <row r="79" spans="1:27">
      <c r="A79" s="448" t="s">
        <v>282</v>
      </c>
      <c r="B79" s="411"/>
      <c r="C79" s="411"/>
      <c r="D79" s="411"/>
      <c r="E79" s="411"/>
      <c r="F79" s="411">
        <v>0</v>
      </c>
      <c r="G79" s="411"/>
      <c r="H79" s="411">
        <v>0</v>
      </c>
      <c r="I79" s="411">
        <v>0</v>
      </c>
      <c r="J79" s="412" t="s">
        <v>60</v>
      </c>
      <c r="K79" s="415" t="s">
        <v>60</v>
      </c>
      <c r="L79" s="411">
        <v>0</v>
      </c>
      <c r="M79" s="411">
        <v>0</v>
      </c>
      <c r="N79" s="411">
        <v>0</v>
      </c>
      <c r="O79" s="411">
        <v>0</v>
      </c>
      <c r="P79" s="411">
        <v>0</v>
      </c>
      <c r="Q79" s="411">
        <v>0</v>
      </c>
      <c r="R79" s="411">
        <v>0</v>
      </c>
      <c r="S79" s="411">
        <v>0</v>
      </c>
      <c r="T79" s="411"/>
      <c r="U79" s="411"/>
      <c r="V79" s="411">
        <f>_xlfn.IFNA(VLOOKUP(A79,[4]進出口值表查詢結果!$C$11:$F$68,4,0),-[5]整車!$B$22)</f>
        <v>0</v>
      </c>
      <c r="W79" s="411">
        <f>_xlfn.IFNA(VLOOKUP(A79,[4]進出口值表查詢結果!$C$11:$F$68,3,0),-[5]整車!$B$22)</f>
        <v>0</v>
      </c>
      <c r="X79" s="411">
        <f>_xlfn.IFNA(VLOOKUP(A79,[6]進出口值表查詢結果!$C$11:$F$68,4,0),-[5]整車!$B$22)</f>
        <v>0</v>
      </c>
      <c r="Y79" s="411">
        <f>_xlfn.IFNA(VLOOKUP(A79,[6]進出口值表查詢結果!$C$11:$F$68,3,0),-[5]整車!$B$22)</f>
        <v>0</v>
      </c>
      <c r="Z79" s="405">
        <f t="shared" si="14"/>
        <v>0</v>
      </c>
      <c r="AA79" s="405">
        <f t="shared" si="15"/>
        <v>0</v>
      </c>
    </row>
    <row r="80" spans="1:27">
      <c r="A80" s="448" t="s">
        <v>284</v>
      </c>
      <c r="B80" s="411">
        <v>196</v>
      </c>
      <c r="C80" s="411">
        <v>121426</v>
      </c>
      <c r="D80" s="411">
        <v>465</v>
      </c>
      <c r="E80" s="411">
        <v>135577</v>
      </c>
      <c r="F80" s="411">
        <v>339</v>
      </c>
      <c r="G80" s="411">
        <v>203320</v>
      </c>
      <c r="H80" s="411">
        <v>0</v>
      </c>
      <c r="I80" s="411">
        <v>0</v>
      </c>
      <c r="J80" s="412">
        <v>150</v>
      </c>
      <c r="K80" s="426">
        <v>22219</v>
      </c>
      <c r="L80" s="411">
        <v>231</v>
      </c>
      <c r="M80" s="411">
        <v>33277</v>
      </c>
      <c r="N80" s="425">
        <v>537</v>
      </c>
      <c r="O80" s="425">
        <v>318626</v>
      </c>
      <c r="P80" s="411">
        <v>0</v>
      </c>
      <c r="Q80" s="411">
        <v>0</v>
      </c>
      <c r="R80" s="411">
        <v>290</v>
      </c>
      <c r="S80" s="411">
        <v>103057</v>
      </c>
      <c r="T80" s="411"/>
      <c r="U80" s="411"/>
      <c r="V80" s="411">
        <f>_xlfn.IFNA(VLOOKUP(A80,[4]進出口值表查詢結果!$C$11:$F$68,4,0),-[5]整車!$B$22)</f>
        <v>117</v>
      </c>
      <c r="W80" s="411">
        <f>_xlfn.IFNA(VLOOKUP(A80,[4]進出口值表查詢結果!$C$11:$F$68,3,0),-[5]整車!$B$22)</f>
        <v>105789</v>
      </c>
      <c r="X80" s="411">
        <f>_xlfn.IFNA(VLOOKUP(A80,[6]進出口值表查詢結果!$C$11:$F$68,4,0),-[5]整車!$B$22)</f>
        <v>461</v>
      </c>
      <c r="Y80" s="411">
        <f>_xlfn.IFNA(VLOOKUP(A80,[6]進出口值表查詢結果!$C$11:$F$68,3,0),-[5]整車!$B$22)</f>
        <v>211371</v>
      </c>
      <c r="Z80" s="405">
        <f t="shared" si="14"/>
        <v>2786</v>
      </c>
      <c r="AA80" s="405">
        <f t="shared" si="15"/>
        <v>1254662</v>
      </c>
    </row>
    <row r="81" spans="1:27">
      <c r="A81" s="448" t="s">
        <v>286</v>
      </c>
      <c r="B81" s="411"/>
      <c r="C81" s="411"/>
      <c r="D81" s="411"/>
      <c r="E81" s="411"/>
      <c r="F81" s="411">
        <v>55</v>
      </c>
      <c r="G81" s="411">
        <v>13342</v>
      </c>
      <c r="H81" s="411">
        <v>0</v>
      </c>
      <c r="I81" s="411">
        <v>0</v>
      </c>
      <c r="J81" s="412" t="s">
        <v>60</v>
      </c>
      <c r="K81" s="415" t="s">
        <v>60</v>
      </c>
      <c r="L81" s="411">
        <v>0</v>
      </c>
      <c r="M81" s="411">
        <v>0</v>
      </c>
      <c r="N81" s="411">
        <v>0</v>
      </c>
      <c r="O81" s="411">
        <v>0</v>
      </c>
      <c r="P81" s="411">
        <v>45</v>
      </c>
      <c r="Q81" s="411">
        <v>21552</v>
      </c>
      <c r="R81" s="411">
        <v>0</v>
      </c>
      <c r="S81" s="411">
        <v>0</v>
      </c>
      <c r="T81" s="411"/>
      <c r="U81" s="411"/>
      <c r="V81" s="411">
        <f>_xlfn.IFNA(VLOOKUP(A81,[4]進出口值表查詢結果!$C$11:$F$68,4,0),-[5]整車!$B$22)</f>
        <v>0</v>
      </c>
      <c r="W81" s="411">
        <f>_xlfn.IFNA(VLOOKUP(A81,[4]進出口值表查詢結果!$C$11:$F$68,3,0),-[5]整車!$B$22)</f>
        <v>0</v>
      </c>
      <c r="X81" s="411">
        <f>_xlfn.IFNA(VLOOKUP(A81,[6]進出口值表查詢結果!$C$11:$F$68,4,0),-[5]整車!$B$22)</f>
        <v>0</v>
      </c>
      <c r="Y81" s="411">
        <f>_xlfn.IFNA(VLOOKUP(A81,[6]進出口值表查詢結果!$C$11:$F$68,3,0),-[5]整車!$B$22)</f>
        <v>0</v>
      </c>
      <c r="Z81" s="405">
        <f t="shared" si="14"/>
        <v>100</v>
      </c>
      <c r="AA81" s="405">
        <f t="shared" si="15"/>
        <v>34894</v>
      </c>
    </row>
    <row r="82" spans="1:27">
      <c r="A82" s="416" t="s">
        <v>285</v>
      </c>
      <c r="B82" s="411"/>
      <c r="C82" s="411"/>
      <c r="D82" s="411"/>
      <c r="E82" s="411"/>
      <c r="F82" s="411">
        <v>0</v>
      </c>
      <c r="G82" s="411"/>
      <c r="H82" s="411">
        <v>0</v>
      </c>
      <c r="I82" s="411">
        <v>0</v>
      </c>
      <c r="J82" s="412" t="s">
        <v>60</v>
      </c>
      <c r="K82" s="415" t="s">
        <v>60</v>
      </c>
      <c r="L82" s="411">
        <v>0</v>
      </c>
      <c r="M82" s="411">
        <v>0</v>
      </c>
      <c r="N82" s="411">
        <v>0</v>
      </c>
      <c r="O82" s="411">
        <v>0</v>
      </c>
      <c r="P82" s="411">
        <v>0</v>
      </c>
      <c r="Q82" s="411">
        <v>0</v>
      </c>
      <c r="R82" s="411">
        <v>0</v>
      </c>
      <c r="S82" s="411">
        <v>0</v>
      </c>
      <c r="T82" s="411"/>
      <c r="U82" s="411"/>
      <c r="V82" s="411">
        <f>_xlfn.IFNA(VLOOKUP(A82,[4]進出口值表查詢結果!$C$11:$F$68,4,0),-[5]整車!$B$22)</f>
        <v>0</v>
      </c>
      <c r="W82" s="411">
        <f>_xlfn.IFNA(VLOOKUP(A82,[4]進出口值表查詢結果!$C$11:$F$68,3,0),-[5]整車!$B$22)</f>
        <v>0</v>
      </c>
      <c r="X82" s="411">
        <f>_xlfn.IFNA(VLOOKUP(A82,[6]進出口值表查詢結果!$C$11:$F$68,4,0),-[5]整車!$B$22)</f>
        <v>0</v>
      </c>
      <c r="Y82" s="411">
        <f>_xlfn.IFNA(VLOOKUP(A82,[6]進出口值表查詢結果!$C$11:$F$68,3,0),-[5]整車!$B$22)</f>
        <v>0</v>
      </c>
      <c r="Z82" s="405">
        <f t="shared" si="14"/>
        <v>0</v>
      </c>
      <c r="AA82" s="405">
        <f t="shared" si="15"/>
        <v>0</v>
      </c>
    </row>
    <row r="83" spans="1:27">
      <c r="A83" s="416" t="s">
        <v>287</v>
      </c>
      <c r="B83" s="411"/>
      <c r="C83" s="411"/>
      <c r="D83" s="411"/>
      <c r="E83" s="411"/>
      <c r="F83" s="411">
        <v>0</v>
      </c>
      <c r="G83" s="411"/>
      <c r="H83" s="411">
        <v>0</v>
      </c>
      <c r="I83" s="411">
        <v>0</v>
      </c>
      <c r="J83" s="412" t="s">
        <v>60</v>
      </c>
      <c r="K83" s="415">
        <v>0</v>
      </c>
      <c r="L83" s="411">
        <v>0</v>
      </c>
      <c r="M83" s="411">
        <v>0</v>
      </c>
      <c r="N83" s="411">
        <v>0</v>
      </c>
      <c r="O83" s="411">
        <v>0</v>
      </c>
      <c r="P83" s="411">
        <v>0</v>
      </c>
      <c r="Q83" s="411">
        <v>0</v>
      </c>
      <c r="R83" s="411">
        <v>0</v>
      </c>
      <c r="S83" s="411">
        <v>0</v>
      </c>
      <c r="T83" s="411">
        <v>0</v>
      </c>
      <c r="U83" s="411">
        <v>0</v>
      </c>
      <c r="V83" s="411">
        <f>_xlfn.IFNA(VLOOKUP(A83,[4]進出口值表查詢結果!$C$11:$F$68,4,0),-[5]整車!$B$22)</f>
        <v>0</v>
      </c>
      <c r="W83" s="411">
        <f>_xlfn.IFNA(VLOOKUP(A83,[4]進出口值表查詢結果!$C$11:$F$68,3,0),-[5]整車!$B$22)</f>
        <v>0</v>
      </c>
      <c r="X83" s="411">
        <f>_xlfn.IFNA(VLOOKUP(A83,[6]進出口值表查詢結果!$C$11:$F$68,4,0),-[5]整車!$B$22)</f>
        <v>0</v>
      </c>
      <c r="Y83" s="411">
        <f>_xlfn.IFNA(VLOOKUP(A83,[6]進出口值表查詢結果!$C$11:$F$68,3,0),-[5]整車!$B$22)</f>
        <v>0</v>
      </c>
      <c r="Z83" s="405">
        <f t="shared" si="14"/>
        <v>0</v>
      </c>
      <c r="AA83" s="405">
        <f t="shared" si="15"/>
        <v>0</v>
      </c>
    </row>
    <row r="84" spans="1:27">
      <c r="A84" s="414"/>
      <c r="B84" s="411"/>
      <c r="C84" s="411"/>
      <c r="D84" s="411"/>
      <c r="E84" s="411"/>
      <c r="F84" s="411"/>
      <c r="G84" s="411"/>
      <c r="H84" s="411"/>
      <c r="I84" s="411"/>
      <c r="J84" s="412"/>
      <c r="K84" s="413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  <c r="X84" s="411"/>
      <c r="Y84" s="411"/>
      <c r="Z84" s="405"/>
      <c r="AA84" s="405"/>
    </row>
    <row r="85" spans="1:27">
      <c r="A85" s="431" t="s">
        <v>47</v>
      </c>
      <c r="B85" s="432">
        <f t="shared" ref="B85:Y85" si="16">SUM(B86:B95)</f>
        <v>4580</v>
      </c>
      <c r="C85" s="432">
        <f t="shared" si="16"/>
        <v>4189345</v>
      </c>
      <c r="D85" s="432">
        <f t="shared" si="16"/>
        <v>4981</v>
      </c>
      <c r="E85" s="432">
        <f t="shared" si="16"/>
        <v>3563822</v>
      </c>
      <c r="F85" s="432">
        <f t="shared" si="16"/>
        <v>4938</v>
      </c>
      <c r="G85" s="432">
        <f t="shared" si="16"/>
        <v>4345204</v>
      </c>
      <c r="H85" s="432">
        <f t="shared" si="16"/>
        <v>4040</v>
      </c>
      <c r="I85" s="432">
        <f t="shared" si="16"/>
        <v>2474863</v>
      </c>
      <c r="J85" s="433">
        <f t="shared" si="16"/>
        <v>3564</v>
      </c>
      <c r="K85" s="434">
        <f>SUM(K86:K95)</f>
        <v>3664756</v>
      </c>
      <c r="L85" s="432">
        <f t="shared" si="16"/>
        <v>6992</v>
      </c>
      <c r="M85" s="432">
        <f t="shared" si="16"/>
        <v>7057607</v>
      </c>
      <c r="N85" s="432">
        <f t="shared" si="16"/>
        <v>9419</v>
      </c>
      <c r="O85" s="432">
        <f t="shared" si="16"/>
        <v>9080258</v>
      </c>
      <c r="P85" s="432">
        <f t="shared" si="16"/>
        <v>18596</v>
      </c>
      <c r="Q85" s="432">
        <f t="shared" si="16"/>
        <v>13272347</v>
      </c>
      <c r="R85" s="432">
        <f t="shared" si="16"/>
        <v>16559</v>
      </c>
      <c r="S85" s="432">
        <f t="shared" si="16"/>
        <v>10409447</v>
      </c>
      <c r="T85" s="432">
        <f t="shared" si="16"/>
        <v>9960</v>
      </c>
      <c r="U85" s="432">
        <f t="shared" si="16"/>
        <v>6716352</v>
      </c>
      <c r="V85" s="432">
        <f>SUM(V86:V95)</f>
        <v>10701</v>
      </c>
      <c r="W85" s="432">
        <f>SUM(W86:W95)</f>
        <v>9725369</v>
      </c>
      <c r="X85" s="432">
        <f t="shared" si="16"/>
        <v>14699</v>
      </c>
      <c r="Y85" s="432">
        <f t="shared" si="16"/>
        <v>10190062</v>
      </c>
      <c r="Z85" s="418">
        <f t="shared" ref="Z85:Z95" si="17">SUM(B85,D85,F85,H85,J85,L85,N85,P85,R85,T85,V85,X85)</f>
        <v>109029</v>
      </c>
      <c r="AA85" s="418">
        <f t="shared" ref="AA85:AA95" si="18">SUM(C85,E85,G85,I85,K85,M85,O85,Q85,S85,U85,W85,Y85)</f>
        <v>84689432</v>
      </c>
    </row>
    <row r="86" spans="1:27">
      <c r="A86" s="448" t="s">
        <v>175</v>
      </c>
      <c r="B86" s="411">
        <v>4150</v>
      </c>
      <c r="C86" s="411">
        <v>3694908</v>
      </c>
      <c r="D86" s="411">
        <v>4032</v>
      </c>
      <c r="E86" s="411">
        <v>2636975</v>
      </c>
      <c r="F86" s="411">
        <v>4087</v>
      </c>
      <c r="G86" s="411">
        <v>3599502</v>
      </c>
      <c r="H86" s="411">
        <v>3562</v>
      </c>
      <c r="I86" s="411">
        <v>1835676</v>
      </c>
      <c r="J86" s="412">
        <v>2839</v>
      </c>
      <c r="K86" s="413">
        <v>2636423</v>
      </c>
      <c r="L86" s="411">
        <v>5737</v>
      </c>
      <c r="M86" s="411">
        <v>5468499</v>
      </c>
      <c r="N86" s="425">
        <v>7440</v>
      </c>
      <c r="O86" s="425">
        <v>6804533</v>
      </c>
      <c r="P86" s="411">
        <v>15662</v>
      </c>
      <c r="Q86" s="411">
        <v>10198676</v>
      </c>
      <c r="R86" s="411">
        <v>14530</v>
      </c>
      <c r="S86" s="411">
        <v>8126261</v>
      </c>
      <c r="T86" s="411">
        <v>8369</v>
      </c>
      <c r="U86" s="411">
        <v>5188023</v>
      </c>
      <c r="V86" s="411">
        <f>_xlfn.IFNA(VLOOKUP(A86,[4]進出口值表查詢結果!$C$11:$F$68,4,0),-[5]整車!$B$22)</f>
        <v>8737</v>
      </c>
      <c r="W86" s="411">
        <f>_xlfn.IFNA(VLOOKUP(A86,[4]進出口值表查詢結果!$C$11:$F$68,3,0),-[5]整車!$B$22)</f>
        <v>7518300</v>
      </c>
      <c r="X86" s="411">
        <f>_xlfn.IFNA(VLOOKUP(A86,[6]進出口值表查詢結果!$C$11:$F$68,4,0),-[5]整車!$B$22)</f>
        <v>12512</v>
      </c>
      <c r="Y86" s="411">
        <f>_xlfn.IFNA(VLOOKUP(A86,[6]進出口值表查詢結果!$C$11:$F$68,3,0),-[5]整車!$B$22)</f>
        <v>8168473</v>
      </c>
      <c r="Z86" s="405">
        <f t="shared" si="17"/>
        <v>91657</v>
      </c>
      <c r="AA86" s="405">
        <f t="shared" si="18"/>
        <v>65876249</v>
      </c>
    </row>
    <row r="87" spans="1:27">
      <c r="A87" s="448" t="s">
        <v>288</v>
      </c>
      <c r="B87" s="411"/>
      <c r="C87" s="411"/>
      <c r="D87" s="411"/>
      <c r="E87" s="411"/>
      <c r="F87" s="411">
        <v>0</v>
      </c>
      <c r="G87" s="411"/>
      <c r="H87" s="411">
        <v>0</v>
      </c>
      <c r="I87" s="411">
        <v>0</v>
      </c>
      <c r="J87" s="412">
        <v>0</v>
      </c>
      <c r="K87" s="415">
        <v>0</v>
      </c>
      <c r="L87" s="411">
        <v>0</v>
      </c>
      <c r="M87" s="411">
        <v>0</v>
      </c>
      <c r="N87" s="411">
        <v>0</v>
      </c>
      <c r="O87" s="411">
        <v>0</v>
      </c>
      <c r="P87" s="411">
        <v>0</v>
      </c>
      <c r="Q87" s="411">
        <v>0</v>
      </c>
      <c r="R87" s="411">
        <v>0</v>
      </c>
      <c r="S87" s="411">
        <v>0</v>
      </c>
      <c r="T87" s="411"/>
      <c r="U87" s="411"/>
      <c r="V87" s="411">
        <f>_xlfn.IFNA(VLOOKUP(A87,[4]進出口值表查詢結果!$C$11:$F$68,4,0),-[5]整車!$B$22)</f>
        <v>0</v>
      </c>
      <c r="W87" s="411">
        <f>_xlfn.IFNA(VLOOKUP(A87,[4]進出口值表查詢結果!$C$11:$F$68,3,0),-[5]整車!$B$22)</f>
        <v>0</v>
      </c>
      <c r="X87" s="411">
        <f>_xlfn.IFNA(VLOOKUP(A87,[6]進出口值表查詢結果!$C$11:$F$68,4,0),-[5]整車!$B$22)</f>
        <v>0</v>
      </c>
      <c r="Y87" s="411">
        <f>_xlfn.IFNA(VLOOKUP(A87,[6]進出口值表查詢結果!$C$11:$F$68,3,0),-[5]整車!$B$22)</f>
        <v>0</v>
      </c>
      <c r="Z87" s="405">
        <f t="shared" si="17"/>
        <v>0</v>
      </c>
      <c r="AA87" s="405">
        <f t="shared" si="18"/>
        <v>0</v>
      </c>
    </row>
    <row r="88" spans="1:27">
      <c r="A88" s="448" t="s">
        <v>174</v>
      </c>
      <c r="B88" s="411">
        <v>399</v>
      </c>
      <c r="C88" s="411">
        <v>445420</v>
      </c>
      <c r="D88" s="411">
        <v>924</v>
      </c>
      <c r="E88" s="411">
        <v>877548</v>
      </c>
      <c r="F88" s="411">
        <v>851</v>
      </c>
      <c r="G88" s="411">
        <v>745702</v>
      </c>
      <c r="H88" s="411">
        <v>478</v>
      </c>
      <c r="I88" s="411">
        <v>639187</v>
      </c>
      <c r="J88" s="412">
        <v>694</v>
      </c>
      <c r="K88" s="413">
        <v>961243</v>
      </c>
      <c r="L88" s="411">
        <v>1089</v>
      </c>
      <c r="M88" s="411">
        <v>1332104</v>
      </c>
      <c r="N88" s="425">
        <v>1942</v>
      </c>
      <c r="O88" s="425">
        <v>2269776</v>
      </c>
      <c r="P88" s="411">
        <v>2862</v>
      </c>
      <c r="Q88" s="411">
        <v>2963505</v>
      </c>
      <c r="R88" s="411">
        <v>2009</v>
      </c>
      <c r="S88" s="411">
        <v>2248234</v>
      </c>
      <c r="T88" s="411">
        <v>1565</v>
      </c>
      <c r="U88" s="411">
        <v>1482993</v>
      </c>
      <c r="V88" s="411">
        <f>_xlfn.IFNA(VLOOKUP(A88,[4]進出口值表查詢結果!$C$11:$F$68,4,0),-[5]整車!$B$22)</f>
        <v>1783</v>
      </c>
      <c r="W88" s="411">
        <f>_xlfn.IFNA(VLOOKUP(A88,[4]進出口值表查詢結果!$C$11:$F$68,3,0),-[5]整車!$B$22)</f>
        <v>1858681</v>
      </c>
      <c r="X88" s="411">
        <f>_xlfn.IFNA(VLOOKUP(A88,[6]進出口值表查詢結果!$C$11:$F$68,4,0),-[5]整車!$B$22)</f>
        <v>2182</v>
      </c>
      <c r="Y88" s="411">
        <f>_xlfn.IFNA(VLOOKUP(A88,[6]進出口值表查詢結果!$C$11:$F$68,3,0),-[5]整車!$B$22)</f>
        <v>2014871</v>
      </c>
      <c r="Z88" s="405">
        <f t="shared" si="17"/>
        <v>16778</v>
      </c>
      <c r="AA88" s="405">
        <f t="shared" si="18"/>
        <v>17839264</v>
      </c>
    </row>
    <row r="89" spans="1:27">
      <c r="A89" s="448" t="s">
        <v>291</v>
      </c>
      <c r="B89" s="411"/>
      <c r="C89" s="411"/>
      <c r="D89" s="411"/>
      <c r="E89" s="411"/>
      <c r="F89" s="411">
        <v>0</v>
      </c>
      <c r="G89" s="411"/>
      <c r="H89" s="411">
        <v>0</v>
      </c>
      <c r="I89" s="411">
        <v>0</v>
      </c>
      <c r="J89" s="412" t="s">
        <v>60</v>
      </c>
      <c r="K89" s="415">
        <v>0</v>
      </c>
      <c r="L89" s="411">
        <v>0</v>
      </c>
      <c r="M89" s="411">
        <v>0</v>
      </c>
      <c r="N89" s="411">
        <v>0</v>
      </c>
      <c r="O89" s="411">
        <v>0</v>
      </c>
      <c r="P89" s="411">
        <v>0</v>
      </c>
      <c r="Q89" s="411">
        <v>0</v>
      </c>
      <c r="R89" s="411">
        <v>0</v>
      </c>
      <c r="S89" s="411">
        <v>0</v>
      </c>
      <c r="T89" s="411"/>
      <c r="U89" s="411"/>
      <c r="V89" s="411">
        <f>_xlfn.IFNA(VLOOKUP(A89,[4]進出口值表查詢結果!$C$11:$F$68,4,0),-[5]整車!$B$22)</f>
        <v>0</v>
      </c>
      <c r="W89" s="411">
        <f>_xlfn.IFNA(VLOOKUP(A89,[4]進出口值表查詢結果!$C$11:$F$68,3,0),-[5]整車!$B$22)</f>
        <v>0</v>
      </c>
      <c r="X89" s="411">
        <f>_xlfn.IFNA(VLOOKUP(A89,[6]進出口值表查詢結果!$C$11:$F$68,4,0),-[5]整車!$B$22)</f>
        <v>0</v>
      </c>
      <c r="Y89" s="411">
        <f>_xlfn.IFNA(VLOOKUP(A89,[6]進出口值表查詢結果!$C$11:$F$68,3,0),-[5]整車!$B$22)</f>
        <v>0</v>
      </c>
      <c r="Z89" s="405">
        <f t="shared" si="17"/>
        <v>0</v>
      </c>
      <c r="AA89" s="405">
        <f t="shared" si="18"/>
        <v>0</v>
      </c>
    </row>
    <row r="90" spans="1:27">
      <c r="A90" s="448" t="s">
        <v>290</v>
      </c>
      <c r="B90" s="411">
        <v>5</v>
      </c>
      <c r="C90" s="411">
        <v>13029</v>
      </c>
      <c r="D90" s="411">
        <v>25</v>
      </c>
      <c r="E90" s="411">
        <v>49299</v>
      </c>
      <c r="F90" s="411">
        <v>0</v>
      </c>
      <c r="G90" s="411"/>
      <c r="H90" s="411">
        <v>0</v>
      </c>
      <c r="I90" s="411">
        <v>0</v>
      </c>
      <c r="J90" s="412">
        <v>31</v>
      </c>
      <c r="K90" s="413">
        <v>67090</v>
      </c>
      <c r="L90" s="411">
        <v>166</v>
      </c>
      <c r="M90" s="411">
        <v>257004</v>
      </c>
      <c r="N90" s="425">
        <v>2</v>
      </c>
      <c r="O90" s="411">
        <v>2535</v>
      </c>
      <c r="P90" s="411">
        <v>72</v>
      </c>
      <c r="Q90" s="411">
        <v>110166</v>
      </c>
      <c r="R90" s="411">
        <v>20</v>
      </c>
      <c r="S90" s="411">
        <v>34952</v>
      </c>
      <c r="T90" s="411">
        <v>26</v>
      </c>
      <c r="U90" s="411">
        <v>45336</v>
      </c>
      <c r="V90" s="411">
        <f>_xlfn.IFNA(VLOOKUP(A90,[4]進出口值表查詢結果!$C$11:$F$68,4,0),-[5]整車!$B$22)</f>
        <v>156</v>
      </c>
      <c r="W90" s="411">
        <f>_xlfn.IFNA(VLOOKUP(A90,[4]進出口值表查詢結果!$C$11:$F$68,3,0),-[5]整車!$B$22)</f>
        <v>316499</v>
      </c>
      <c r="X90" s="411">
        <f>_xlfn.IFNA(VLOOKUP(A90,[6]進出口值表查詢結果!$C$11:$F$68,4,0),-[5]整車!$B$22)</f>
        <v>5</v>
      </c>
      <c r="Y90" s="411">
        <f>_xlfn.IFNA(VLOOKUP(A90,[6]進出口值表查詢結果!$C$11:$F$68,3,0),-[5]整車!$B$22)</f>
        <v>6718</v>
      </c>
      <c r="Z90" s="405">
        <f t="shared" si="17"/>
        <v>508</v>
      </c>
      <c r="AA90" s="405">
        <f t="shared" si="18"/>
        <v>902628</v>
      </c>
    </row>
    <row r="91" spans="1:27">
      <c r="A91" s="448" t="s">
        <v>292</v>
      </c>
      <c r="B91" s="411"/>
      <c r="C91" s="411"/>
      <c r="D91" s="411"/>
      <c r="E91" s="411"/>
      <c r="F91" s="411">
        <v>0</v>
      </c>
      <c r="G91" s="411"/>
      <c r="H91" s="411">
        <v>0</v>
      </c>
      <c r="I91" s="411">
        <v>0</v>
      </c>
      <c r="J91" s="412" t="s">
        <v>60</v>
      </c>
      <c r="K91" s="415">
        <v>0</v>
      </c>
      <c r="L91" s="411">
        <v>0</v>
      </c>
      <c r="M91" s="411">
        <v>0</v>
      </c>
      <c r="N91" s="411">
        <v>0</v>
      </c>
      <c r="O91" s="411">
        <v>0</v>
      </c>
      <c r="P91" s="411">
        <v>0</v>
      </c>
      <c r="Q91" s="411">
        <v>0</v>
      </c>
      <c r="R91" s="411">
        <v>0</v>
      </c>
      <c r="S91" s="411">
        <v>0</v>
      </c>
      <c r="T91" s="411"/>
      <c r="U91" s="411"/>
      <c r="V91" s="411">
        <f>_xlfn.IFNA(VLOOKUP(A91,[4]進出口值表查詢結果!$C$11:$F$68,4,0),-[5]整車!$B$22)</f>
        <v>0</v>
      </c>
      <c r="W91" s="411">
        <f>_xlfn.IFNA(VLOOKUP(A91,[4]進出口值表查詢結果!$C$11:$F$68,3,0),-[5]整車!$B$22)</f>
        <v>0</v>
      </c>
      <c r="X91" s="411">
        <f>_xlfn.IFNA(VLOOKUP(A91,[6]進出口值表查詢結果!$C$11:$F$68,4,0),-[5]整車!$B$22)</f>
        <v>0</v>
      </c>
      <c r="Y91" s="411">
        <f>_xlfn.IFNA(VLOOKUP(A91,[6]進出口值表查詢結果!$C$11:$F$68,3,0),-[5]整車!$B$22)</f>
        <v>0</v>
      </c>
      <c r="Z91" s="405">
        <f t="shared" si="17"/>
        <v>0</v>
      </c>
      <c r="AA91" s="405">
        <f t="shared" si="18"/>
        <v>0</v>
      </c>
    </row>
    <row r="92" spans="1:27">
      <c r="A92" s="448" t="s">
        <v>394</v>
      </c>
      <c r="B92" s="411">
        <v>26</v>
      </c>
      <c r="C92" s="411">
        <v>35988</v>
      </c>
      <c r="D92" s="411"/>
      <c r="E92" s="411"/>
      <c r="F92" s="411">
        <v>0</v>
      </c>
      <c r="G92" s="411"/>
      <c r="H92" s="411">
        <v>0</v>
      </c>
      <c r="I92" s="411">
        <v>0</v>
      </c>
      <c r="J92" s="412" t="s">
        <v>60</v>
      </c>
      <c r="K92" s="415">
        <v>0</v>
      </c>
      <c r="L92" s="411">
        <v>0</v>
      </c>
      <c r="M92" s="411">
        <v>0</v>
      </c>
      <c r="N92" s="411">
        <v>0</v>
      </c>
      <c r="O92" s="411">
        <v>0</v>
      </c>
      <c r="P92" s="411">
        <v>0</v>
      </c>
      <c r="Q92" s="411">
        <v>0</v>
      </c>
      <c r="R92" s="411">
        <v>0</v>
      </c>
      <c r="S92" s="411">
        <v>0</v>
      </c>
      <c r="T92" s="411"/>
      <c r="U92" s="411"/>
      <c r="V92" s="411">
        <f>_xlfn.IFNA(VLOOKUP(A92,[4]進出口值表查詢結果!$C$11:$F$68,4,0),-[5]整車!$B$22)</f>
        <v>25</v>
      </c>
      <c r="W92" s="411">
        <f>_xlfn.IFNA(VLOOKUP(A92,[4]進出口值表查詢結果!$C$11:$F$68,3,0),-[5]整車!$B$22)</f>
        <v>31889</v>
      </c>
      <c r="X92" s="411">
        <f>_xlfn.IFNA(VLOOKUP(A92,[6]進出口值表查詢結果!$C$11:$F$68,4,0),-[5]整車!$B$22)</f>
        <v>0</v>
      </c>
      <c r="Y92" s="411">
        <f>_xlfn.IFNA(VLOOKUP(A92,[6]進出口值表查詢結果!$C$11:$F$68,3,0),-[5]整車!$B$22)</f>
        <v>0</v>
      </c>
      <c r="Z92" s="405">
        <f t="shared" si="17"/>
        <v>51</v>
      </c>
      <c r="AA92" s="405">
        <f t="shared" si="18"/>
        <v>67877</v>
      </c>
    </row>
    <row r="93" spans="1:27">
      <c r="A93" s="448" t="s">
        <v>294</v>
      </c>
      <c r="B93" s="411"/>
      <c r="C93" s="411"/>
      <c r="D93" s="411"/>
      <c r="E93" s="411"/>
      <c r="F93" s="411">
        <v>0</v>
      </c>
      <c r="G93" s="411"/>
      <c r="H93" s="411">
        <v>0</v>
      </c>
      <c r="I93" s="411">
        <v>0</v>
      </c>
      <c r="J93" s="412" t="s">
        <v>60</v>
      </c>
      <c r="K93" s="415">
        <v>0</v>
      </c>
      <c r="L93" s="411">
        <v>0</v>
      </c>
      <c r="M93" s="411">
        <v>0</v>
      </c>
      <c r="N93" s="425">
        <v>35</v>
      </c>
      <c r="O93" s="425">
        <v>3414</v>
      </c>
      <c r="P93" s="411">
        <v>0</v>
      </c>
      <c r="Q93" s="411">
        <v>0</v>
      </c>
      <c r="R93" s="411">
        <v>0</v>
      </c>
      <c r="S93" s="411">
        <v>0</v>
      </c>
      <c r="T93" s="411"/>
      <c r="U93" s="411"/>
      <c r="V93" s="411">
        <f>_xlfn.IFNA(VLOOKUP(A93,[4]進出口值表查詢結果!$C$11:$F$68,4,0),-[5]整車!$B$22)</f>
        <v>0</v>
      </c>
      <c r="W93" s="411">
        <f>_xlfn.IFNA(VLOOKUP(A93,[4]進出口值表查詢結果!$C$11:$F$68,3,0),-[5]整車!$B$22)</f>
        <v>0</v>
      </c>
      <c r="X93" s="411">
        <f>_xlfn.IFNA(VLOOKUP(A93,[6]進出口值表查詢結果!$C$11:$F$68,4,0),-[5]整車!$B$22)</f>
        <v>0</v>
      </c>
      <c r="Y93" s="411">
        <f>_xlfn.IFNA(VLOOKUP(A93,[6]進出口值表查詢結果!$C$11:$F$68,3,0),-[5]整車!$B$22)</f>
        <v>0</v>
      </c>
      <c r="Z93" s="405">
        <f t="shared" si="17"/>
        <v>35</v>
      </c>
      <c r="AA93" s="405">
        <f t="shared" si="18"/>
        <v>3414</v>
      </c>
    </row>
    <row r="94" spans="1:27">
      <c r="A94" s="448" t="s">
        <v>293</v>
      </c>
      <c r="B94" s="411"/>
      <c r="C94" s="411"/>
      <c r="D94" s="411"/>
      <c r="E94" s="411"/>
      <c r="F94" s="411">
        <v>0</v>
      </c>
      <c r="G94" s="411"/>
      <c r="H94" s="411">
        <v>0</v>
      </c>
      <c r="I94" s="411">
        <v>0</v>
      </c>
      <c r="J94" s="412" t="s">
        <v>60</v>
      </c>
      <c r="K94" s="415">
        <v>0</v>
      </c>
      <c r="L94" s="411">
        <v>0</v>
      </c>
      <c r="M94" s="411">
        <v>0</v>
      </c>
      <c r="N94" s="411">
        <v>0</v>
      </c>
      <c r="O94" s="411">
        <v>0</v>
      </c>
      <c r="P94" s="411">
        <v>0</v>
      </c>
      <c r="Q94" s="411">
        <v>0</v>
      </c>
      <c r="R94" s="411">
        <v>0</v>
      </c>
      <c r="S94" s="411">
        <v>0</v>
      </c>
      <c r="T94" s="411"/>
      <c r="U94" s="411"/>
      <c r="V94" s="411">
        <f>_xlfn.IFNA(VLOOKUP(A94,[4]進出口值表查詢結果!$C$11:$F$68,4,0),-[5]整車!$B$22)</f>
        <v>0</v>
      </c>
      <c r="W94" s="411">
        <f>_xlfn.IFNA(VLOOKUP(A94,[4]進出口值表查詢結果!$C$11:$F$68,3,0),-[5]整車!$B$22)</f>
        <v>0</v>
      </c>
      <c r="X94" s="411">
        <f>_xlfn.IFNA(VLOOKUP(A94,[6]進出口值表查詢結果!$C$11:$F$68,4,0),-[5]整車!$B$22)</f>
        <v>0</v>
      </c>
      <c r="Y94" s="411">
        <f>_xlfn.IFNA(VLOOKUP(A94,[6]進出口值表查詢結果!$C$11:$F$68,3,0),-[5]整車!$B$22)</f>
        <v>0</v>
      </c>
      <c r="Z94" s="405">
        <f t="shared" si="17"/>
        <v>0</v>
      </c>
      <c r="AA94" s="405">
        <f t="shared" si="18"/>
        <v>0</v>
      </c>
    </row>
    <row r="95" spans="1:27">
      <c r="A95" s="450" t="s">
        <v>295</v>
      </c>
      <c r="B95" s="405"/>
      <c r="C95" s="405"/>
      <c r="D95" s="405"/>
      <c r="E95" s="411"/>
      <c r="F95" s="405">
        <v>0</v>
      </c>
      <c r="G95" s="405"/>
      <c r="H95" s="411">
        <v>0</v>
      </c>
      <c r="I95" s="411">
        <v>0</v>
      </c>
      <c r="J95" s="398" t="s">
        <v>60</v>
      </c>
      <c r="K95" s="415">
        <v>0</v>
      </c>
      <c r="L95" s="405">
        <v>0</v>
      </c>
      <c r="M95" s="405">
        <v>0</v>
      </c>
      <c r="N95" s="405">
        <v>0</v>
      </c>
      <c r="O95" s="405">
        <v>0</v>
      </c>
      <c r="P95" s="411">
        <v>0</v>
      </c>
      <c r="Q95" s="411">
        <v>0</v>
      </c>
      <c r="R95" s="411">
        <v>0</v>
      </c>
      <c r="S95" s="411">
        <v>0</v>
      </c>
      <c r="T95" s="405"/>
      <c r="U95" s="405"/>
      <c r="V95" s="411">
        <f>_xlfn.IFNA(VLOOKUP(A95,[4]進出口值表查詢結果!$C$11:$F$68,4,0),-[5]整車!$B$22)</f>
        <v>0</v>
      </c>
      <c r="W95" s="411">
        <f>_xlfn.IFNA(VLOOKUP(A95,[4]進出口值表查詢結果!$C$11:$F$68,3,0),-[5]整車!$B$22)</f>
        <v>0</v>
      </c>
      <c r="X95" s="411">
        <f>_xlfn.IFNA(VLOOKUP(A95,[6]進出口值表查詢結果!$C$11:$F$68,4,0),-[5]整車!$B$22)</f>
        <v>0</v>
      </c>
      <c r="Y95" s="411">
        <f>_xlfn.IFNA(VLOOKUP(A95,[6]進出口值表查詢結果!$C$11:$F$68,3,0),-[5]整車!$B$22)</f>
        <v>0</v>
      </c>
      <c r="Z95" s="405">
        <f t="shared" si="17"/>
        <v>0</v>
      </c>
      <c r="AA95" s="405">
        <f t="shared" si="18"/>
        <v>0</v>
      </c>
    </row>
    <row r="96" spans="1:27">
      <c r="A96" s="404"/>
      <c r="B96" s="405"/>
      <c r="C96" s="405"/>
      <c r="D96" s="405"/>
      <c r="E96" s="405"/>
      <c r="F96" s="405"/>
      <c r="G96" s="405"/>
      <c r="H96" s="405"/>
      <c r="I96" s="405"/>
      <c r="J96" s="398"/>
      <c r="K96" s="399"/>
      <c r="L96" s="405"/>
      <c r="M96" s="405"/>
      <c r="N96" s="405"/>
      <c r="O96" s="405"/>
      <c r="P96" s="405"/>
      <c r="Q96" s="405"/>
      <c r="R96" s="405"/>
      <c r="S96" s="405"/>
      <c r="T96" s="405"/>
      <c r="U96" s="405"/>
      <c r="V96" s="405"/>
      <c r="W96" s="405"/>
      <c r="X96" s="405"/>
      <c r="Y96" s="405"/>
      <c r="Z96" s="405"/>
      <c r="AA96" s="405"/>
    </row>
    <row r="97" spans="1:27">
      <c r="A97" s="431" t="s">
        <v>144</v>
      </c>
      <c r="B97" s="432">
        <f t="shared" ref="B97:Y97" si="19">SUM(B98:B100)</f>
        <v>52798</v>
      </c>
      <c r="C97" s="432">
        <f t="shared" si="19"/>
        <v>33121696</v>
      </c>
      <c r="D97" s="432">
        <f t="shared" si="19"/>
        <v>50400</v>
      </c>
      <c r="E97" s="432">
        <f t="shared" si="19"/>
        <v>31534279</v>
      </c>
      <c r="F97" s="432">
        <f t="shared" si="19"/>
        <v>40988</v>
      </c>
      <c r="G97" s="432">
        <f t="shared" si="19"/>
        <v>23973578</v>
      </c>
      <c r="H97" s="432">
        <f t="shared" si="19"/>
        <v>42311</v>
      </c>
      <c r="I97" s="432">
        <f t="shared" si="19"/>
        <v>22157100</v>
      </c>
      <c r="J97" s="433">
        <f t="shared" si="19"/>
        <v>68862</v>
      </c>
      <c r="K97" s="434">
        <f t="shared" si="19"/>
        <v>39539255</v>
      </c>
      <c r="L97" s="432">
        <f t="shared" si="19"/>
        <v>61547</v>
      </c>
      <c r="M97" s="432">
        <f t="shared" si="19"/>
        <v>41765283</v>
      </c>
      <c r="N97" s="432">
        <f t="shared" si="19"/>
        <v>57860</v>
      </c>
      <c r="O97" s="432">
        <f t="shared" si="19"/>
        <v>47576440</v>
      </c>
      <c r="P97" s="432">
        <f t="shared" si="19"/>
        <v>70020</v>
      </c>
      <c r="Q97" s="432">
        <f t="shared" si="19"/>
        <v>47975910</v>
      </c>
      <c r="R97" s="432">
        <f t="shared" si="19"/>
        <v>57029</v>
      </c>
      <c r="S97" s="432">
        <f t="shared" si="19"/>
        <v>32139611</v>
      </c>
      <c r="T97" s="432">
        <f t="shared" si="19"/>
        <v>68638</v>
      </c>
      <c r="U97" s="432">
        <f t="shared" si="19"/>
        <v>38723065</v>
      </c>
      <c r="V97" s="432">
        <f>SUM(V98:V100)</f>
        <v>76863</v>
      </c>
      <c r="W97" s="432">
        <f>SUM(W98:W100)</f>
        <v>36987555</v>
      </c>
      <c r="X97" s="432">
        <f t="shared" si="19"/>
        <v>64518</v>
      </c>
      <c r="Y97" s="432">
        <f t="shared" si="19"/>
        <v>35209517</v>
      </c>
      <c r="Z97" s="418">
        <f t="shared" ref="Z97:AA100" si="20">SUM(B97,D97,F97,H97,J97,L97,N97,P97,R97,T97,V97,X97)</f>
        <v>711834</v>
      </c>
      <c r="AA97" s="418">
        <f t="shared" si="20"/>
        <v>430703289</v>
      </c>
    </row>
    <row r="98" spans="1:27">
      <c r="A98" s="448" t="s">
        <v>163</v>
      </c>
      <c r="B98" s="411">
        <v>48120</v>
      </c>
      <c r="C98" s="411">
        <v>29498633</v>
      </c>
      <c r="D98" s="411">
        <v>44184</v>
      </c>
      <c r="E98" s="411">
        <v>25012824</v>
      </c>
      <c r="F98" s="411">
        <v>37364</v>
      </c>
      <c r="G98" s="411">
        <v>20911414</v>
      </c>
      <c r="H98" s="411">
        <v>40429</v>
      </c>
      <c r="I98" s="411">
        <v>20039545</v>
      </c>
      <c r="J98" s="412">
        <v>65721</v>
      </c>
      <c r="K98" s="413">
        <v>36235280</v>
      </c>
      <c r="L98" s="411">
        <v>57262</v>
      </c>
      <c r="M98" s="411">
        <v>37300973</v>
      </c>
      <c r="N98" s="411">
        <v>52826</v>
      </c>
      <c r="O98" s="411">
        <v>41788643</v>
      </c>
      <c r="P98" s="411">
        <v>65538</v>
      </c>
      <c r="Q98" s="411">
        <v>42663542</v>
      </c>
      <c r="R98" s="411">
        <v>54118</v>
      </c>
      <c r="S98" s="411">
        <v>29005811</v>
      </c>
      <c r="T98" s="411">
        <v>65331</v>
      </c>
      <c r="U98" s="411">
        <v>34634631</v>
      </c>
      <c r="V98" s="411">
        <f>_xlfn.IFNA(VLOOKUP(A98,[4]進出口值表查詢結果!$C$11:$F$68,4,0),-[5]整車!$B$22)</f>
        <v>73370</v>
      </c>
      <c r="W98" s="411">
        <f>_xlfn.IFNA(VLOOKUP(A98,[4]進出口值表查詢結果!$C$11:$F$68,3,0),-[5]整車!$B$22)</f>
        <v>33547174</v>
      </c>
      <c r="X98" s="411">
        <f>_xlfn.IFNA(VLOOKUP(A98,[6]進出口值表查詢結果!$C$11:$F$68,4,0),-[5]整車!$B$22)</f>
        <v>60970</v>
      </c>
      <c r="Y98" s="411">
        <f>_xlfn.IFNA(VLOOKUP(A98,[6]進出口值表查詢結果!$C$11:$F$68,3,0),-[5]整車!$B$22)</f>
        <v>32188211</v>
      </c>
      <c r="Z98" s="405">
        <f t="shared" si="20"/>
        <v>665233</v>
      </c>
      <c r="AA98" s="405">
        <f t="shared" si="20"/>
        <v>382826681</v>
      </c>
    </row>
    <row r="99" spans="1:27">
      <c r="A99" s="448" t="s">
        <v>173</v>
      </c>
      <c r="B99" s="411">
        <v>4285</v>
      </c>
      <c r="C99" s="411">
        <v>3224729</v>
      </c>
      <c r="D99" s="411">
        <v>5520</v>
      </c>
      <c r="E99" s="411">
        <v>5948302</v>
      </c>
      <c r="F99" s="411">
        <v>3453</v>
      </c>
      <c r="G99" s="411">
        <v>2889944</v>
      </c>
      <c r="H99" s="411">
        <v>1520</v>
      </c>
      <c r="I99" s="411">
        <v>1622558</v>
      </c>
      <c r="J99" s="412">
        <v>2611</v>
      </c>
      <c r="K99" s="413">
        <v>2499831</v>
      </c>
      <c r="L99" s="411">
        <v>3403</v>
      </c>
      <c r="M99" s="411">
        <v>3630698</v>
      </c>
      <c r="N99" s="411">
        <v>3856</v>
      </c>
      <c r="O99" s="411">
        <v>4296622</v>
      </c>
      <c r="P99" s="411">
        <v>3208</v>
      </c>
      <c r="Q99" s="411">
        <v>3679701</v>
      </c>
      <c r="R99" s="411">
        <v>2427</v>
      </c>
      <c r="S99" s="411">
        <v>2612605</v>
      </c>
      <c r="T99" s="411">
        <v>2276</v>
      </c>
      <c r="U99" s="411">
        <v>3152428</v>
      </c>
      <c r="V99" s="411">
        <f>_xlfn.IFNA(VLOOKUP(A99,[4]進出口值表查詢結果!$C$11:$F$68,4,0),-[5]整車!$B$22)</f>
        <v>2267</v>
      </c>
      <c r="W99" s="411">
        <f>_xlfn.IFNA(VLOOKUP(A99,[4]進出口值表查詢結果!$C$11:$F$68,3,0),-[5]整車!$B$22)</f>
        <v>2558579</v>
      </c>
      <c r="X99" s="411">
        <f>_xlfn.IFNA(VLOOKUP(A99,[6]進出口值表查詢結果!$C$11:$F$68,4,0),-[5]整車!$B$22)</f>
        <v>3014</v>
      </c>
      <c r="Y99" s="411">
        <f>_xlfn.IFNA(VLOOKUP(A99,[6]進出口值表查詢結果!$C$11:$F$68,3,0),-[5]整車!$B$22)</f>
        <v>2345835</v>
      </c>
      <c r="Z99" s="405">
        <f t="shared" si="20"/>
        <v>37840</v>
      </c>
      <c r="AA99" s="405">
        <f t="shared" si="20"/>
        <v>38461832</v>
      </c>
    </row>
    <row r="100" spans="1:27">
      <c r="A100" s="448" t="s">
        <v>196</v>
      </c>
      <c r="B100" s="411">
        <v>393</v>
      </c>
      <c r="C100" s="411">
        <v>398334</v>
      </c>
      <c r="D100" s="411">
        <v>696</v>
      </c>
      <c r="E100" s="411">
        <v>573153</v>
      </c>
      <c r="F100" s="411">
        <v>171</v>
      </c>
      <c r="G100" s="411">
        <v>172220</v>
      </c>
      <c r="H100" s="411">
        <v>362</v>
      </c>
      <c r="I100" s="411">
        <v>494997</v>
      </c>
      <c r="J100" s="412">
        <v>530</v>
      </c>
      <c r="K100" s="415">
        <v>804144</v>
      </c>
      <c r="L100" s="411">
        <v>882</v>
      </c>
      <c r="M100" s="411">
        <v>833612</v>
      </c>
      <c r="N100" s="411">
        <v>1178</v>
      </c>
      <c r="O100" s="411">
        <v>1491175</v>
      </c>
      <c r="P100" s="411">
        <v>1274</v>
      </c>
      <c r="Q100" s="411">
        <v>1632667</v>
      </c>
      <c r="R100" s="411">
        <v>484</v>
      </c>
      <c r="S100" s="411">
        <v>521195</v>
      </c>
      <c r="T100" s="411">
        <v>1031</v>
      </c>
      <c r="U100" s="411">
        <v>936006</v>
      </c>
      <c r="V100" s="411">
        <f>_xlfn.IFNA(VLOOKUP(A100,[4]進出口值表查詢結果!$C$11:$F$68,4,0),-[5]整車!$B$22)</f>
        <v>1226</v>
      </c>
      <c r="W100" s="411">
        <f>_xlfn.IFNA(VLOOKUP(A100,[4]進出口值表查詢結果!$C$11:$F$68,3,0),-[5]整車!$B$22)</f>
        <v>881802</v>
      </c>
      <c r="X100" s="411">
        <f>_xlfn.IFNA(VLOOKUP(A100,[6]進出口值表查詢結果!$C$11:$F$68,4,0),-[5]整車!$B$22)</f>
        <v>534</v>
      </c>
      <c r="Y100" s="411">
        <f>_xlfn.IFNA(VLOOKUP(A100,[6]進出口值表查詢結果!$C$11:$F$68,3,0),-[5]整車!$B$22)</f>
        <v>675471</v>
      </c>
      <c r="Z100" s="405">
        <f t="shared" si="20"/>
        <v>8761</v>
      </c>
      <c r="AA100" s="405">
        <f t="shared" si="20"/>
        <v>9414776</v>
      </c>
    </row>
    <row r="101" spans="1:27">
      <c r="A101" s="414"/>
      <c r="B101" s="411"/>
      <c r="C101" s="411"/>
      <c r="D101" s="411"/>
      <c r="E101" s="411"/>
      <c r="F101" s="411"/>
      <c r="G101" s="411"/>
      <c r="H101" s="411"/>
      <c r="I101" s="411"/>
      <c r="J101" s="412"/>
      <c r="K101" s="413"/>
      <c r="L101" s="411"/>
      <c r="M101" s="411"/>
      <c r="N101" s="411"/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05"/>
      <c r="AA101" s="405"/>
    </row>
    <row r="102" spans="1:27">
      <c r="A102" s="431" t="s">
        <v>45</v>
      </c>
      <c r="B102" s="432">
        <f t="shared" ref="B102:Y102" si="21">SUM(B103:B134)</f>
        <v>1934</v>
      </c>
      <c r="C102" s="432">
        <f t="shared" si="21"/>
        <v>1731089</v>
      </c>
      <c r="D102" s="432">
        <f t="shared" si="21"/>
        <v>1633</v>
      </c>
      <c r="E102" s="432">
        <f t="shared" si="21"/>
        <v>1772448</v>
      </c>
      <c r="F102" s="432">
        <f t="shared" si="21"/>
        <v>1822</v>
      </c>
      <c r="G102" s="432">
        <f t="shared" si="21"/>
        <v>2077067</v>
      </c>
      <c r="H102" s="432">
        <f t="shared" si="21"/>
        <v>906</v>
      </c>
      <c r="I102" s="432">
        <f t="shared" si="21"/>
        <v>1075357</v>
      </c>
      <c r="J102" s="433">
        <f t="shared" si="21"/>
        <v>1957</v>
      </c>
      <c r="K102" s="434">
        <f t="shared" si="21"/>
        <v>3078550</v>
      </c>
      <c r="L102" s="432">
        <f t="shared" si="21"/>
        <v>3212</v>
      </c>
      <c r="M102" s="432">
        <f t="shared" si="21"/>
        <v>4353020</v>
      </c>
      <c r="N102" s="432">
        <f t="shared" si="21"/>
        <v>3748</v>
      </c>
      <c r="O102" s="432">
        <f t="shared" si="21"/>
        <v>4915548</v>
      </c>
      <c r="P102" s="432">
        <f t="shared" si="21"/>
        <v>2931</v>
      </c>
      <c r="Q102" s="432">
        <f t="shared" si="21"/>
        <v>4038698</v>
      </c>
      <c r="R102" s="432">
        <f t="shared" si="21"/>
        <v>2759</v>
      </c>
      <c r="S102" s="432">
        <f t="shared" si="21"/>
        <v>3387332</v>
      </c>
      <c r="T102" s="432">
        <f t="shared" si="21"/>
        <v>2949</v>
      </c>
      <c r="U102" s="432">
        <f t="shared" si="21"/>
        <v>3052841</v>
      </c>
      <c r="V102" s="432">
        <f>SUM(V103:V134)</f>
        <v>1812</v>
      </c>
      <c r="W102" s="432">
        <f>SUM(W103:W134)</f>
        <v>2019548</v>
      </c>
      <c r="X102" s="432">
        <f t="shared" si="21"/>
        <v>2688</v>
      </c>
      <c r="Y102" s="432">
        <f t="shared" si="21"/>
        <v>2319383</v>
      </c>
      <c r="Z102" s="418">
        <f t="shared" ref="Z102:Z134" si="22">SUM(B102,D102,F102,H102,J102,L102,N102,P102,R102,T102,V102,X102)</f>
        <v>28351</v>
      </c>
      <c r="AA102" s="418">
        <f t="shared" ref="AA102:AA134" si="23">SUM(C102,E102,G102,I102,K102,M102,O102,Q102,S102,U102,W102,Y102)</f>
        <v>33820881</v>
      </c>
    </row>
    <row r="103" spans="1:27">
      <c r="A103" s="448" t="s">
        <v>296</v>
      </c>
      <c r="B103" s="411"/>
      <c r="C103" s="411"/>
      <c r="D103" s="411"/>
      <c r="E103" s="411"/>
      <c r="F103" s="411">
        <v>0</v>
      </c>
      <c r="G103" s="411"/>
      <c r="H103" s="411">
        <v>0</v>
      </c>
      <c r="I103" s="411">
        <v>0</v>
      </c>
      <c r="J103" s="412" t="s">
        <v>60</v>
      </c>
      <c r="K103" s="415" t="s">
        <v>60</v>
      </c>
      <c r="L103" s="411"/>
      <c r="M103" s="411"/>
      <c r="N103" s="411"/>
      <c r="O103" s="411"/>
      <c r="P103" s="411">
        <v>0</v>
      </c>
      <c r="Q103" s="411">
        <v>0</v>
      </c>
      <c r="R103" s="411">
        <v>0</v>
      </c>
      <c r="S103" s="411">
        <v>0</v>
      </c>
      <c r="T103" s="411"/>
      <c r="U103" s="411"/>
      <c r="V103" s="411">
        <f>_xlfn.IFNA(VLOOKUP(A103,[4]進出口值表查詢結果!$C$11:$F$68,4,0),-[5]整車!$B$22)</f>
        <v>0</v>
      </c>
      <c r="W103" s="411">
        <f>_xlfn.IFNA(VLOOKUP(A103,[4]進出口值表查詢結果!$C$11:$F$68,3,0),-[5]整車!$B$22)</f>
        <v>0</v>
      </c>
      <c r="X103" s="411">
        <f>_xlfn.IFNA(VLOOKUP(A103,[6]進出口值表查詢結果!$C$11:$F$68,4,0),-[5]整車!$B$22)</f>
        <v>0</v>
      </c>
      <c r="Y103" s="411">
        <f>_xlfn.IFNA(VLOOKUP(A103,[6]進出口值表查詢結果!$C$11:$F$68,3,0),-[5]整車!$B$22)</f>
        <v>0</v>
      </c>
      <c r="Z103" s="405">
        <f t="shared" si="22"/>
        <v>0</v>
      </c>
      <c r="AA103" s="405">
        <f t="shared" si="23"/>
        <v>0</v>
      </c>
    </row>
    <row r="104" spans="1:27">
      <c r="A104" s="448" t="s">
        <v>297</v>
      </c>
      <c r="B104" s="411"/>
      <c r="C104" s="411"/>
      <c r="D104" s="411"/>
      <c r="E104" s="411"/>
      <c r="F104" s="411">
        <v>0</v>
      </c>
      <c r="G104" s="411"/>
      <c r="H104" s="411">
        <v>0</v>
      </c>
      <c r="I104" s="411">
        <v>0</v>
      </c>
      <c r="J104" s="412" t="s">
        <v>60</v>
      </c>
      <c r="K104" s="415" t="s">
        <v>60</v>
      </c>
      <c r="L104" s="411"/>
      <c r="M104" s="411"/>
      <c r="N104" s="411"/>
      <c r="O104" s="411"/>
      <c r="P104" s="411">
        <v>0</v>
      </c>
      <c r="Q104" s="411">
        <v>0</v>
      </c>
      <c r="R104" s="411">
        <v>0</v>
      </c>
      <c r="S104" s="411">
        <v>0</v>
      </c>
      <c r="T104" s="411"/>
      <c r="U104" s="411"/>
      <c r="V104" s="411">
        <f>_xlfn.IFNA(VLOOKUP(A104,[4]進出口值表查詢結果!$C$11:$F$68,4,0),-[5]整車!$B$22)</f>
        <v>0</v>
      </c>
      <c r="W104" s="411">
        <f>_xlfn.IFNA(VLOOKUP(A104,[4]進出口值表查詢結果!$C$11:$F$68,3,0),-[5]整車!$B$22)</f>
        <v>0</v>
      </c>
      <c r="X104" s="411">
        <f>_xlfn.IFNA(VLOOKUP(A104,[6]進出口值表查詢結果!$C$11:$F$68,4,0),-[5]整車!$B$22)</f>
        <v>0</v>
      </c>
      <c r="Y104" s="411">
        <f>_xlfn.IFNA(VLOOKUP(A104,[6]進出口值表查詢結果!$C$11:$F$68,3,0),-[5]整車!$B$22)</f>
        <v>0</v>
      </c>
      <c r="Z104" s="405">
        <f t="shared" si="22"/>
        <v>0</v>
      </c>
      <c r="AA104" s="405">
        <f t="shared" si="23"/>
        <v>0</v>
      </c>
    </row>
    <row r="105" spans="1:27">
      <c r="A105" s="448" t="s">
        <v>189</v>
      </c>
      <c r="B105" s="411">
        <v>382</v>
      </c>
      <c r="C105" s="411">
        <v>382841</v>
      </c>
      <c r="D105" s="411">
        <v>506</v>
      </c>
      <c r="E105" s="411">
        <v>765722</v>
      </c>
      <c r="F105" s="411">
        <v>527</v>
      </c>
      <c r="G105" s="411">
        <v>600067</v>
      </c>
      <c r="H105" s="411">
        <v>281</v>
      </c>
      <c r="I105" s="411">
        <v>404903</v>
      </c>
      <c r="J105" s="412">
        <v>848</v>
      </c>
      <c r="K105" s="413">
        <v>1410992</v>
      </c>
      <c r="L105" s="411">
        <v>1653</v>
      </c>
      <c r="M105" s="411">
        <v>2346012</v>
      </c>
      <c r="N105" s="425">
        <v>944</v>
      </c>
      <c r="O105" s="425">
        <v>1389114</v>
      </c>
      <c r="P105" s="411">
        <v>509</v>
      </c>
      <c r="Q105" s="411">
        <v>808506</v>
      </c>
      <c r="R105" s="411">
        <v>533</v>
      </c>
      <c r="S105" s="411">
        <v>864334</v>
      </c>
      <c r="T105" s="411">
        <v>159</v>
      </c>
      <c r="U105" s="411">
        <v>215147</v>
      </c>
      <c r="V105" s="411">
        <f>_xlfn.IFNA(VLOOKUP(A105,[4]進出口值表查詢結果!$C$11:$F$68,4,0),-[5]整車!$B$22)</f>
        <v>323</v>
      </c>
      <c r="W105" s="411">
        <f>_xlfn.IFNA(VLOOKUP(A105,[4]進出口值表查詢結果!$C$11:$F$68,3,0),-[5]整車!$B$22)</f>
        <v>284126</v>
      </c>
      <c r="X105" s="411">
        <f>_xlfn.IFNA(VLOOKUP(A105,[6]進出口值表查詢結果!$C$11:$F$68,4,0),-[5]整車!$B$22)</f>
        <v>146</v>
      </c>
      <c r="Y105" s="411">
        <f>_xlfn.IFNA(VLOOKUP(A105,[6]進出口值表查詢結果!$C$11:$F$68,3,0),-[5]整車!$B$22)</f>
        <v>145591</v>
      </c>
      <c r="Z105" s="405">
        <f t="shared" si="22"/>
        <v>6811</v>
      </c>
      <c r="AA105" s="405">
        <f t="shared" si="23"/>
        <v>9617355</v>
      </c>
    </row>
    <row r="106" spans="1:27">
      <c r="A106" s="448" t="s">
        <v>299</v>
      </c>
      <c r="B106" s="411">
        <v>192</v>
      </c>
      <c r="C106" s="411">
        <v>147251</v>
      </c>
      <c r="D106" s="411">
        <v>186</v>
      </c>
      <c r="E106" s="411">
        <v>185042</v>
      </c>
      <c r="F106" s="411">
        <v>10</v>
      </c>
      <c r="G106" s="411">
        <v>16229</v>
      </c>
      <c r="H106" s="411">
        <v>0</v>
      </c>
      <c r="I106" s="411">
        <v>0</v>
      </c>
      <c r="J106" s="412" t="s">
        <v>60</v>
      </c>
      <c r="K106" s="415" t="s">
        <v>60</v>
      </c>
      <c r="L106" s="411">
        <v>204</v>
      </c>
      <c r="M106" s="411">
        <v>355563</v>
      </c>
      <c r="N106" s="425">
        <v>92</v>
      </c>
      <c r="O106" s="425">
        <v>125017</v>
      </c>
      <c r="P106" s="411">
        <v>232</v>
      </c>
      <c r="Q106" s="411">
        <v>213453</v>
      </c>
      <c r="R106" s="411">
        <v>211</v>
      </c>
      <c r="S106" s="411">
        <v>248506</v>
      </c>
      <c r="T106" s="411">
        <v>234</v>
      </c>
      <c r="U106" s="411">
        <v>172701</v>
      </c>
      <c r="V106" s="411">
        <f>_xlfn.IFNA(VLOOKUP(A106,[4]進出口值表查詢結果!$C$11:$F$68,4,0),-[5]整車!$B$22)</f>
        <v>169</v>
      </c>
      <c r="W106" s="411">
        <f>_xlfn.IFNA(VLOOKUP(A106,[4]進出口值表查詢結果!$C$11:$F$68,3,0),-[5]整車!$B$22)</f>
        <v>193761</v>
      </c>
      <c r="X106" s="411">
        <f>_xlfn.IFNA(VLOOKUP(A106,[6]進出口值表查詢結果!$C$11:$F$68,4,0),-[5]整車!$B$22)</f>
        <v>364</v>
      </c>
      <c r="Y106" s="411">
        <f>_xlfn.IFNA(VLOOKUP(A106,[6]進出口值表查詢結果!$C$11:$F$68,3,0),-[5]整車!$B$22)</f>
        <v>300945</v>
      </c>
      <c r="Z106" s="405">
        <f t="shared" si="22"/>
        <v>1894</v>
      </c>
      <c r="AA106" s="405">
        <f t="shared" si="23"/>
        <v>1958468</v>
      </c>
    </row>
    <row r="107" spans="1:27">
      <c r="A107" s="448" t="s">
        <v>300</v>
      </c>
      <c r="B107" s="411">
        <v>781</v>
      </c>
      <c r="C107" s="411">
        <v>548150</v>
      </c>
      <c r="D107" s="411">
        <v>111</v>
      </c>
      <c r="E107" s="411">
        <v>89240</v>
      </c>
      <c r="F107" s="411">
        <v>351</v>
      </c>
      <c r="G107" s="411">
        <v>470294</v>
      </c>
      <c r="H107" s="411">
        <v>198</v>
      </c>
      <c r="I107" s="411">
        <v>307652</v>
      </c>
      <c r="J107" s="412">
        <v>229</v>
      </c>
      <c r="K107" s="413">
        <v>430170</v>
      </c>
      <c r="L107" s="411">
        <v>510</v>
      </c>
      <c r="M107" s="411">
        <v>633446</v>
      </c>
      <c r="N107" s="425">
        <v>1151</v>
      </c>
      <c r="O107" s="425">
        <v>1551960</v>
      </c>
      <c r="P107" s="411">
        <v>889</v>
      </c>
      <c r="Q107" s="411">
        <v>1212809</v>
      </c>
      <c r="R107" s="411">
        <v>540</v>
      </c>
      <c r="S107" s="411">
        <v>582846</v>
      </c>
      <c r="T107" s="411">
        <v>602</v>
      </c>
      <c r="U107" s="411">
        <v>676489</v>
      </c>
      <c r="V107" s="411">
        <f>_xlfn.IFNA(VLOOKUP(A107,[4]進出口值表查詢結果!$C$11:$F$68,4,0),-[5]整車!$B$22)</f>
        <v>546</v>
      </c>
      <c r="W107" s="411">
        <f>_xlfn.IFNA(VLOOKUP(A107,[4]進出口值表查詢結果!$C$11:$F$68,3,0),-[5]整車!$B$22)</f>
        <v>727903</v>
      </c>
      <c r="X107" s="411">
        <f>_xlfn.IFNA(VLOOKUP(A107,[6]進出口值表查詢結果!$C$11:$F$68,4,0),-[5]整車!$B$22)</f>
        <v>233</v>
      </c>
      <c r="Y107" s="411">
        <f>_xlfn.IFNA(VLOOKUP(A107,[6]進出口值表查詢結果!$C$11:$F$68,3,0),-[5]整車!$B$22)</f>
        <v>261722</v>
      </c>
      <c r="Z107" s="405">
        <f t="shared" si="22"/>
        <v>6141</v>
      </c>
      <c r="AA107" s="405">
        <f t="shared" si="23"/>
        <v>7492681</v>
      </c>
    </row>
    <row r="108" spans="1:27">
      <c r="A108" s="448" t="s">
        <v>301</v>
      </c>
      <c r="B108" s="411">
        <v>17</v>
      </c>
      <c r="C108" s="411">
        <v>25258</v>
      </c>
      <c r="D108" s="411"/>
      <c r="E108" s="411"/>
      <c r="F108" s="411">
        <v>35</v>
      </c>
      <c r="G108" s="411">
        <v>25788</v>
      </c>
      <c r="H108" s="411">
        <v>12</v>
      </c>
      <c r="I108" s="411">
        <v>16694</v>
      </c>
      <c r="J108" s="412">
        <v>206</v>
      </c>
      <c r="K108" s="415">
        <v>450652</v>
      </c>
      <c r="L108" s="411">
        <v>105</v>
      </c>
      <c r="M108" s="411">
        <v>123626</v>
      </c>
      <c r="N108" s="411">
        <v>201</v>
      </c>
      <c r="O108" s="425">
        <v>350913</v>
      </c>
      <c r="P108" s="411">
        <v>238</v>
      </c>
      <c r="Q108" s="411">
        <v>267808</v>
      </c>
      <c r="R108" s="411">
        <v>35</v>
      </c>
      <c r="S108" s="411">
        <v>51563</v>
      </c>
      <c r="T108" s="411">
        <v>445</v>
      </c>
      <c r="U108" s="411">
        <v>486920</v>
      </c>
      <c r="V108" s="411">
        <f>_xlfn.IFNA(VLOOKUP(A108,[4]進出口值表查詢結果!$C$11:$F$68,4,0),-[5]整車!$B$22)</f>
        <v>432</v>
      </c>
      <c r="W108" s="411">
        <f>_xlfn.IFNA(VLOOKUP(A108,[4]進出口值表查詢結果!$C$11:$F$68,3,0),-[5]整車!$B$22)</f>
        <v>333448</v>
      </c>
      <c r="X108" s="411">
        <f>_xlfn.IFNA(VLOOKUP(A108,[6]進出口值表查詢結果!$C$11:$F$68,4,0),-[5]整車!$B$22)</f>
        <v>408</v>
      </c>
      <c r="Y108" s="411">
        <f>_xlfn.IFNA(VLOOKUP(A108,[6]進出口值表查詢結果!$C$11:$F$68,3,0),-[5]整車!$B$22)</f>
        <v>492827</v>
      </c>
      <c r="Z108" s="405">
        <f t="shared" si="22"/>
        <v>2134</v>
      </c>
      <c r="AA108" s="405">
        <f t="shared" si="23"/>
        <v>2625497</v>
      </c>
    </row>
    <row r="109" spans="1:27">
      <c r="A109" s="448" t="s">
        <v>395</v>
      </c>
      <c r="B109" s="411">
        <v>21</v>
      </c>
      <c r="C109" s="411">
        <v>26824</v>
      </c>
      <c r="D109" s="411"/>
      <c r="E109" s="411"/>
      <c r="F109" s="411">
        <v>99</v>
      </c>
      <c r="G109" s="411">
        <v>93761</v>
      </c>
      <c r="H109" s="411">
        <v>0</v>
      </c>
      <c r="I109" s="411">
        <v>0</v>
      </c>
      <c r="J109" s="412">
        <v>106</v>
      </c>
      <c r="K109" s="413">
        <v>83461</v>
      </c>
      <c r="L109" s="411">
        <v>38</v>
      </c>
      <c r="M109" s="411">
        <v>42862</v>
      </c>
      <c r="N109" s="425">
        <v>99</v>
      </c>
      <c r="O109" s="425">
        <v>102704</v>
      </c>
      <c r="P109" s="411">
        <v>90</v>
      </c>
      <c r="Q109" s="411">
        <v>90308</v>
      </c>
      <c r="R109" s="411">
        <v>58</v>
      </c>
      <c r="S109" s="411">
        <v>70380</v>
      </c>
      <c r="T109" s="411">
        <v>106</v>
      </c>
      <c r="U109" s="411">
        <v>106953</v>
      </c>
      <c r="V109" s="411">
        <f>_xlfn.IFNA(VLOOKUP(A109,[4]進出口值表查詢結果!$C$11:$F$68,4,0),-[5]整車!$B$22)</f>
        <v>50</v>
      </c>
      <c r="W109" s="411">
        <f>_xlfn.IFNA(VLOOKUP(A109,[4]進出口值表查詢結果!$C$11:$F$68,3,0),-[5]整車!$B$22)</f>
        <v>61248</v>
      </c>
      <c r="X109" s="411">
        <f>_xlfn.IFNA(VLOOKUP(A109,[6]進出口值表查詢結果!$C$11:$F$68,4,0),-[5]整車!$B$22)</f>
        <v>24</v>
      </c>
      <c r="Y109" s="411">
        <f>_xlfn.IFNA(VLOOKUP(A109,[6]進出口值表查詢結果!$C$11:$F$68,3,0),-[5]整車!$B$22)</f>
        <v>4829</v>
      </c>
      <c r="Z109" s="405">
        <f t="shared" si="22"/>
        <v>691</v>
      </c>
      <c r="AA109" s="405">
        <f t="shared" si="23"/>
        <v>683330</v>
      </c>
    </row>
    <row r="110" spans="1:27">
      <c r="A110" s="448" t="s">
        <v>302</v>
      </c>
      <c r="B110" s="411"/>
      <c r="C110" s="411"/>
      <c r="D110" s="411">
        <v>26</v>
      </c>
      <c r="E110" s="411">
        <v>36509</v>
      </c>
      <c r="F110" s="411">
        <v>69</v>
      </c>
      <c r="G110" s="411">
        <v>58115</v>
      </c>
      <c r="H110" s="411">
        <v>0</v>
      </c>
      <c r="I110" s="411">
        <v>0</v>
      </c>
      <c r="J110" s="412" t="s">
        <v>60</v>
      </c>
      <c r="K110" s="415" t="s">
        <v>60</v>
      </c>
      <c r="L110" s="411"/>
      <c r="M110" s="411"/>
      <c r="N110" s="411"/>
      <c r="O110" s="411"/>
      <c r="P110" s="411">
        <v>0</v>
      </c>
      <c r="Q110" s="411">
        <v>0</v>
      </c>
      <c r="R110" s="411">
        <v>0</v>
      </c>
      <c r="S110" s="411">
        <v>0</v>
      </c>
      <c r="T110" s="411"/>
      <c r="U110" s="411"/>
      <c r="V110" s="411">
        <f>_xlfn.IFNA(VLOOKUP(A110,[4]進出口值表查詢結果!$C$11:$F$68,4,0),-[5]整車!$B$22)</f>
        <v>0</v>
      </c>
      <c r="W110" s="411">
        <f>_xlfn.IFNA(VLOOKUP(A110,[4]進出口值表查詢結果!$C$11:$F$68,3,0),-[5]整車!$B$22)</f>
        <v>0</v>
      </c>
      <c r="X110" s="411">
        <f>_xlfn.IFNA(VLOOKUP(A110,[6]進出口值表查詢結果!$C$11:$F$68,4,0),-[5]整車!$B$22)</f>
        <v>0</v>
      </c>
      <c r="Y110" s="411">
        <f>_xlfn.IFNA(VLOOKUP(A110,[6]進出口值表查詢結果!$C$11:$F$68,3,0),-[5]整車!$B$22)</f>
        <v>0</v>
      </c>
      <c r="Z110" s="405">
        <f t="shared" si="22"/>
        <v>95</v>
      </c>
      <c r="AA110" s="405">
        <f t="shared" si="23"/>
        <v>94624</v>
      </c>
    </row>
    <row r="111" spans="1:27">
      <c r="A111" s="448" t="s">
        <v>303</v>
      </c>
      <c r="B111" s="411">
        <v>38</v>
      </c>
      <c r="C111" s="411">
        <v>57613</v>
      </c>
      <c r="D111" s="411">
        <v>239</v>
      </c>
      <c r="E111" s="411">
        <v>192071</v>
      </c>
      <c r="F111" s="411">
        <v>218</v>
      </c>
      <c r="G111" s="411">
        <v>140890</v>
      </c>
      <c r="H111" s="411">
        <v>5</v>
      </c>
      <c r="I111" s="411">
        <v>10500</v>
      </c>
      <c r="J111" s="412">
        <v>175</v>
      </c>
      <c r="K111" s="415">
        <v>220849</v>
      </c>
      <c r="L111" s="411">
        <v>319</v>
      </c>
      <c r="M111" s="411">
        <v>305430</v>
      </c>
      <c r="N111" s="425">
        <v>392</v>
      </c>
      <c r="O111" s="425">
        <v>586309</v>
      </c>
      <c r="P111" s="411">
        <v>106</v>
      </c>
      <c r="Q111" s="411">
        <v>196069</v>
      </c>
      <c r="R111" s="411">
        <v>435</v>
      </c>
      <c r="S111" s="411">
        <v>558493</v>
      </c>
      <c r="T111" s="411">
        <v>345</v>
      </c>
      <c r="U111" s="411">
        <v>422823</v>
      </c>
      <c r="V111" s="411">
        <f>_xlfn.IFNA(VLOOKUP(A111,[4]進出口值表查詢結果!$C$11:$F$68,4,0),-[5]整車!$B$22)</f>
        <v>81</v>
      </c>
      <c r="W111" s="411">
        <f>_xlfn.IFNA(VLOOKUP(A111,[4]進出口值表查詢結果!$C$11:$F$68,3,0),-[5]整車!$B$22)</f>
        <v>132131</v>
      </c>
      <c r="X111" s="411">
        <f>_xlfn.IFNA(VLOOKUP(A111,[6]進出口值表查詢結果!$C$11:$F$68,4,0),-[5]整車!$B$22)</f>
        <v>22</v>
      </c>
      <c r="Y111" s="411">
        <f>_xlfn.IFNA(VLOOKUP(A111,[6]進出口值表查詢結果!$C$11:$F$68,3,0),-[5]整車!$B$22)</f>
        <v>32015</v>
      </c>
      <c r="Z111" s="405">
        <f t="shared" si="22"/>
        <v>2375</v>
      </c>
      <c r="AA111" s="405">
        <f t="shared" si="23"/>
        <v>2855193</v>
      </c>
    </row>
    <row r="112" spans="1:27">
      <c r="A112" s="448" t="s">
        <v>305</v>
      </c>
      <c r="B112" s="411">
        <v>271</v>
      </c>
      <c r="C112" s="411">
        <v>335554</v>
      </c>
      <c r="D112" s="411">
        <v>333</v>
      </c>
      <c r="E112" s="411">
        <v>314324</v>
      </c>
      <c r="F112" s="411">
        <v>378</v>
      </c>
      <c r="G112" s="411">
        <v>429439</v>
      </c>
      <c r="H112" s="411">
        <v>379</v>
      </c>
      <c r="I112" s="411">
        <v>273535</v>
      </c>
      <c r="J112" s="412">
        <v>257</v>
      </c>
      <c r="K112" s="413">
        <v>307852</v>
      </c>
      <c r="L112" s="411">
        <v>224</v>
      </c>
      <c r="M112" s="411">
        <v>305162</v>
      </c>
      <c r="N112" s="425">
        <v>431</v>
      </c>
      <c r="O112" s="425">
        <v>330830</v>
      </c>
      <c r="P112" s="411">
        <v>626</v>
      </c>
      <c r="Q112" s="411">
        <v>920976</v>
      </c>
      <c r="R112" s="411">
        <v>781</v>
      </c>
      <c r="S112" s="411">
        <v>864845</v>
      </c>
      <c r="T112" s="411">
        <v>613</v>
      </c>
      <c r="U112" s="411">
        <v>641240</v>
      </c>
      <c r="V112" s="411">
        <f>_xlfn.IFNA(VLOOKUP(A112,[4]進出口值表查詢結果!$C$11:$F$68,4,0),-[5]整車!$B$22)</f>
        <v>188</v>
      </c>
      <c r="W112" s="411">
        <f>_xlfn.IFNA(VLOOKUP(A112,[4]進出口值表查詢結果!$C$11:$F$68,3,0),-[5]整車!$B$22)</f>
        <v>254834</v>
      </c>
      <c r="X112" s="411">
        <f>_xlfn.IFNA(VLOOKUP(A112,[6]進出口值表查詢結果!$C$11:$F$68,4,0),-[5]整車!$B$22)</f>
        <v>933</v>
      </c>
      <c r="Y112" s="411">
        <f>_xlfn.IFNA(VLOOKUP(A112,[6]進出口值表查詢結果!$C$11:$F$68,3,0),-[5]整車!$B$22)</f>
        <v>495836</v>
      </c>
      <c r="Z112" s="405">
        <f t="shared" si="22"/>
        <v>5414</v>
      </c>
      <c r="AA112" s="405">
        <f t="shared" si="23"/>
        <v>5474427</v>
      </c>
    </row>
    <row r="113" spans="1:27">
      <c r="A113" s="448" t="s">
        <v>306</v>
      </c>
      <c r="B113" s="411"/>
      <c r="C113" s="411"/>
      <c r="D113" s="411">
        <v>64</v>
      </c>
      <c r="E113" s="411">
        <v>60093</v>
      </c>
      <c r="F113" s="411">
        <v>13</v>
      </c>
      <c r="G113" s="411">
        <v>12413</v>
      </c>
      <c r="H113" s="411">
        <v>0</v>
      </c>
      <c r="I113" s="411">
        <v>0</v>
      </c>
      <c r="J113" s="412">
        <v>52</v>
      </c>
      <c r="K113" s="415">
        <v>77514</v>
      </c>
      <c r="L113" s="411">
        <v>0</v>
      </c>
      <c r="M113" s="411">
        <v>0</v>
      </c>
      <c r="N113" s="425">
        <v>105</v>
      </c>
      <c r="O113" s="425">
        <v>127620</v>
      </c>
      <c r="P113" s="411">
        <v>125</v>
      </c>
      <c r="Q113" s="411">
        <v>149169</v>
      </c>
      <c r="R113" s="411">
        <v>27</v>
      </c>
      <c r="S113" s="411">
        <v>36039</v>
      </c>
      <c r="T113" s="411">
        <v>211</v>
      </c>
      <c r="U113" s="411">
        <v>20138</v>
      </c>
      <c r="V113" s="411">
        <f>_xlfn.IFNA(VLOOKUP(A113,[4]進出口值表查詢結果!$C$11:$F$68,4,0),-[5]整車!$B$22)</f>
        <v>0</v>
      </c>
      <c r="W113" s="411">
        <f>_xlfn.IFNA(VLOOKUP(A113,[4]進出口值表查詢結果!$C$11:$F$68,3,0),-[5]整車!$B$22)</f>
        <v>0</v>
      </c>
      <c r="X113" s="411">
        <f>_xlfn.IFNA(VLOOKUP(A113,[6]進出口值表查詢結果!$C$11:$F$68,4,0),-[5]整車!$B$22)</f>
        <v>38</v>
      </c>
      <c r="Y113" s="411">
        <f>_xlfn.IFNA(VLOOKUP(A113,[6]進出口值表查詢結果!$C$11:$F$68,3,0),-[5]整車!$B$22)</f>
        <v>41358</v>
      </c>
      <c r="Z113" s="405">
        <f t="shared" si="22"/>
        <v>635</v>
      </c>
      <c r="AA113" s="405">
        <f t="shared" si="23"/>
        <v>524344</v>
      </c>
    </row>
    <row r="114" spans="1:27">
      <c r="A114" s="448" t="s">
        <v>307</v>
      </c>
      <c r="B114" s="411"/>
      <c r="C114" s="411"/>
      <c r="D114" s="411"/>
      <c r="E114" s="411"/>
      <c r="F114" s="411">
        <v>0</v>
      </c>
      <c r="G114" s="411"/>
      <c r="H114" s="411">
        <v>0</v>
      </c>
      <c r="I114" s="411">
        <v>0</v>
      </c>
      <c r="J114" s="412" t="s">
        <v>60</v>
      </c>
      <c r="K114" s="415" t="s">
        <v>60</v>
      </c>
      <c r="L114" s="411">
        <v>0</v>
      </c>
      <c r="M114" s="411">
        <v>0</v>
      </c>
      <c r="N114" s="411">
        <v>0</v>
      </c>
      <c r="O114" s="411">
        <v>0</v>
      </c>
      <c r="P114" s="411">
        <v>0</v>
      </c>
      <c r="Q114" s="411">
        <v>0</v>
      </c>
      <c r="R114" s="411">
        <v>65</v>
      </c>
      <c r="S114" s="411">
        <v>16882</v>
      </c>
      <c r="T114" s="411"/>
      <c r="U114" s="411"/>
      <c r="V114" s="411">
        <f>_xlfn.IFNA(VLOOKUP(A114,[4]進出口值表查詢結果!$C$11:$F$68,4,0),-[5]整車!$B$22)</f>
        <v>0</v>
      </c>
      <c r="W114" s="411">
        <f>_xlfn.IFNA(VLOOKUP(A114,[4]進出口值表查詢結果!$C$11:$F$68,3,0),-[5]整車!$B$22)</f>
        <v>0</v>
      </c>
      <c r="X114" s="411">
        <f>_xlfn.IFNA(VLOOKUP(A114,[6]進出口值表查詢結果!$C$11:$F$68,4,0),-[5]整車!$B$22)</f>
        <v>0</v>
      </c>
      <c r="Y114" s="411">
        <f>_xlfn.IFNA(VLOOKUP(A114,[6]進出口值表查詢結果!$C$11:$F$68,3,0),-[5]整車!$B$22)</f>
        <v>0</v>
      </c>
      <c r="Z114" s="405">
        <f t="shared" si="22"/>
        <v>65</v>
      </c>
      <c r="AA114" s="405">
        <f t="shared" si="23"/>
        <v>16882</v>
      </c>
    </row>
    <row r="115" spans="1:27">
      <c r="A115" s="448" t="s">
        <v>187</v>
      </c>
      <c r="B115" s="411"/>
      <c r="C115" s="411"/>
      <c r="D115" s="411"/>
      <c r="E115" s="411"/>
      <c r="F115" s="411">
        <v>0</v>
      </c>
      <c r="G115" s="411"/>
      <c r="H115" s="411">
        <v>0</v>
      </c>
      <c r="I115" s="411">
        <v>0</v>
      </c>
      <c r="J115" s="412" t="s">
        <v>60</v>
      </c>
      <c r="K115" s="415" t="s">
        <v>60</v>
      </c>
      <c r="L115" s="411">
        <v>0</v>
      </c>
      <c r="M115" s="411">
        <v>0</v>
      </c>
      <c r="N115" s="425">
        <v>36</v>
      </c>
      <c r="O115" s="425">
        <v>54902</v>
      </c>
      <c r="P115" s="411">
        <v>0</v>
      </c>
      <c r="Q115" s="411">
        <v>0</v>
      </c>
      <c r="R115" s="411">
        <v>59</v>
      </c>
      <c r="S115" s="411">
        <v>60292</v>
      </c>
      <c r="T115" s="411">
        <v>13</v>
      </c>
      <c r="U115" s="411">
        <v>24991</v>
      </c>
      <c r="V115" s="411">
        <f>_xlfn.IFNA(VLOOKUP(A115,[4]進出口值表查詢結果!$C$11:$F$68,4,0),-[5]整車!$B$22)</f>
        <v>0</v>
      </c>
      <c r="W115" s="411">
        <f>_xlfn.IFNA(VLOOKUP(A115,[4]進出口值表查詢結果!$C$11:$F$68,3,0),-[5]整車!$B$22)</f>
        <v>0</v>
      </c>
      <c r="X115" s="411">
        <f>_xlfn.IFNA(VLOOKUP(A115,[6]進出口值表查詢結果!$C$11:$F$68,4,0),-[5]整車!$B$22)</f>
        <v>90</v>
      </c>
      <c r="Y115" s="411">
        <f>_xlfn.IFNA(VLOOKUP(A115,[6]進出口值表查詢結果!$C$11:$F$68,3,0),-[5]整車!$B$22)</f>
        <v>155913</v>
      </c>
      <c r="Z115" s="405">
        <f t="shared" si="22"/>
        <v>198</v>
      </c>
      <c r="AA115" s="405">
        <f t="shared" si="23"/>
        <v>296098</v>
      </c>
    </row>
    <row r="116" spans="1:27">
      <c r="A116" s="448" t="s">
        <v>308</v>
      </c>
      <c r="B116" s="411"/>
      <c r="C116" s="411"/>
      <c r="D116" s="411">
        <v>58</v>
      </c>
      <c r="E116" s="411">
        <v>17155</v>
      </c>
      <c r="F116" s="411">
        <v>0</v>
      </c>
      <c r="G116" s="411"/>
      <c r="H116" s="411">
        <v>0</v>
      </c>
      <c r="I116" s="411">
        <v>0</v>
      </c>
      <c r="J116" s="412" t="s">
        <v>60</v>
      </c>
      <c r="K116" s="415" t="s">
        <v>60</v>
      </c>
      <c r="L116" s="411">
        <v>66</v>
      </c>
      <c r="M116" s="411">
        <v>91388</v>
      </c>
      <c r="N116" s="425">
        <v>93</v>
      </c>
      <c r="O116" s="425">
        <v>28161</v>
      </c>
      <c r="P116" s="411">
        <v>1</v>
      </c>
      <c r="Q116" s="411">
        <v>1898</v>
      </c>
      <c r="R116" s="411">
        <v>0</v>
      </c>
      <c r="S116" s="411">
        <v>0</v>
      </c>
      <c r="T116" s="411">
        <v>70</v>
      </c>
      <c r="U116" s="411">
        <v>76661</v>
      </c>
      <c r="V116" s="411">
        <f>_xlfn.IFNA(VLOOKUP(A116,[4]進出口值表查詢結果!$C$11:$F$68,4,0),-[5]整車!$B$22)</f>
        <v>0</v>
      </c>
      <c r="W116" s="411">
        <f>_xlfn.IFNA(VLOOKUP(A116,[4]進出口值表查詢結果!$C$11:$F$68,3,0),-[5]整車!$B$22)</f>
        <v>0</v>
      </c>
      <c r="X116" s="411">
        <f>_xlfn.IFNA(VLOOKUP(A116,[6]進出口值表查詢結果!$C$11:$F$68,4,0),-[5]整車!$B$22)</f>
        <v>0</v>
      </c>
      <c r="Y116" s="411">
        <f>_xlfn.IFNA(VLOOKUP(A116,[6]進出口值表查詢結果!$C$11:$F$68,3,0),-[5]整車!$B$22)</f>
        <v>0</v>
      </c>
      <c r="Z116" s="405">
        <f t="shared" si="22"/>
        <v>288</v>
      </c>
      <c r="AA116" s="405">
        <f t="shared" si="23"/>
        <v>215263</v>
      </c>
    </row>
    <row r="117" spans="1:27">
      <c r="A117" s="448" t="s">
        <v>309</v>
      </c>
      <c r="B117" s="411">
        <v>91</v>
      </c>
      <c r="C117" s="411">
        <v>105365</v>
      </c>
      <c r="D117" s="411"/>
      <c r="E117" s="411"/>
      <c r="F117" s="411">
        <v>0</v>
      </c>
      <c r="G117" s="411"/>
      <c r="H117" s="411">
        <v>0</v>
      </c>
      <c r="I117" s="411">
        <v>0</v>
      </c>
      <c r="J117" s="412" t="s">
        <v>60</v>
      </c>
      <c r="K117" s="415" t="s">
        <v>60</v>
      </c>
      <c r="L117" s="411">
        <v>0</v>
      </c>
      <c r="M117" s="411">
        <v>0</v>
      </c>
      <c r="N117" s="425">
        <v>92</v>
      </c>
      <c r="O117" s="425">
        <v>98850</v>
      </c>
      <c r="P117" s="411">
        <v>0</v>
      </c>
      <c r="Q117" s="411">
        <v>0</v>
      </c>
      <c r="R117" s="411">
        <v>0</v>
      </c>
      <c r="S117" s="411">
        <v>0</v>
      </c>
      <c r="T117" s="411"/>
      <c r="U117" s="411"/>
      <c r="V117" s="411">
        <f>_xlfn.IFNA(VLOOKUP(A117,[4]進出口值表查詢結果!$C$11:$F$68,4,0),-[5]整車!$B$22)</f>
        <v>22</v>
      </c>
      <c r="W117" s="411">
        <f>_xlfn.IFNA(VLOOKUP(A117,[4]進出口值表查詢結果!$C$11:$F$68,3,0),-[5]整車!$B$22)</f>
        <v>28492</v>
      </c>
      <c r="X117" s="411">
        <f>_xlfn.IFNA(VLOOKUP(A117,[6]進出口值表查詢結果!$C$11:$F$68,4,0),-[5]整車!$B$22)</f>
        <v>0</v>
      </c>
      <c r="Y117" s="411">
        <f>_xlfn.IFNA(VLOOKUP(A117,[6]進出口值表查詢結果!$C$11:$F$68,3,0),-[5]整車!$B$22)</f>
        <v>0</v>
      </c>
      <c r="Z117" s="405">
        <f t="shared" si="22"/>
        <v>205</v>
      </c>
      <c r="AA117" s="405">
        <f t="shared" si="23"/>
        <v>232707</v>
      </c>
    </row>
    <row r="118" spans="1:27">
      <c r="A118" s="448" t="s">
        <v>310</v>
      </c>
      <c r="B118" s="411"/>
      <c r="C118" s="411"/>
      <c r="D118" s="411"/>
      <c r="E118" s="411"/>
      <c r="F118" s="411">
        <v>0</v>
      </c>
      <c r="G118" s="411"/>
      <c r="H118" s="411">
        <v>0</v>
      </c>
      <c r="I118" s="411">
        <v>0</v>
      </c>
      <c r="J118" s="412" t="s">
        <v>60</v>
      </c>
      <c r="K118" s="415" t="s">
        <v>60</v>
      </c>
      <c r="L118" s="411">
        <v>0</v>
      </c>
      <c r="M118" s="411">
        <v>0</v>
      </c>
      <c r="N118" s="411">
        <v>0</v>
      </c>
      <c r="O118" s="411">
        <v>0</v>
      </c>
      <c r="P118" s="411">
        <v>0</v>
      </c>
      <c r="Q118" s="411">
        <v>0</v>
      </c>
      <c r="R118" s="411">
        <v>4</v>
      </c>
      <c r="S118" s="411">
        <v>4008</v>
      </c>
      <c r="T118" s="411"/>
      <c r="U118" s="411"/>
      <c r="V118" s="411">
        <f>_xlfn.IFNA(VLOOKUP(A118,[4]進出口值表查詢結果!$C$11:$F$68,4,0),-[5]整車!$B$22)</f>
        <v>0</v>
      </c>
      <c r="W118" s="411">
        <f>_xlfn.IFNA(VLOOKUP(A118,[4]進出口值表查詢結果!$C$11:$F$68,3,0),-[5]整車!$B$22)</f>
        <v>0</v>
      </c>
      <c r="X118" s="411">
        <f>_xlfn.IFNA(VLOOKUP(A118,[6]進出口值表查詢結果!$C$11:$F$68,4,0),-[5]整車!$B$22)</f>
        <v>0</v>
      </c>
      <c r="Y118" s="411">
        <f>_xlfn.IFNA(VLOOKUP(A118,[6]進出口值表查詢結果!$C$11:$F$68,3,0),-[5]整車!$B$22)</f>
        <v>0</v>
      </c>
      <c r="Z118" s="405">
        <f t="shared" si="22"/>
        <v>4</v>
      </c>
      <c r="AA118" s="405">
        <f t="shared" si="23"/>
        <v>4008</v>
      </c>
    </row>
    <row r="119" spans="1:27">
      <c r="A119" s="448" t="s">
        <v>311</v>
      </c>
      <c r="B119" s="411"/>
      <c r="C119" s="411"/>
      <c r="D119" s="411"/>
      <c r="E119" s="411"/>
      <c r="F119" s="411">
        <v>0</v>
      </c>
      <c r="G119" s="411"/>
      <c r="H119" s="411">
        <v>0</v>
      </c>
      <c r="I119" s="411">
        <v>0</v>
      </c>
      <c r="J119" s="412" t="s">
        <v>60</v>
      </c>
      <c r="K119" s="415" t="s">
        <v>60</v>
      </c>
      <c r="L119" s="411">
        <v>0</v>
      </c>
      <c r="M119" s="411">
        <v>0</v>
      </c>
      <c r="N119" s="411">
        <v>0</v>
      </c>
      <c r="O119" s="411">
        <v>0</v>
      </c>
      <c r="P119" s="411">
        <v>0</v>
      </c>
      <c r="Q119" s="411">
        <v>0</v>
      </c>
      <c r="R119" s="411">
        <v>0</v>
      </c>
      <c r="S119" s="411">
        <v>0</v>
      </c>
      <c r="T119" s="411"/>
      <c r="U119" s="411"/>
      <c r="V119" s="411">
        <f>_xlfn.IFNA(VLOOKUP(A119,[4]進出口值表查詢結果!$C$11:$F$68,4,0),-[5]整車!$B$22)</f>
        <v>0</v>
      </c>
      <c r="W119" s="411">
        <f>_xlfn.IFNA(VLOOKUP(A119,[4]進出口值表查詢結果!$C$11:$F$68,3,0),-[5]整車!$B$22)</f>
        <v>0</v>
      </c>
      <c r="X119" s="411">
        <f>_xlfn.IFNA(VLOOKUP(A119,[6]進出口值表查詢結果!$C$11:$F$68,4,0),-[5]整車!$B$22)</f>
        <v>0</v>
      </c>
      <c r="Y119" s="411">
        <f>_xlfn.IFNA(VLOOKUP(A119,[6]進出口值表查詢結果!$C$11:$F$68,3,0),-[5]整車!$B$22)</f>
        <v>0</v>
      </c>
      <c r="Z119" s="405">
        <f t="shared" si="22"/>
        <v>0</v>
      </c>
      <c r="AA119" s="405">
        <f t="shared" si="23"/>
        <v>0</v>
      </c>
    </row>
    <row r="120" spans="1:27">
      <c r="A120" s="448" t="s">
        <v>396</v>
      </c>
      <c r="B120" s="411">
        <v>30</v>
      </c>
      <c r="C120" s="411">
        <v>47684</v>
      </c>
      <c r="D120" s="411">
        <v>18</v>
      </c>
      <c r="E120" s="411">
        <v>21652</v>
      </c>
      <c r="F120" s="411">
        <v>40</v>
      </c>
      <c r="G120" s="411">
        <v>80054</v>
      </c>
      <c r="H120" s="411">
        <v>31</v>
      </c>
      <c r="I120" s="411">
        <v>62073</v>
      </c>
      <c r="J120" s="412" t="s">
        <v>60</v>
      </c>
      <c r="K120" s="415" t="s">
        <v>60</v>
      </c>
      <c r="L120" s="411">
        <v>93</v>
      </c>
      <c r="M120" s="411">
        <v>149531</v>
      </c>
      <c r="N120" s="425">
        <v>44</v>
      </c>
      <c r="O120" s="425">
        <v>69675</v>
      </c>
      <c r="P120" s="411">
        <v>115</v>
      </c>
      <c r="Q120" s="411">
        <v>177702</v>
      </c>
      <c r="R120" s="411">
        <v>11</v>
      </c>
      <c r="S120" s="411">
        <v>29144</v>
      </c>
      <c r="T120" s="411">
        <v>86</v>
      </c>
      <c r="U120" s="411">
        <v>116179</v>
      </c>
      <c r="V120" s="411">
        <f>_xlfn.IFNA(VLOOKUP(A120,[4]進出口值表查詢結果!$C$11:$F$68,4,0),-[5]整車!$B$22)</f>
        <v>1</v>
      </c>
      <c r="W120" s="411">
        <f>_xlfn.IFNA(VLOOKUP(A120,[4]進出口值表查詢結果!$C$11:$F$68,3,0),-[5]整車!$B$22)</f>
        <v>3605</v>
      </c>
      <c r="X120" s="411">
        <f>_xlfn.IFNA(VLOOKUP(A120,[6]進出口值表查詢結果!$C$11:$F$68,4,0),-[5]整車!$B$22)</f>
        <v>246</v>
      </c>
      <c r="Y120" s="411">
        <f>_xlfn.IFNA(VLOOKUP(A120,[6]進出口值表查詢結果!$C$11:$F$68,3,0),-[5]整車!$B$22)</f>
        <v>224562</v>
      </c>
      <c r="Z120" s="405">
        <f t="shared" si="22"/>
        <v>715</v>
      </c>
      <c r="AA120" s="405">
        <f t="shared" si="23"/>
        <v>981861</v>
      </c>
    </row>
    <row r="121" spans="1:27">
      <c r="A121" s="448" t="s">
        <v>312</v>
      </c>
      <c r="B121" s="411"/>
      <c r="C121" s="411"/>
      <c r="D121" s="411"/>
      <c r="E121" s="411"/>
      <c r="F121" s="411">
        <v>0</v>
      </c>
      <c r="G121" s="411"/>
      <c r="H121" s="411">
        <v>0</v>
      </c>
      <c r="I121" s="411">
        <v>0</v>
      </c>
      <c r="J121" s="412" t="s">
        <v>60</v>
      </c>
      <c r="K121" s="415" t="s">
        <v>60</v>
      </c>
      <c r="L121" s="411">
        <v>0</v>
      </c>
      <c r="M121" s="411">
        <v>0</v>
      </c>
      <c r="N121" s="411">
        <v>0</v>
      </c>
      <c r="O121" s="411">
        <v>0</v>
      </c>
      <c r="P121" s="411">
        <v>0</v>
      </c>
      <c r="Q121" s="411">
        <v>0</v>
      </c>
      <c r="R121" s="411">
        <v>0</v>
      </c>
      <c r="S121" s="411">
        <v>0</v>
      </c>
      <c r="T121" s="411"/>
      <c r="U121" s="411"/>
      <c r="V121" s="411">
        <f>_xlfn.IFNA(VLOOKUP(A121,[4]進出口值表查詢結果!$C$11:$F$68,4,0),-[5]整車!$B$22)</f>
        <v>0</v>
      </c>
      <c r="W121" s="411">
        <f>_xlfn.IFNA(VLOOKUP(A121,[4]進出口值表查詢結果!$C$11:$F$68,3,0),-[5]整車!$B$22)</f>
        <v>0</v>
      </c>
      <c r="X121" s="411">
        <f>_xlfn.IFNA(VLOOKUP(A121,[6]進出口值表查詢結果!$C$11:$F$68,4,0),-[5]整車!$B$22)</f>
        <v>0</v>
      </c>
      <c r="Y121" s="411">
        <f>_xlfn.IFNA(VLOOKUP(A121,[6]進出口值表查詢結果!$C$11:$F$68,3,0),-[5]整車!$B$22)</f>
        <v>0</v>
      </c>
      <c r="Z121" s="405">
        <f t="shared" si="22"/>
        <v>0</v>
      </c>
      <c r="AA121" s="405">
        <f t="shared" si="23"/>
        <v>0</v>
      </c>
    </row>
    <row r="122" spans="1:27">
      <c r="A122" s="448" t="s">
        <v>313</v>
      </c>
      <c r="B122" s="411"/>
      <c r="C122" s="411"/>
      <c r="D122" s="411"/>
      <c r="E122" s="411"/>
      <c r="F122" s="411">
        <v>0</v>
      </c>
      <c r="G122" s="411"/>
      <c r="H122" s="411">
        <v>0</v>
      </c>
      <c r="I122" s="411">
        <v>0</v>
      </c>
      <c r="J122" s="412" t="s">
        <v>60</v>
      </c>
      <c r="K122" s="415" t="s">
        <v>60</v>
      </c>
      <c r="L122" s="411">
        <v>0</v>
      </c>
      <c r="M122" s="411">
        <v>0</v>
      </c>
      <c r="N122" s="411">
        <v>0</v>
      </c>
      <c r="O122" s="411">
        <v>0</v>
      </c>
      <c r="P122" s="411">
        <v>0</v>
      </c>
      <c r="Q122" s="411">
        <v>0</v>
      </c>
      <c r="R122" s="411">
        <v>0</v>
      </c>
      <c r="S122" s="411">
        <v>0</v>
      </c>
      <c r="T122" s="411"/>
      <c r="U122" s="411"/>
      <c r="V122" s="411">
        <f>_xlfn.IFNA(VLOOKUP(A122,[4]進出口值表查詢結果!$C$11:$F$68,4,0),-[5]整車!$B$22)</f>
        <v>0</v>
      </c>
      <c r="W122" s="411">
        <f>_xlfn.IFNA(VLOOKUP(A122,[4]進出口值表查詢結果!$C$11:$F$68,3,0),-[5]整車!$B$22)</f>
        <v>0</v>
      </c>
      <c r="X122" s="411">
        <f>_xlfn.IFNA(VLOOKUP(A122,[6]進出口值表查詢結果!$C$11:$F$68,4,0),-[5]整車!$B$22)</f>
        <v>0</v>
      </c>
      <c r="Y122" s="411">
        <f>_xlfn.IFNA(VLOOKUP(A122,[6]進出口值表查詢結果!$C$11:$F$68,3,0),-[5]整車!$B$22)</f>
        <v>0</v>
      </c>
      <c r="Z122" s="405">
        <f t="shared" si="22"/>
        <v>0</v>
      </c>
      <c r="AA122" s="405">
        <f t="shared" si="23"/>
        <v>0</v>
      </c>
    </row>
    <row r="123" spans="1:27">
      <c r="A123" s="448" t="s">
        <v>314</v>
      </c>
      <c r="B123" s="411"/>
      <c r="C123" s="411"/>
      <c r="D123" s="411"/>
      <c r="E123" s="411"/>
      <c r="F123" s="411">
        <v>0</v>
      </c>
      <c r="G123" s="411"/>
      <c r="H123" s="411">
        <v>0</v>
      </c>
      <c r="I123" s="411">
        <v>0</v>
      </c>
      <c r="J123" s="412" t="s">
        <v>60</v>
      </c>
      <c r="K123" s="415" t="s">
        <v>60</v>
      </c>
      <c r="L123" s="411">
        <v>0</v>
      </c>
      <c r="M123" s="411">
        <v>0</v>
      </c>
      <c r="N123" s="411">
        <v>0</v>
      </c>
      <c r="O123" s="411">
        <v>0</v>
      </c>
      <c r="P123" s="411">
        <v>0</v>
      </c>
      <c r="Q123" s="411">
        <v>0</v>
      </c>
      <c r="R123" s="411">
        <v>0</v>
      </c>
      <c r="S123" s="411">
        <v>0</v>
      </c>
      <c r="T123" s="411"/>
      <c r="U123" s="411"/>
      <c r="V123" s="411">
        <f>_xlfn.IFNA(VLOOKUP(A123,[4]進出口值表查詢結果!$C$11:$F$68,4,0),-[5]整車!$B$22)</f>
        <v>0</v>
      </c>
      <c r="W123" s="411">
        <f>_xlfn.IFNA(VLOOKUP(A123,[4]進出口值表查詢結果!$C$11:$F$68,3,0),-[5]整車!$B$22)</f>
        <v>0</v>
      </c>
      <c r="X123" s="411">
        <f>_xlfn.IFNA(VLOOKUP(A123,[6]進出口值表查詢結果!$C$11:$F$68,4,0),-[5]整車!$B$22)</f>
        <v>0</v>
      </c>
      <c r="Y123" s="411">
        <f>_xlfn.IFNA(VLOOKUP(A123,[6]進出口值表查詢結果!$C$11:$F$68,3,0),-[5]整車!$B$22)</f>
        <v>0</v>
      </c>
      <c r="Z123" s="405">
        <f t="shared" si="22"/>
        <v>0</v>
      </c>
      <c r="AA123" s="405">
        <f t="shared" si="23"/>
        <v>0</v>
      </c>
    </row>
    <row r="124" spans="1:27">
      <c r="A124" s="448" t="s">
        <v>315</v>
      </c>
      <c r="B124" s="411"/>
      <c r="C124" s="411"/>
      <c r="D124" s="411"/>
      <c r="E124" s="411"/>
      <c r="F124" s="411">
        <v>0</v>
      </c>
      <c r="G124" s="411"/>
      <c r="H124" s="411">
        <v>0</v>
      </c>
      <c r="I124" s="411">
        <v>0</v>
      </c>
      <c r="J124" s="412" t="s">
        <v>60</v>
      </c>
      <c r="K124" s="415" t="s">
        <v>60</v>
      </c>
      <c r="L124" s="411">
        <v>0</v>
      </c>
      <c r="M124" s="411">
        <v>0</v>
      </c>
      <c r="N124" s="411">
        <v>0</v>
      </c>
      <c r="O124" s="411">
        <v>0</v>
      </c>
      <c r="P124" s="411">
        <v>0</v>
      </c>
      <c r="Q124" s="411">
        <v>0</v>
      </c>
      <c r="R124" s="411">
        <v>0</v>
      </c>
      <c r="S124" s="411">
        <v>0</v>
      </c>
      <c r="T124" s="411"/>
      <c r="U124" s="411"/>
      <c r="V124" s="411">
        <f>_xlfn.IFNA(VLOOKUP(A124,[4]進出口值表查詢結果!$C$11:$F$68,4,0),-[5]整車!$B$22)</f>
        <v>0</v>
      </c>
      <c r="W124" s="411">
        <f>_xlfn.IFNA(VLOOKUP(A124,[4]進出口值表查詢結果!$C$11:$F$68,3,0),-[5]整車!$B$22)</f>
        <v>0</v>
      </c>
      <c r="X124" s="411">
        <f>_xlfn.IFNA(VLOOKUP(A124,[6]進出口值表查詢結果!$C$11:$F$68,4,0),-[5]整車!$B$22)</f>
        <v>0</v>
      </c>
      <c r="Y124" s="411">
        <f>_xlfn.IFNA(VLOOKUP(A124,[6]進出口值表查詢結果!$C$11:$F$68,3,0),-[5]整車!$B$22)</f>
        <v>0</v>
      </c>
      <c r="Z124" s="405">
        <f t="shared" si="22"/>
        <v>0</v>
      </c>
      <c r="AA124" s="405">
        <f t="shared" si="23"/>
        <v>0</v>
      </c>
    </row>
    <row r="125" spans="1:27">
      <c r="A125" s="448" t="s">
        <v>316</v>
      </c>
      <c r="B125" s="411"/>
      <c r="C125" s="411"/>
      <c r="D125" s="411"/>
      <c r="E125" s="411"/>
      <c r="F125" s="411">
        <v>0</v>
      </c>
      <c r="G125" s="411"/>
      <c r="H125" s="411">
        <v>0</v>
      </c>
      <c r="I125" s="411">
        <v>0</v>
      </c>
      <c r="J125" s="412" t="s">
        <v>60</v>
      </c>
      <c r="K125" s="415" t="s">
        <v>60</v>
      </c>
      <c r="L125" s="411">
        <v>0</v>
      </c>
      <c r="M125" s="411">
        <v>0</v>
      </c>
      <c r="N125" s="411">
        <v>0</v>
      </c>
      <c r="O125" s="411">
        <v>0</v>
      </c>
      <c r="P125" s="411">
        <v>0</v>
      </c>
      <c r="Q125" s="411">
        <v>0</v>
      </c>
      <c r="R125" s="411">
        <v>0</v>
      </c>
      <c r="S125" s="411">
        <v>0</v>
      </c>
      <c r="T125" s="411"/>
      <c r="U125" s="411"/>
      <c r="V125" s="411">
        <f>_xlfn.IFNA(VLOOKUP(A125,[4]進出口值表查詢結果!$C$11:$F$68,4,0),-[5]整車!$B$22)</f>
        <v>0</v>
      </c>
      <c r="W125" s="411">
        <f>_xlfn.IFNA(VLOOKUP(A125,[4]進出口值表查詢結果!$C$11:$F$68,3,0),-[5]整車!$B$22)</f>
        <v>0</v>
      </c>
      <c r="X125" s="411">
        <f>_xlfn.IFNA(VLOOKUP(A125,[6]進出口值表查詢結果!$C$11:$F$68,4,0),-[5]整車!$B$22)</f>
        <v>0</v>
      </c>
      <c r="Y125" s="411">
        <f>_xlfn.IFNA(VLOOKUP(A125,[6]進出口值表查詢結果!$C$11:$F$68,3,0),-[5]整車!$B$22)</f>
        <v>0</v>
      </c>
      <c r="Z125" s="405">
        <f t="shared" si="22"/>
        <v>0</v>
      </c>
      <c r="AA125" s="405">
        <f t="shared" si="23"/>
        <v>0</v>
      </c>
    </row>
    <row r="126" spans="1:27">
      <c r="A126" s="448" t="s">
        <v>193</v>
      </c>
      <c r="B126" s="411"/>
      <c r="C126" s="411"/>
      <c r="D126" s="411"/>
      <c r="E126" s="411"/>
      <c r="F126" s="411">
        <v>0</v>
      </c>
      <c r="G126" s="411"/>
      <c r="H126" s="411">
        <v>0</v>
      </c>
      <c r="I126" s="411">
        <v>0</v>
      </c>
      <c r="J126" s="412" t="s">
        <v>60</v>
      </c>
      <c r="K126" s="415" t="s">
        <v>60</v>
      </c>
      <c r="L126" s="411">
        <v>0</v>
      </c>
      <c r="M126" s="411">
        <v>0</v>
      </c>
      <c r="N126" s="411">
        <v>0</v>
      </c>
      <c r="O126" s="411">
        <v>0</v>
      </c>
      <c r="P126" s="411">
        <v>0</v>
      </c>
      <c r="Q126" s="411">
        <v>0</v>
      </c>
      <c r="R126" s="411">
        <v>0</v>
      </c>
      <c r="S126" s="411">
        <v>0</v>
      </c>
      <c r="T126" s="411"/>
      <c r="U126" s="411"/>
      <c r="V126" s="411">
        <f>_xlfn.IFNA(VLOOKUP(A126,[4]進出口值表查詢結果!$C$11:$F$68,4,0),-[5]整車!$B$22)</f>
        <v>0</v>
      </c>
      <c r="W126" s="411">
        <f>_xlfn.IFNA(VLOOKUP(A126,[4]進出口值表查詢結果!$C$11:$F$68,3,0),-[5]整車!$B$22)</f>
        <v>0</v>
      </c>
      <c r="X126" s="411">
        <f>_xlfn.IFNA(VLOOKUP(A126,[6]進出口值表查詢結果!$C$11:$F$68,4,0),-[5]整車!$B$22)</f>
        <v>0</v>
      </c>
      <c r="Y126" s="411">
        <f>_xlfn.IFNA(VLOOKUP(A126,[6]進出口值表查詢結果!$C$11:$F$68,3,0),-[5]整車!$B$22)</f>
        <v>0</v>
      </c>
      <c r="Z126" s="405">
        <f t="shared" si="22"/>
        <v>0</v>
      </c>
      <c r="AA126" s="405">
        <f t="shared" si="23"/>
        <v>0</v>
      </c>
    </row>
    <row r="127" spans="1:27">
      <c r="A127" s="448" t="s">
        <v>317</v>
      </c>
      <c r="B127" s="411">
        <v>111</v>
      </c>
      <c r="C127" s="411">
        <v>54549</v>
      </c>
      <c r="D127" s="411">
        <v>92</v>
      </c>
      <c r="E127" s="411">
        <v>90640</v>
      </c>
      <c r="F127" s="411">
        <v>82</v>
      </c>
      <c r="G127" s="411">
        <v>150017</v>
      </c>
      <c r="H127" s="411">
        <v>0</v>
      </c>
      <c r="I127" s="411">
        <v>0</v>
      </c>
      <c r="J127" s="412">
        <v>84</v>
      </c>
      <c r="K127" s="413">
        <v>97060</v>
      </c>
      <c r="L127" s="411">
        <v>0</v>
      </c>
      <c r="M127" s="411">
        <v>0</v>
      </c>
      <c r="N127" s="425">
        <v>68</v>
      </c>
      <c r="O127" s="425">
        <v>99493</v>
      </c>
      <c r="P127" s="411">
        <v>0</v>
      </c>
      <c r="Q127" s="411">
        <v>0</v>
      </c>
      <c r="R127" s="411">
        <v>0</v>
      </c>
      <c r="S127" s="411">
        <v>0</v>
      </c>
      <c r="T127" s="411">
        <v>65</v>
      </c>
      <c r="U127" s="411">
        <v>92599</v>
      </c>
      <c r="V127" s="411">
        <f>_xlfn.IFNA(VLOOKUP(A127,[4]進出口值表查詢結果!$C$11:$F$68,4,0),-[5]整車!$B$22)</f>
        <v>0</v>
      </c>
      <c r="W127" s="411">
        <f>_xlfn.IFNA(VLOOKUP(A127,[4]進出口值表查詢結果!$C$11:$F$68,3,0),-[5]整車!$B$22)</f>
        <v>0</v>
      </c>
      <c r="X127" s="411">
        <f>_xlfn.IFNA(VLOOKUP(A127,[6]進出口值表查詢結果!$C$11:$F$68,4,0),-[5]整車!$B$22)</f>
        <v>184</v>
      </c>
      <c r="Y127" s="411">
        <f>_xlfn.IFNA(VLOOKUP(A127,[6]進出口值表查詢結果!$C$11:$F$68,3,0),-[5]整車!$B$22)</f>
        <v>163785</v>
      </c>
      <c r="Z127" s="405">
        <f t="shared" si="22"/>
        <v>686</v>
      </c>
      <c r="AA127" s="405">
        <f t="shared" si="23"/>
        <v>748143</v>
      </c>
    </row>
    <row r="128" spans="1:27">
      <c r="A128" s="448" t="s">
        <v>318</v>
      </c>
      <c r="B128" s="411"/>
      <c r="C128" s="411"/>
      <c r="D128" s="411"/>
      <c r="E128" s="411"/>
      <c r="F128" s="411">
        <v>0</v>
      </c>
      <c r="G128" s="411"/>
      <c r="H128" s="411">
        <v>0</v>
      </c>
      <c r="I128" s="411">
        <v>0</v>
      </c>
      <c r="J128" s="412" t="s">
        <v>60</v>
      </c>
      <c r="K128" s="415" t="s">
        <v>60</v>
      </c>
      <c r="L128" s="411">
        <v>0</v>
      </c>
      <c r="M128" s="411">
        <v>0</v>
      </c>
      <c r="N128" s="411">
        <v>0</v>
      </c>
      <c r="O128" s="411">
        <v>0</v>
      </c>
      <c r="P128" s="411">
        <v>0</v>
      </c>
      <c r="Q128" s="411">
        <v>0</v>
      </c>
      <c r="R128" s="411">
        <v>0</v>
      </c>
      <c r="S128" s="411">
        <v>0</v>
      </c>
      <c r="T128" s="411"/>
      <c r="U128" s="411"/>
      <c r="V128" s="411">
        <f>_xlfn.IFNA(VLOOKUP(A128,[4]進出口值表查詢結果!$C$11:$F$68,4,0),-[5]整車!$B$22)</f>
        <v>0</v>
      </c>
      <c r="W128" s="411">
        <f>_xlfn.IFNA(VLOOKUP(A128,[4]進出口值表查詢結果!$C$11:$F$68,3,0),-[5]整車!$B$22)</f>
        <v>0</v>
      </c>
      <c r="X128" s="411">
        <f>_xlfn.IFNA(VLOOKUP(A128,[6]進出口值表查詢結果!$C$11:$F$68,4,0),-[5]整車!$B$22)</f>
        <v>0</v>
      </c>
      <c r="Y128" s="411">
        <f>_xlfn.IFNA(VLOOKUP(A128,[6]進出口值表查詢結果!$C$11:$F$68,3,0),-[5]整車!$B$22)</f>
        <v>0</v>
      </c>
      <c r="Z128" s="405">
        <f t="shared" si="22"/>
        <v>0</v>
      </c>
      <c r="AA128" s="405">
        <f t="shared" si="23"/>
        <v>0</v>
      </c>
    </row>
    <row r="129" spans="1:27">
      <c r="A129" s="448" t="s">
        <v>319</v>
      </c>
      <c r="B129" s="411"/>
      <c r="C129" s="411"/>
      <c r="D129" s="411"/>
      <c r="E129" s="411"/>
      <c r="F129" s="411">
        <v>0</v>
      </c>
      <c r="G129" s="411"/>
      <c r="H129" s="411">
        <v>0</v>
      </c>
      <c r="I129" s="411">
        <v>0</v>
      </c>
      <c r="J129" s="412" t="s">
        <v>60</v>
      </c>
      <c r="K129" s="415" t="s">
        <v>60</v>
      </c>
      <c r="L129" s="411">
        <v>0</v>
      </c>
      <c r="M129" s="411">
        <v>0</v>
      </c>
      <c r="N129" s="411">
        <v>0</v>
      </c>
      <c r="O129" s="411">
        <v>0</v>
      </c>
      <c r="P129" s="411">
        <v>0</v>
      </c>
      <c r="Q129" s="411">
        <v>0</v>
      </c>
      <c r="R129" s="411">
        <v>0</v>
      </c>
      <c r="S129" s="411">
        <v>0</v>
      </c>
      <c r="T129" s="411"/>
      <c r="U129" s="411"/>
      <c r="V129" s="411">
        <f>_xlfn.IFNA(VLOOKUP(A129,[4]進出口值表查詢結果!$C$11:$F$68,4,0),-[5]整車!$B$22)</f>
        <v>0</v>
      </c>
      <c r="W129" s="411">
        <f>_xlfn.IFNA(VLOOKUP(A129,[4]進出口值表查詢結果!$C$11:$F$68,3,0),-[5]整車!$B$22)</f>
        <v>0</v>
      </c>
      <c r="X129" s="411">
        <f>_xlfn.IFNA(VLOOKUP(A129,[6]進出口值表查詢結果!$C$11:$F$68,4,0),-[5]整車!$B$22)</f>
        <v>0</v>
      </c>
      <c r="Y129" s="411">
        <f>_xlfn.IFNA(VLOOKUP(A129,[6]進出口值表查詢結果!$C$11:$F$68,3,0),-[5]整車!$B$22)</f>
        <v>0</v>
      </c>
      <c r="Z129" s="405">
        <f t="shared" si="22"/>
        <v>0</v>
      </c>
      <c r="AA129" s="405">
        <f t="shared" si="23"/>
        <v>0</v>
      </c>
    </row>
    <row r="130" spans="1:27">
      <c r="A130" s="410" t="s">
        <v>320</v>
      </c>
      <c r="B130" s="411"/>
      <c r="C130" s="411"/>
      <c r="D130" s="411"/>
      <c r="E130" s="411"/>
      <c r="F130" s="411">
        <v>0</v>
      </c>
      <c r="G130" s="411"/>
      <c r="H130" s="411">
        <v>0</v>
      </c>
      <c r="I130" s="411">
        <v>0</v>
      </c>
      <c r="J130" s="412" t="s">
        <v>60</v>
      </c>
      <c r="K130" s="415" t="s">
        <v>60</v>
      </c>
      <c r="L130" s="411">
        <v>0</v>
      </c>
      <c r="M130" s="411">
        <v>0</v>
      </c>
      <c r="N130" s="411">
        <v>0</v>
      </c>
      <c r="O130" s="411">
        <v>0</v>
      </c>
      <c r="P130" s="411">
        <v>0</v>
      </c>
      <c r="Q130" s="411">
        <v>0</v>
      </c>
      <c r="R130" s="411">
        <v>0</v>
      </c>
      <c r="S130" s="411">
        <v>0</v>
      </c>
      <c r="T130" s="411"/>
      <c r="U130" s="411"/>
      <c r="V130" s="411">
        <f>_xlfn.IFNA(VLOOKUP(A130,[4]進出口值表查詢結果!$C$11:$F$68,4,0),-[5]整車!$B$22)</f>
        <v>0</v>
      </c>
      <c r="W130" s="411">
        <f>_xlfn.IFNA(VLOOKUP(A130,[4]進出口值表查詢結果!$C$11:$F$68,3,0),-[5]整車!$B$22)</f>
        <v>0</v>
      </c>
      <c r="X130" s="411">
        <f>_xlfn.IFNA(VLOOKUP(A130,[6]進出口值表查詢結果!$C$11:$F$68,4,0),-[5]整車!$B$22)</f>
        <v>0</v>
      </c>
      <c r="Y130" s="411">
        <f>_xlfn.IFNA(VLOOKUP(A130,[6]進出口值表查詢結果!$C$11:$F$68,3,0),-[5]整車!$B$22)</f>
        <v>0</v>
      </c>
      <c r="Z130" s="405">
        <f t="shared" si="22"/>
        <v>0</v>
      </c>
      <c r="AA130" s="405">
        <f t="shared" si="23"/>
        <v>0</v>
      </c>
    </row>
    <row r="131" spans="1:27">
      <c r="A131" s="448" t="s">
        <v>321</v>
      </c>
      <c r="B131" s="411"/>
      <c r="C131" s="411"/>
      <c r="D131" s="411"/>
      <c r="E131" s="411"/>
      <c r="F131" s="411">
        <v>0</v>
      </c>
      <c r="G131" s="411"/>
      <c r="H131" s="411">
        <v>0</v>
      </c>
      <c r="I131" s="411">
        <v>0</v>
      </c>
      <c r="J131" s="412" t="s">
        <v>60</v>
      </c>
      <c r="K131" s="415" t="s">
        <v>60</v>
      </c>
      <c r="L131" s="411">
        <v>0</v>
      </c>
      <c r="M131" s="411">
        <v>0</v>
      </c>
      <c r="N131" s="411">
        <v>0</v>
      </c>
      <c r="O131" s="411">
        <v>0</v>
      </c>
      <c r="P131" s="411">
        <v>0</v>
      </c>
      <c r="Q131" s="411">
        <v>0</v>
      </c>
      <c r="R131" s="411">
        <v>0</v>
      </c>
      <c r="S131" s="411">
        <v>0</v>
      </c>
      <c r="T131" s="411"/>
      <c r="U131" s="411"/>
      <c r="V131" s="411">
        <f>_xlfn.IFNA(VLOOKUP(A131,[4]進出口值表查詢結果!$C$11:$F$68,4,0),-[5]整車!$B$22)</f>
        <v>0</v>
      </c>
      <c r="W131" s="411">
        <f>_xlfn.IFNA(VLOOKUP(A131,[4]進出口值表查詢結果!$C$11:$F$68,3,0),-[5]整車!$B$22)</f>
        <v>0</v>
      </c>
      <c r="X131" s="411">
        <f>_xlfn.IFNA(VLOOKUP(A131,[6]進出口值表查詢結果!$C$11:$F$68,4,0),-[5]整車!$B$22)</f>
        <v>0</v>
      </c>
      <c r="Y131" s="411">
        <f>_xlfn.IFNA(VLOOKUP(A131,[6]進出口值表查詢結果!$C$11:$F$68,3,0),-[5]整車!$B$22)</f>
        <v>0</v>
      </c>
      <c r="Z131" s="405">
        <f t="shared" si="22"/>
        <v>0</v>
      </c>
      <c r="AA131" s="405">
        <f t="shared" si="23"/>
        <v>0</v>
      </c>
    </row>
    <row r="132" spans="1:27">
      <c r="A132" s="448" t="s">
        <v>322</v>
      </c>
      <c r="B132" s="411"/>
      <c r="C132" s="411"/>
      <c r="D132" s="411"/>
      <c r="E132" s="411"/>
      <c r="F132" s="411">
        <v>0</v>
      </c>
      <c r="G132" s="411"/>
      <c r="H132" s="411">
        <v>0</v>
      </c>
      <c r="I132" s="411">
        <v>0</v>
      </c>
      <c r="J132" s="412" t="s">
        <v>60</v>
      </c>
      <c r="K132" s="415" t="s">
        <v>60</v>
      </c>
      <c r="L132" s="411">
        <v>0</v>
      </c>
      <c r="M132" s="411">
        <v>0</v>
      </c>
      <c r="N132" s="411">
        <v>0</v>
      </c>
      <c r="O132" s="411">
        <v>0</v>
      </c>
      <c r="P132" s="411">
        <v>0</v>
      </c>
      <c r="Q132" s="411">
        <v>0</v>
      </c>
      <c r="R132" s="411">
        <v>0</v>
      </c>
      <c r="S132" s="411">
        <v>0</v>
      </c>
      <c r="T132" s="411"/>
      <c r="U132" s="411"/>
      <c r="V132" s="411">
        <f>_xlfn.IFNA(VLOOKUP(A132,[4]進出口值表查詢結果!$C$11:$F$68,4,0),-[5]整車!$B$22)</f>
        <v>0</v>
      </c>
      <c r="W132" s="411">
        <f>_xlfn.IFNA(VLOOKUP(A132,[4]進出口值表查詢結果!$C$11:$F$68,3,0),-[5]整車!$B$22)</f>
        <v>0</v>
      </c>
      <c r="X132" s="411">
        <f>_xlfn.IFNA(VLOOKUP(A132,[6]進出口值表查詢結果!$C$11:$F$68,4,0),-[5]整車!$B$22)</f>
        <v>0</v>
      </c>
      <c r="Y132" s="411">
        <f>_xlfn.IFNA(VLOOKUP(A132,[6]進出口值表查詢結果!$C$11:$F$68,3,0),-[5]整車!$B$22)</f>
        <v>0</v>
      </c>
      <c r="Z132" s="405">
        <f t="shared" si="22"/>
        <v>0</v>
      </c>
      <c r="AA132" s="405">
        <f t="shared" si="23"/>
        <v>0</v>
      </c>
    </row>
    <row r="133" spans="1:27">
      <c r="A133" s="448" t="s">
        <v>323</v>
      </c>
      <c r="B133" s="411"/>
      <c r="C133" s="411"/>
      <c r="D133" s="411"/>
      <c r="E133" s="411"/>
      <c r="F133" s="411">
        <v>0</v>
      </c>
      <c r="G133" s="411"/>
      <c r="H133" s="411">
        <v>0</v>
      </c>
      <c r="I133" s="411">
        <v>0</v>
      </c>
      <c r="J133" s="412" t="s">
        <v>60</v>
      </c>
      <c r="K133" s="415" t="s">
        <v>60</v>
      </c>
      <c r="L133" s="411">
        <v>0</v>
      </c>
      <c r="M133" s="411">
        <v>0</v>
      </c>
      <c r="N133" s="411">
        <v>0</v>
      </c>
      <c r="O133" s="411">
        <v>0</v>
      </c>
      <c r="P133" s="411">
        <v>0</v>
      </c>
      <c r="Q133" s="411">
        <v>0</v>
      </c>
      <c r="R133" s="411">
        <v>0</v>
      </c>
      <c r="S133" s="411">
        <v>0</v>
      </c>
      <c r="T133" s="411"/>
      <c r="U133" s="411"/>
      <c r="V133" s="411">
        <f>_xlfn.IFNA(VLOOKUP(A133,[4]進出口值表查詢結果!$C$11:$F$68,4,0),-[5]整車!$B$22)</f>
        <v>0</v>
      </c>
      <c r="W133" s="411">
        <f>_xlfn.IFNA(VLOOKUP(A133,[4]進出口值表查詢結果!$C$11:$F$68,3,0),-[5]整車!$B$22)</f>
        <v>0</v>
      </c>
      <c r="X133" s="411">
        <f>_xlfn.IFNA(VLOOKUP(A133,[6]進出口值表查詢結果!$C$11:$F$68,4,0),-[5]整車!$B$22)</f>
        <v>0</v>
      </c>
      <c r="Y133" s="411">
        <f>_xlfn.IFNA(VLOOKUP(A133,[6]進出口值表查詢結果!$C$11:$F$68,3,0),-[5]整車!$B$22)</f>
        <v>0</v>
      </c>
      <c r="Z133" s="405">
        <f t="shared" si="22"/>
        <v>0</v>
      </c>
      <c r="AA133" s="405">
        <f t="shared" si="23"/>
        <v>0</v>
      </c>
    </row>
    <row r="134" spans="1:27">
      <c r="A134" s="448" t="s">
        <v>324</v>
      </c>
      <c r="B134" s="411"/>
      <c r="C134" s="411"/>
      <c r="D134" s="411"/>
      <c r="E134" s="411"/>
      <c r="F134" s="411">
        <v>0</v>
      </c>
      <c r="G134" s="411"/>
      <c r="H134" s="411">
        <v>0</v>
      </c>
      <c r="I134" s="411">
        <v>0</v>
      </c>
      <c r="J134" s="412" t="s">
        <v>60</v>
      </c>
      <c r="K134" s="435" t="s">
        <v>60</v>
      </c>
      <c r="L134" s="411">
        <v>0</v>
      </c>
      <c r="M134" s="411">
        <v>0</v>
      </c>
      <c r="N134" s="411">
        <v>0</v>
      </c>
      <c r="O134" s="411">
        <v>0</v>
      </c>
      <c r="P134" s="411">
        <v>0</v>
      </c>
      <c r="Q134" s="411">
        <v>0</v>
      </c>
      <c r="R134" s="411">
        <v>0</v>
      </c>
      <c r="S134" s="411">
        <v>0</v>
      </c>
      <c r="T134" s="411"/>
      <c r="U134" s="411"/>
      <c r="V134" s="411">
        <f>_xlfn.IFNA(VLOOKUP(A134,[4]進出口值表查詢結果!$C$11:$F$68,4,0),-[5]整車!$B$22)</f>
        <v>0</v>
      </c>
      <c r="W134" s="411">
        <f>_xlfn.IFNA(VLOOKUP(A134,[4]進出口值表查詢結果!$C$11:$F$68,3,0),-[5]整車!$B$22)</f>
        <v>0</v>
      </c>
      <c r="X134" s="411">
        <f>_xlfn.IFNA(VLOOKUP(A134,[6]進出口值表查詢結果!$C$11:$F$68,4,0),-[5]整車!$B$22)</f>
        <v>0</v>
      </c>
      <c r="Y134" s="411">
        <f>_xlfn.IFNA(VLOOKUP(A134,[6]進出口值表查詢結果!$C$11:$F$68,3,0),-[5]整車!$B$22)</f>
        <v>0</v>
      </c>
      <c r="Z134" s="405">
        <f t="shared" si="22"/>
        <v>0</v>
      </c>
      <c r="AA134" s="405">
        <f t="shared" si="23"/>
        <v>0</v>
      </c>
    </row>
    <row r="135" spans="1:27">
      <c r="A135" s="414"/>
      <c r="B135" s="411"/>
      <c r="C135" s="411"/>
      <c r="D135" s="411"/>
      <c r="E135" s="411"/>
      <c r="F135" s="411"/>
      <c r="G135" s="411"/>
      <c r="H135" s="411"/>
      <c r="I135" s="411"/>
      <c r="J135" s="412"/>
      <c r="K135" s="413"/>
      <c r="L135" s="411"/>
      <c r="M135" s="411"/>
      <c r="N135" s="411"/>
      <c r="O135" s="411"/>
      <c r="P135" s="411"/>
      <c r="Q135" s="411"/>
      <c r="R135" s="411"/>
      <c r="S135" s="411"/>
      <c r="T135" s="411"/>
      <c r="U135" s="411"/>
      <c r="V135" s="411"/>
      <c r="W135" s="411"/>
      <c r="X135" s="411"/>
      <c r="Y135" s="411"/>
      <c r="Z135" s="405"/>
      <c r="AA135" s="405"/>
    </row>
    <row r="136" spans="1:27">
      <c r="A136" s="431" t="s">
        <v>145</v>
      </c>
      <c r="B136" s="432">
        <f t="shared" ref="B136:M136" si="24">SUM(B137:B150)</f>
        <v>391</v>
      </c>
      <c r="C136" s="432">
        <f t="shared" si="24"/>
        <v>601333</v>
      </c>
      <c r="D136" s="432">
        <f t="shared" si="24"/>
        <v>195</v>
      </c>
      <c r="E136" s="432">
        <f t="shared" si="24"/>
        <v>250399</v>
      </c>
      <c r="F136" s="432">
        <f t="shared" si="24"/>
        <v>714</v>
      </c>
      <c r="G136" s="432">
        <f t="shared" si="24"/>
        <v>599636</v>
      </c>
      <c r="H136" s="432">
        <f t="shared" si="24"/>
        <v>1024</v>
      </c>
      <c r="I136" s="432">
        <f t="shared" si="24"/>
        <v>190726</v>
      </c>
      <c r="J136" s="433">
        <f t="shared" si="24"/>
        <v>1213</v>
      </c>
      <c r="K136" s="434">
        <f t="shared" si="24"/>
        <v>446610</v>
      </c>
      <c r="L136" s="432">
        <f t="shared" si="24"/>
        <v>517</v>
      </c>
      <c r="M136" s="432">
        <f t="shared" si="24"/>
        <v>504422</v>
      </c>
      <c r="N136" s="432">
        <f>SUM(N137:N150)</f>
        <v>1680</v>
      </c>
      <c r="O136" s="432">
        <f>SUM(O137:O150)</f>
        <v>1034923</v>
      </c>
      <c r="P136" s="432">
        <f>SUM(P137:P149)</f>
        <v>1055</v>
      </c>
      <c r="Q136" s="432">
        <f>SUM(Q137:Q149)</f>
        <v>1060011</v>
      </c>
      <c r="R136" s="432">
        <f t="shared" ref="R136:Y136" si="25">SUM(R137:R150)</f>
        <v>1394</v>
      </c>
      <c r="S136" s="432">
        <f t="shared" si="25"/>
        <v>1001461</v>
      </c>
      <c r="T136" s="432">
        <f t="shared" si="25"/>
        <v>2073</v>
      </c>
      <c r="U136" s="432">
        <f t="shared" si="25"/>
        <v>1401961</v>
      </c>
      <c r="V136" s="432">
        <f>SUM(V137:V150)</f>
        <v>747</v>
      </c>
      <c r="W136" s="432">
        <f>SUM(W137:W150)</f>
        <v>547003</v>
      </c>
      <c r="X136" s="432">
        <f t="shared" si="25"/>
        <v>325</v>
      </c>
      <c r="Y136" s="432">
        <f t="shared" si="25"/>
        <v>457417</v>
      </c>
      <c r="Z136" s="418">
        <f t="shared" ref="Z136:Z167" si="26">SUM(B136,D136,F136,H136,J136,L136,N136,P136,R136,T136,V136,X136)</f>
        <v>11328</v>
      </c>
      <c r="AA136" s="418">
        <f t="shared" ref="AA136:AA167" si="27">SUM(C136,E136,G136,I136,K136,M136,O136,Q136,S136,U136,W136,Y136)</f>
        <v>8095902</v>
      </c>
    </row>
    <row r="137" spans="1:27">
      <c r="A137" s="453" t="s">
        <v>223</v>
      </c>
      <c r="B137" s="411">
        <v>7</v>
      </c>
      <c r="C137" s="411">
        <v>13229</v>
      </c>
      <c r="D137" s="411">
        <v>3</v>
      </c>
      <c r="E137" s="411">
        <v>2398</v>
      </c>
      <c r="F137" s="411">
        <v>74</v>
      </c>
      <c r="G137" s="411">
        <v>133887</v>
      </c>
      <c r="H137" s="411">
        <v>96</v>
      </c>
      <c r="I137" s="411">
        <v>168964</v>
      </c>
      <c r="J137" s="412"/>
      <c r="K137" s="413"/>
      <c r="L137" s="411">
        <v>198</v>
      </c>
      <c r="M137" s="411">
        <v>94268</v>
      </c>
      <c r="N137" s="411">
        <v>356</v>
      </c>
      <c r="O137" s="411">
        <v>453280</v>
      </c>
      <c r="P137" s="411">
        <v>591</v>
      </c>
      <c r="Q137" s="411">
        <v>597186</v>
      </c>
      <c r="R137" s="411">
        <v>397</v>
      </c>
      <c r="S137" s="411">
        <v>182473</v>
      </c>
      <c r="T137" s="411">
        <v>225</v>
      </c>
      <c r="U137" s="411">
        <v>224164</v>
      </c>
      <c r="V137" s="411">
        <f>_xlfn.IFNA(VLOOKUP(A137,[4]進出口值表查詢結果!$C$11:$F$68,4,0),-[5]整車!$B$22)</f>
        <v>121</v>
      </c>
      <c r="W137" s="411">
        <f>_xlfn.IFNA(VLOOKUP(A137,[4]進出口值表查詢結果!$C$11:$F$68,3,0),-[5]整車!$B$22)</f>
        <v>63501</v>
      </c>
      <c r="X137" s="411">
        <f>_xlfn.IFNA(VLOOKUP(A137,[6]進出口值表查詢結果!$C$11:$F$68,4,0),-[5]整車!$B$22)</f>
        <v>123</v>
      </c>
      <c r="Y137" s="411">
        <f>_xlfn.IFNA(VLOOKUP(A137,[6]進出口值表查詢結果!$C$11:$F$68,3,0),-[5]整車!$B$22)</f>
        <v>156263</v>
      </c>
      <c r="Z137" s="405">
        <f t="shared" si="26"/>
        <v>2191</v>
      </c>
      <c r="AA137" s="405">
        <f t="shared" si="27"/>
        <v>2089613</v>
      </c>
    </row>
    <row r="138" spans="1:27">
      <c r="A138" s="448" t="s">
        <v>167</v>
      </c>
      <c r="B138" s="411"/>
      <c r="C138" s="411"/>
      <c r="D138" s="411"/>
      <c r="E138" s="411"/>
      <c r="F138" s="411">
        <v>0</v>
      </c>
      <c r="G138" s="411"/>
      <c r="H138" s="411">
        <v>0</v>
      </c>
      <c r="I138" s="411">
        <v>0</v>
      </c>
      <c r="J138" s="412"/>
      <c r="K138" s="413"/>
      <c r="L138" s="411">
        <v>0</v>
      </c>
      <c r="M138" s="411">
        <v>0</v>
      </c>
      <c r="N138" s="411">
        <v>123</v>
      </c>
      <c r="O138" s="411">
        <v>61292</v>
      </c>
      <c r="P138" s="411">
        <v>0</v>
      </c>
      <c r="Q138" s="411">
        <v>0</v>
      </c>
      <c r="R138" s="411">
        <v>0</v>
      </c>
      <c r="S138" s="411">
        <v>0</v>
      </c>
      <c r="T138" s="411">
        <v>84</v>
      </c>
      <c r="U138" s="411">
        <v>105611</v>
      </c>
      <c r="V138" s="411">
        <f>_xlfn.IFNA(VLOOKUP(A138,[4]進出口值表查詢結果!$C$11:$F$68,4,0),-[5]整車!$B$22)</f>
        <v>68</v>
      </c>
      <c r="W138" s="411">
        <f>_xlfn.IFNA(VLOOKUP(A138,[4]進出口值表查詢結果!$C$11:$F$68,3,0),-[5]整車!$B$22)</f>
        <v>64056</v>
      </c>
      <c r="X138" s="411">
        <f>_xlfn.IFNA(VLOOKUP(A138,[6]進出口值表查詢結果!$C$11:$F$68,4,0),-[5]整車!$B$22)</f>
        <v>0</v>
      </c>
      <c r="Y138" s="411">
        <f>_xlfn.IFNA(VLOOKUP(A138,[6]進出口值表查詢結果!$C$11:$F$68,3,0),-[5]整車!$B$22)</f>
        <v>0</v>
      </c>
      <c r="Z138" s="405">
        <f t="shared" si="26"/>
        <v>275</v>
      </c>
      <c r="AA138" s="405">
        <f t="shared" si="27"/>
        <v>230959</v>
      </c>
    </row>
    <row r="139" spans="1:27">
      <c r="A139" s="448" t="s">
        <v>195</v>
      </c>
      <c r="B139" s="411">
        <v>280</v>
      </c>
      <c r="C139" s="411">
        <v>479573</v>
      </c>
      <c r="D139" s="411">
        <v>172</v>
      </c>
      <c r="E139" s="411">
        <v>228214</v>
      </c>
      <c r="F139" s="411">
        <v>600</v>
      </c>
      <c r="G139" s="411">
        <v>459244</v>
      </c>
      <c r="H139" s="411">
        <v>0</v>
      </c>
      <c r="I139" s="411">
        <v>0</v>
      </c>
      <c r="J139" s="412">
        <v>1213</v>
      </c>
      <c r="K139" s="413">
        <v>446610</v>
      </c>
      <c r="L139" s="411">
        <v>165</v>
      </c>
      <c r="M139" s="411">
        <v>220979</v>
      </c>
      <c r="N139" s="411">
        <v>339</v>
      </c>
      <c r="O139" s="411">
        <v>507640</v>
      </c>
      <c r="P139" s="411">
        <v>425</v>
      </c>
      <c r="Q139" s="411">
        <v>413046</v>
      </c>
      <c r="R139" s="411">
        <v>740</v>
      </c>
      <c r="S139" s="411">
        <v>667120</v>
      </c>
      <c r="T139" s="411">
        <v>1704</v>
      </c>
      <c r="U139" s="411">
        <v>1071291</v>
      </c>
      <c r="V139" s="411">
        <f>_xlfn.IFNA(VLOOKUP(A139,[4]進出口值表查詢結果!$C$11:$F$68,4,0),-[5]整車!$B$22)</f>
        <v>552</v>
      </c>
      <c r="W139" s="411">
        <f>_xlfn.IFNA(VLOOKUP(A139,[4]進出口值表查詢結果!$C$11:$F$68,3,0),-[5]整車!$B$22)</f>
        <v>411890</v>
      </c>
      <c r="X139" s="411">
        <f>_xlfn.IFNA(VLOOKUP(A139,[6]進出口值表查詢結果!$C$11:$F$68,4,0),-[5]整車!$B$22)</f>
        <v>108</v>
      </c>
      <c r="Y139" s="411">
        <f>_xlfn.IFNA(VLOOKUP(A139,[6]進出口值表查詢結果!$C$11:$F$68,3,0),-[5]整車!$B$22)</f>
        <v>192722</v>
      </c>
      <c r="Z139" s="405">
        <f t="shared" si="26"/>
        <v>6298</v>
      </c>
      <c r="AA139" s="405">
        <f t="shared" si="27"/>
        <v>5098329</v>
      </c>
    </row>
    <row r="140" spans="1:27">
      <c r="A140" s="448" t="s">
        <v>325</v>
      </c>
      <c r="B140" s="411"/>
      <c r="C140" s="411"/>
      <c r="D140" s="411"/>
      <c r="E140" s="411"/>
      <c r="F140" s="411">
        <v>0</v>
      </c>
      <c r="G140" s="411"/>
      <c r="H140" s="411">
        <v>0</v>
      </c>
      <c r="I140" s="411">
        <v>0</v>
      </c>
      <c r="J140" s="412"/>
      <c r="K140" s="413"/>
      <c r="L140" s="411">
        <v>0</v>
      </c>
      <c r="M140" s="411">
        <v>0</v>
      </c>
      <c r="N140" s="411">
        <v>0</v>
      </c>
      <c r="O140" s="411">
        <v>0</v>
      </c>
      <c r="P140" s="411">
        <v>0</v>
      </c>
      <c r="Q140" s="411">
        <v>0</v>
      </c>
      <c r="R140" s="411">
        <v>0</v>
      </c>
      <c r="S140" s="411">
        <v>0</v>
      </c>
      <c r="T140" s="411"/>
      <c r="U140" s="411"/>
      <c r="V140" s="411">
        <f>_xlfn.IFNA(VLOOKUP(A140,[4]進出口值表查詢結果!$C$11:$F$68,4,0),-[5]整車!$B$22)</f>
        <v>0</v>
      </c>
      <c r="W140" s="411">
        <f>_xlfn.IFNA(VLOOKUP(A140,[4]進出口值表查詢結果!$C$11:$F$68,3,0),-[5]整車!$B$22)</f>
        <v>0</v>
      </c>
      <c r="X140" s="411">
        <f>_xlfn.IFNA(VLOOKUP(A140,[6]進出口值表查詢結果!$C$11:$F$68,4,0),-[5]整車!$B$22)</f>
        <v>0</v>
      </c>
      <c r="Y140" s="411">
        <f>_xlfn.IFNA(VLOOKUP(A140,[6]進出口值表查詢結果!$C$11:$F$68,3,0),-[5]整車!$B$22)</f>
        <v>0</v>
      </c>
      <c r="Z140" s="405">
        <f t="shared" si="26"/>
        <v>0</v>
      </c>
      <c r="AA140" s="405">
        <f t="shared" si="27"/>
        <v>0</v>
      </c>
    </row>
    <row r="141" spans="1:27">
      <c r="A141" s="448" t="s">
        <v>326</v>
      </c>
      <c r="B141" s="411"/>
      <c r="C141" s="411"/>
      <c r="D141" s="411"/>
      <c r="E141" s="411"/>
      <c r="F141" s="411">
        <v>0</v>
      </c>
      <c r="G141" s="411"/>
      <c r="H141" s="411">
        <v>0</v>
      </c>
      <c r="I141" s="411">
        <v>0</v>
      </c>
      <c r="J141" s="412"/>
      <c r="K141" s="413"/>
      <c r="L141" s="411">
        <v>0</v>
      </c>
      <c r="M141" s="411">
        <v>0</v>
      </c>
      <c r="N141" s="411">
        <v>0</v>
      </c>
      <c r="O141" s="411">
        <v>0</v>
      </c>
      <c r="P141" s="411">
        <v>0</v>
      </c>
      <c r="Q141" s="411">
        <v>0</v>
      </c>
      <c r="R141" s="411">
        <v>0</v>
      </c>
      <c r="S141" s="411">
        <v>0</v>
      </c>
      <c r="T141" s="411"/>
      <c r="U141" s="411"/>
      <c r="V141" s="411">
        <f>_xlfn.IFNA(VLOOKUP(A141,[4]進出口值表查詢結果!$C$11:$F$68,4,0),-[5]整車!$B$22)</f>
        <v>0</v>
      </c>
      <c r="W141" s="411">
        <f>_xlfn.IFNA(VLOOKUP(A141,[4]進出口值表查詢結果!$C$11:$F$68,3,0),-[5]整車!$B$22)</f>
        <v>0</v>
      </c>
      <c r="X141" s="411">
        <f>_xlfn.IFNA(VLOOKUP(A141,[6]進出口值表查詢結果!$C$11:$F$68,4,0),-[5]整車!$B$22)</f>
        <v>0</v>
      </c>
      <c r="Y141" s="411">
        <f>_xlfn.IFNA(VLOOKUP(A141,[6]進出口值表查詢結果!$C$11:$F$68,3,0),-[5]整車!$B$22)</f>
        <v>0</v>
      </c>
      <c r="Z141" s="405">
        <f t="shared" si="26"/>
        <v>0</v>
      </c>
      <c r="AA141" s="405">
        <f t="shared" si="27"/>
        <v>0</v>
      </c>
    </row>
    <row r="142" spans="1:27">
      <c r="A142" s="448" t="s">
        <v>327</v>
      </c>
      <c r="B142" s="411">
        <v>77</v>
      </c>
      <c r="C142" s="411">
        <v>80740</v>
      </c>
      <c r="D142" s="411"/>
      <c r="E142" s="411"/>
      <c r="F142" s="411">
        <v>40</v>
      </c>
      <c r="G142" s="411">
        <v>6505</v>
      </c>
      <c r="H142" s="411">
        <v>0</v>
      </c>
      <c r="I142" s="411">
        <v>0</v>
      </c>
      <c r="J142" s="412"/>
      <c r="K142" s="413"/>
      <c r="L142" s="411">
        <v>101</v>
      </c>
      <c r="M142" s="411">
        <v>139946</v>
      </c>
      <c r="N142" s="411">
        <v>0</v>
      </c>
      <c r="O142" s="411">
        <v>0</v>
      </c>
      <c r="P142" s="411">
        <v>0</v>
      </c>
      <c r="Q142" s="411">
        <v>0</v>
      </c>
      <c r="R142" s="411">
        <v>0</v>
      </c>
      <c r="S142" s="411">
        <v>0</v>
      </c>
      <c r="T142" s="411"/>
      <c r="U142" s="411"/>
      <c r="V142" s="411">
        <f>_xlfn.IFNA(VLOOKUP(A142,[4]進出口值表查詢結果!$C$11:$F$68,4,0),-[5]整車!$B$22)</f>
        <v>0</v>
      </c>
      <c r="W142" s="411">
        <f>_xlfn.IFNA(VLOOKUP(A142,[4]進出口值表查詢結果!$C$11:$F$68,3,0),-[5]整車!$B$22)</f>
        <v>0</v>
      </c>
      <c r="X142" s="411">
        <f>_xlfn.IFNA(VLOOKUP(A142,[6]進出口值表查詢結果!$C$11:$F$68,4,0),-[5]整車!$B$22)</f>
        <v>94</v>
      </c>
      <c r="Y142" s="411">
        <f>_xlfn.IFNA(VLOOKUP(A142,[6]進出口值表查詢結果!$C$11:$F$68,3,0),-[5]整車!$B$22)</f>
        <v>108432</v>
      </c>
      <c r="Z142" s="405">
        <f t="shared" si="26"/>
        <v>312</v>
      </c>
      <c r="AA142" s="405">
        <f t="shared" si="27"/>
        <v>335623</v>
      </c>
    </row>
    <row r="143" spans="1:27">
      <c r="A143" s="448" t="s">
        <v>328</v>
      </c>
      <c r="B143" s="411"/>
      <c r="C143" s="411"/>
      <c r="D143" s="411"/>
      <c r="E143" s="411"/>
      <c r="F143" s="411">
        <v>0</v>
      </c>
      <c r="G143" s="411"/>
      <c r="H143" s="411">
        <v>0</v>
      </c>
      <c r="I143" s="411">
        <v>0</v>
      </c>
      <c r="J143" s="412"/>
      <c r="K143" s="413"/>
      <c r="L143" s="411">
        <v>25</v>
      </c>
      <c r="M143" s="411">
        <v>25972</v>
      </c>
      <c r="N143" s="411">
        <v>2</v>
      </c>
      <c r="O143" s="411">
        <v>3989</v>
      </c>
      <c r="P143" s="411">
        <v>6</v>
      </c>
      <c r="Q143" s="411">
        <v>5727</v>
      </c>
      <c r="R143" s="411">
        <v>5</v>
      </c>
      <c r="S143" s="411">
        <v>5843</v>
      </c>
      <c r="T143" s="411"/>
      <c r="U143" s="411"/>
      <c r="V143" s="411">
        <f>_xlfn.IFNA(VLOOKUP(A143,[4]進出口值表查詢結果!$C$11:$F$68,4,0),-[5]整車!$B$22)</f>
        <v>6</v>
      </c>
      <c r="W143" s="411">
        <f>_xlfn.IFNA(VLOOKUP(A143,[4]進出口值表查詢結果!$C$11:$F$68,3,0),-[5]整車!$B$22)</f>
        <v>7556</v>
      </c>
      <c r="X143" s="411">
        <f>_xlfn.IFNA(VLOOKUP(A143,[6]進出口值表查詢結果!$C$11:$F$68,4,0),-[5]整車!$B$22)</f>
        <v>0</v>
      </c>
      <c r="Y143" s="411">
        <f>_xlfn.IFNA(VLOOKUP(A143,[6]進出口值表查詢結果!$C$11:$F$68,3,0),-[5]整車!$B$22)</f>
        <v>0</v>
      </c>
      <c r="Z143" s="405">
        <f t="shared" si="26"/>
        <v>44</v>
      </c>
      <c r="AA143" s="405">
        <f t="shared" si="27"/>
        <v>49087</v>
      </c>
    </row>
    <row r="144" spans="1:27">
      <c r="A144" s="448" t="s">
        <v>329</v>
      </c>
      <c r="B144" s="411"/>
      <c r="C144" s="411"/>
      <c r="D144" s="411"/>
      <c r="E144" s="411"/>
      <c r="F144" s="411">
        <v>0</v>
      </c>
      <c r="G144" s="411"/>
      <c r="H144" s="411">
        <v>0</v>
      </c>
      <c r="I144" s="411">
        <v>0</v>
      </c>
      <c r="J144" s="412"/>
      <c r="K144" s="413"/>
      <c r="L144" s="411">
        <v>0</v>
      </c>
      <c r="M144" s="411">
        <v>0</v>
      </c>
      <c r="N144" s="411">
        <v>0</v>
      </c>
      <c r="O144" s="411">
        <v>0</v>
      </c>
      <c r="P144" s="411">
        <v>0</v>
      </c>
      <c r="Q144" s="411">
        <v>0</v>
      </c>
      <c r="R144" s="411">
        <v>0</v>
      </c>
      <c r="S144" s="411">
        <v>0</v>
      </c>
      <c r="T144" s="411"/>
      <c r="U144" s="411"/>
      <c r="V144" s="411">
        <f>_xlfn.IFNA(VLOOKUP(A144,[4]進出口值表查詢結果!$C$11:$F$68,4,0),-[5]整車!$B$22)</f>
        <v>0</v>
      </c>
      <c r="W144" s="411">
        <f>_xlfn.IFNA(VLOOKUP(A144,[4]進出口值表查詢結果!$C$11:$F$68,3,0),-[5]整車!$B$22)</f>
        <v>0</v>
      </c>
      <c r="X144" s="411">
        <f>_xlfn.IFNA(VLOOKUP(A144,[6]進出口值表查詢結果!$C$11:$F$68,4,0),-[5]整車!$B$22)</f>
        <v>0</v>
      </c>
      <c r="Y144" s="411">
        <f>_xlfn.IFNA(VLOOKUP(A144,[6]進出口值表查詢結果!$C$11:$F$68,3,0),-[5]整車!$B$22)</f>
        <v>0</v>
      </c>
      <c r="Z144" s="405">
        <f t="shared" si="26"/>
        <v>0</v>
      </c>
      <c r="AA144" s="405">
        <f t="shared" si="27"/>
        <v>0</v>
      </c>
    </row>
    <row r="145" spans="1:27">
      <c r="A145" s="448" t="s">
        <v>330</v>
      </c>
      <c r="B145" s="411"/>
      <c r="C145" s="411"/>
      <c r="D145" s="411">
        <v>20</v>
      </c>
      <c r="E145" s="411">
        <v>19787</v>
      </c>
      <c r="F145" s="411">
        <v>0</v>
      </c>
      <c r="G145" s="411"/>
      <c r="H145" s="411">
        <v>0</v>
      </c>
      <c r="I145" s="411">
        <v>0</v>
      </c>
      <c r="J145" s="412"/>
      <c r="K145" s="413"/>
      <c r="L145" s="411">
        <v>0</v>
      </c>
      <c r="M145" s="411">
        <v>0</v>
      </c>
      <c r="N145" s="411">
        <v>0</v>
      </c>
      <c r="O145" s="411">
        <v>0</v>
      </c>
      <c r="P145" s="411">
        <v>0</v>
      </c>
      <c r="Q145" s="411">
        <v>0</v>
      </c>
      <c r="R145" s="411">
        <v>0</v>
      </c>
      <c r="S145" s="411">
        <v>0</v>
      </c>
      <c r="T145" s="411"/>
      <c r="U145" s="411"/>
      <c r="V145" s="411">
        <f>_xlfn.IFNA(VLOOKUP(A145,[4]進出口值表查詢結果!$C$11:$F$68,4,0),-[5]整車!$B$22)</f>
        <v>0</v>
      </c>
      <c r="W145" s="411">
        <f>_xlfn.IFNA(VLOOKUP(A145,[4]進出口值表查詢結果!$C$11:$F$68,3,0),-[5]整車!$B$22)</f>
        <v>0</v>
      </c>
      <c r="X145" s="411">
        <f>_xlfn.IFNA(VLOOKUP(A145,[6]進出口值表查詢結果!$C$11:$F$68,4,0),-[5]整車!$B$22)</f>
        <v>0</v>
      </c>
      <c r="Y145" s="411">
        <f>_xlfn.IFNA(VLOOKUP(A145,[6]進出口值表查詢結果!$C$11:$F$68,3,0),-[5]整車!$B$22)</f>
        <v>0</v>
      </c>
      <c r="Z145" s="405">
        <f t="shared" si="26"/>
        <v>20</v>
      </c>
      <c r="AA145" s="405">
        <f t="shared" si="27"/>
        <v>19787</v>
      </c>
    </row>
    <row r="146" spans="1:27">
      <c r="A146" s="448" t="s">
        <v>331</v>
      </c>
      <c r="B146" s="411"/>
      <c r="C146" s="411"/>
      <c r="D146" s="411"/>
      <c r="E146" s="411"/>
      <c r="F146" s="411">
        <v>0</v>
      </c>
      <c r="G146" s="411"/>
      <c r="H146" s="411">
        <v>0</v>
      </c>
      <c r="I146" s="411">
        <v>0</v>
      </c>
      <c r="J146" s="412"/>
      <c r="K146" s="413"/>
      <c r="L146" s="411">
        <v>0</v>
      </c>
      <c r="M146" s="411">
        <v>0</v>
      </c>
      <c r="N146" s="411">
        <v>0</v>
      </c>
      <c r="O146" s="411">
        <v>0</v>
      </c>
      <c r="P146" s="411">
        <v>0</v>
      </c>
      <c r="Q146" s="411">
        <v>0</v>
      </c>
      <c r="R146" s="411">
        <v>0</v>
      </c>
      <c r="S146" s="411">
        <v>0</v>
      </c>
      <c r="T146" s="411"/>
      <c r="U146" s="411"/>
      <c r="V146" s="411">
        <f>_xlfn.IFNA(VLOOKUP(A146,[4]進出口值表查詢結果!$C$11:$F$68,4,0),-[5]整車!$B$22)</f>
        <v>0</v>
      </c>
      <c r="W146" s="411">
        <f>_xlfn.IFNA(VLOOKUP(A146,[4]進出口值表查詢結果!$C$11:$F$68,3,0),-[5]整車!$B$22)</f>
        <v>0</v>
      </c>
      <c r="X146" s="411">
        <f>_xlfn.IFNA(VLOOKUP(A146,[6]進出口值表查詢結果!$C$11:$F$68,4,0),-[5]整車!$B$22)</f>
        <v>0</v>
      </c>
      <c r="Y146" s="411">
        <f>_xlfn.IFNA(VLOOKUP(A146,[6]進出口值表查詢結果!$C$11:$F$68,3,0),-[5]整車!$B$22)</f>
        <v>0</v>
      </c>
      <c r="Z146" s="405">
        <f t="shared" si="26"/>
        <v>0</v>
      </c>
      <c r="AA146" s="405">
        <f t="shared" si="27"/>
        <v>0</v>
      </c>
    </row>
    <row r="147" spans="1:27">
      <c r="A147" s="448" t="s">
        <v>332</v>
      </c>
      <c r="B147" s="411">
        <v>27</v>
      </c>
      <c r="C147" s="411">
        <v>27791</v>
      </c>
      <c r="D147" s="411"/>
      <c r="E147" s="411"/>
      <c r="F147" s="411">
        <v>0</v>
      </c>
      <c r="G147" s="411"/>
      <c r="H147" s="411">
        <v>16</v>
      </c>
      <c r="I147" s="411">
        <v>12686</v>
      </c>
      <c r="J147" s="412"/>
      <c r="K147" s="413"/>
      <c r="L147" s="411">
        <v>28</v>
      </c>
      <c r="M147" s="411">
        <v>23257</v>
      </c>
      <c r="N147" s="411">
        <v>0</v>
      </c>
      <c r="O147" s="411">
        <v>0</v>
      </c>
      <c r="P147" s="411">
        <v>33</v>
      </c>
      <c r="Q147" s="411">
        <v>44052</v>
      </c>
      <c r="R147" s="411">
        <v>252</v>
      </c>
      <c r="S147" s="411">
        <v>146025</v>
      </c>
      <c r="T147" s="411"/>
      <c r="U147" s="411"/>
      <c r="V147" s="411">
        <f>_xlfn.IFNA(VLOOKUP(A147,[4]進出口值表查詢結果!$C$11:$F$68,4,0),-[5]整車!$B$22)</f>
        <v>0</v>
      </c>
      <c r="W147" s="411">
        <f>_xlfn.IFNA(VLOOKUP(A147,[4]進出口值表查詢結果!$C$11:$F$68,3,0),-[5]整車!$B$22)</f>
        <v>0</v>
      </c>
      <c r="X147" s="411">
        <f>_xlfn.IFNA(VLOOKUP(A147,[6]進出口值表查詢結果!$C$11:$F$68,4,0),-[5]整車!$B$22)</f>
        <v>0</v>
      </c>
      <c r="Y147" s="411">
        <f>_xlfn.IFNA(VLOOKUP(A147,[6]進出口值表查詢結果!$C$11:$F$68,3,0),-[5]整車!$B$22)</f>
        <v>0</v>
      </c>
      <c r="Z147" s="405">
        <f t="shared" si="26"/>
        <v>356</v>
      </c>
      <c r="AA147" s="405">
        <f t="shared" si="27"/>
        <v>253811</v>
      </c>
    </row>
    <row r="148" spans="1:27">
      <c r="A148" s="448" t="s">
        <v>333</v>
      </c>
      <c r="B148" s="411"/>
      <c r="C148" s="411"/>
      <c r="D148" s="411"/>
      <c r="E148" s="411"/>
      <c r="F148" s="411">
        <v>0</v>
      </c>
      <c r="G148" s="411"/>
      <c r="H148" s="411">
        <v>0</v>
      </c>
      <c r="I148" s="411">
        <v>0</v>
      </c>
      <c r="J148" s="412"/>
      <c r="K148" s="413"/>
      <c r="L148" s="411">
        <v>0</v>
      </c>
      <c r="M148" s="411">
        <v>0</v>
      </c>
      <c r="N148" s="411">
        <v>0</v>
      </c>
      <c r="O148" s="411">
        <v>0</v>
      </c>
      <c r="P148" s="411">
        <v>0</v>
      </c>
      <c r="Q148" s="411">
        <v>0</v>
      </c>
      <c r="R148" s="411">
        <v>0</v>
      </c>
      <c r="S148" s="411">
        <v>0</v>
      </c>
      <c r="T148" s="411"/>
      <c r="U148" s="411"/>
      <c r="V148" s="411">
        <f>_xlfn.IFNA(VLOOKUP(A148,[4]進出口值表查詢結果!$C$11:$F$68,4,0),-[5]整車!$B$22)</f>
        <v>0</v>
      </c>
      <c r="W148" s="411">
        <f>_xlfn.IFNA(VLOOKUP(A148,[4]進出口值表查詢結果!$C$11:$F$68,3,0),-[5]整車!$B$22)</f>
        <v>0</v>
      </c>
      <c r="X148" s="411">
        <f>_xlfn.IFNA(VLOOKUP(A148,[6]進出口值表查詢結果!$C$11:$F$68,4,0),-[5]整車!$B$22)</f>
        <v>0</v>
      </c>
      <c r="Y148" s="411">
        <f>_xlfn.IFNA(VLOOKUP(A148,[6]進出口值表查詢結果!$C$11:$F$68,3,0),-[5]整車!$B$22)</f>
        <v>0</v>
      </c>
      <c r="Z148" s="405">
        <f t="shared" si="26"/>
        <v>0</v>
      </c>
      <c r="AA148" s="405">
        <f t="shared" si="27"/>
        <v>0</v>
      </c>
    </row>
    <row r="149" spans="1:27">
      <c r="A149" s="448" t="s">
        <v>334</v>
      </c>
      <c r="B149" s="411"/>
      <c r="C149" s="411"/>
      <c r="D149" s="411"/>
      <c r="E149" s="411"/>
      <c r="F149" s="411">
        <v>0</v>
      </c>
      <c r="G149" s="411"/>
      <c r="H149" s="411">
        <v>0</v>
      </c>
      <c r="I149" s="411">
        <v>0</v>
      </c>
      <c r="J149" s="412"/>
      <c r="K149" s="413"/>
      <c r="L149" s="411">
        <v>0</v>
      </c>
      <c r="M149" s="411">
        <v>0</v>
      </c>
      <c r="N149" s="411">
        <v>0</v>
      </c>
      <c r="O149" s="411">
        <v>0</v>
      </c>
      <c r="P149" s="411">
        <v>0</v>
      </c>
      <c r="Q149" s="411">
        <v>0</v>
      </c>
      <c r="R149" s="411">
        <v>0</v>
      </c>
      <c r="S149" s="411">
        <v>0</v>
      </c>
      <c r="T149" s="411"/>
      <c r="U149" s="411"/>
      <c r="V149" s="411">
        <f>_xlfn.IFNA(VLOOKUP(A149,[4]進出口值表查詢結果!$C$11:$F$68,4,0),-[5]整車!$B$22)</f>
        <v>0</v>
      </c>
      <c r="W149" s="411">
        <f>_xlfn.IFNA(VLOOKUP(A149,[4]進出口值表查詢結果!$C$11:$F$68,3,0),-[5]整車!$B$22)</f>
        <v>0</v>
      </c>
      <c r="X149" s="411">
        <f>_xlfn.IFNA(VLOOKUP(A149,[6]進出口值表查詢結果!$C$11:$F$68,4,0),-[5]整車!$B$22)</f>
        <v>0</v>
      </c>
      <c r="Y149" s="411">
        <f>_xlfn.IFNA(VLOOKUP(A149,[6]進出口值表查詢結果!$C$11:$F$68,3,0),-[5]整車!$B$22)</f>
        <v>0</v>
      </c>
      <c r="Z149" s="405">
        <f t="shared" si="26"/>
        <v>0</v>
      </c>
      <c r="AA149" s="405">
        <f t="shared" si="27"/>
        <v>0</v>
      </c>
    </row>
    <row r="150" spans="1:27">
      <c r="A150" s="448" t="s">
        <v>335</v>
      </c>
      <c r="B150" s="411"/>
      <c r="C150" s="411"/>
      <c r="D150" s="411"/>
      <c r="E150" s="411"/>
      <c r="F150" s="411">
        <v>0</v>
      </c>
      <c r="G150" s="411"/>
      <c r="H150" s="411">
        <v>912</v>
      </c>
      <c r="I150" s="411">
        <v>9076</v>
      </c>
      <c r="J150" s="412"/>
      <c r="K150" s="413"/>
      <c r="L150" s="411">
        <v>0</v>
      </c>
      <c r="M150" s="411">
        <v>0</v>
      </c>
      <c r="N150" s="411">
        <v>860</v>
      </c>
      <c r="O150" s="411">
        <v>8722</v>
      </c>
      <c r="P150" s="411">
        <v>0</v>
      </c>
      <c r="Q150" s="411">
        <v>0</v>
      </c>
      <c r="R150" s="411">
        <v>0</v>
      </c>
      <c r="S150" s="411">
        <v>0</v>
      </c>
      <c r="T150" s="411">
        <v>60</v>
      </c>
      <c r="U150" s="411">
        <v>895</v>
      </c>
      <c r="V150" s="411">
        <f>_xlfn.IFNA(VLOOKUP(A150,[4]進出口值表查詢結果!$C$11:$F$68,4,0),-[5]整車!$B$22)</f>
        <v>0</v>
      </c>
      <c r="W150" s="411">
        <f>_xlfn.IFNA(VLOOKUP(A150,[4]進出口值表查詢結果!$C$11:$F$68,3,0),-[5]整車!$B$22)</f>
        <v>0</v>
      </c>
      <c r="X150" s="411">
        <f>_xlfn.IFNA(VLOOKUP(A150,[6]進出口值表查詢結果!$C$11:$F$68,4,0),-[5]整車!$B$22)</f>
        <v>0</v>
      </c>
      <c r="Y150" s="411">
        <f>_xlfn.IFNA(VLOOKUP(A150,[6]進出口值表查詢結果!$C$11:$F$68,3,0),-[5]整車!$B$22)</f>
        <v>0</v>
      </c>
      <c r="Z150" s="405">
        <f t="shared" si="26"/>
        <v>1832</v>
      </c>
      <c r="AA150" s="405">
        <f t="shared" si="27"/>
        <v>18693</v>
      </c>
    </row>
    <row r="151" spans="1:27">
      <c r="A151" s="454" t="s">
        <v>336</v>
      </c>
      <c r="B151" s="432">
        <f t="shared" ref="B151:Y151" si="28">SUM(B152:B188)</f>
        <v>438</v>
      </c>
      <c r="C151" s="432">
        <f t="shared" si="28"/>
        <v>697135</v>
      </c>
      <c r="D151" s="432">
        <f t="shared" si="28"/>
        <v>255</v>
      </c>
      <c r="E151" s="432">
        <f t="shared" si="28"/>
        <v>237208</v>
      </c>
      <c r="F151" s="432">
        <f t="shared" si="28"/>
        <v>115</v>
      </c>
      <c r="G151" s="432">
        <f t="shared" si="28"/>
        <v>139562</v>
      </c>
      <c r="H151" s="432">
        <f t="shared" si="28"/>
        <v>86</v>
      </c>
      <c r="I151" s="432">
        <f t="shared" si="28"/>
        <v>117092</v>
      </c>
      <c r="J151" s="433">
        <f t="shared" si="28"/>
        <v>613</v>
      </c>
      <c r="K151" s="434">
        <f>SUM(K152:K188)</f>
        <v>1036854</v>
      </c>
      <c r="L151" s="432">
        <f t="shared" si="28"/>
        <v>427</v>
      </c>
      <c r="M151" s="432">
        <f t="shared" si="28"/>
        <v>494605</v>
      </c>
      <c r="N151" s="432">
        <f t="shared" si="28"/>
        <v>849</v>
      </c>
      <c r="O151" s="432">
        <f t="shared" si="28"/>
        <v>1256457</v>
      </c>
      <c r="P151" s="432">
        <f t="shared" si="28"/>
        <v>1223</v>
      </c>
      <c r="Q151" s="432">
        <f t="shared" si="28"/>
        <v>669332</v>
      </c>
      <c r="R151" s="432">
        <f t="shared" si="28"/>
        <v>709</v>
      </c>
      <c r="S151" s="432">
        <f t="shared" si="28"/>
        <v>987195</v>
      </c>
      <c r="T151" s="432">
        <f t="shared" si="28"/>
        <v>318</v>
      </c>
      <c r="U151" s="432">
        <f t="shared" si="28"/>
        <v>309983</v>
      </c>
      <c r="V151" s="432">
        <f>SUM(V152:V188)</f>
        <v>638</v>
      </c>
      <c r="W151" s="432">
        <f>SUM(W152:W188)</f>
        <v>766517</v>
      </c>
      <c r="X151" s="432">
        <f t="shared" si="28"/>
        <v>526</v>
      </c>
      <c r="Y151" s="432">
        <f t="shared" si="28"/>
        <v>550560</v>
      </c>
      <c r="Z151" s="418">
        <f t="shared" si="26"/>
        <v>6197</v>
      </c>
      <c r="AA151" s="418">
        <f t="shared" si="27"/>
        <v>7262500</v>
      </c>
    </row>
    <row r="152" spans="1:27">
      <c r="A152" s="448" t="s">
        <v>184</v>
      </c>
      <c r="B152" s="411">
        <v>384</v>
      </c>
      <c r="C152" s="411">
        <v>666044</v>
      </c>
      <c r="D152" s="411">
        <v>225</v>
      </c>
      <c r="E152" s="411">
        <v>237041</v>
      </c>
      <c r="F152" s="411">
        <v>111</v>
      </c>
      <c r="G152" s="411">
        <v>136011</v>
      </c>
      <c r="H152" s="411">
        <v>36</v>
      </c>
      <c r="I152" s="411">
        <v>67009</v>
      </c>
      <c r="J152" s="412">
        <v>449</v>
      </c>
      <c r="K152" s="413">
        <v>996359</v>
      </c>
      <c r="L152" s="411">
        <v>306</v>
      </c>
      <c r="M152" s="411">
        <v>433512</v>
      </c>
      <c r="N152" s="411">
        <v>849</v>
      </c>
      <c r="O152" s="411">
        <v>1256457</v>
      </c>
      <c r="P152" s="411">
        <v>395</v>
      </c>
      <c r="Q152" s="411">
        <v>604709</v>
      </c>
      <c r="R152" s="411">
        <v>684</v>
      </c>
      <c r="S152" s="411">
        <v>986787</v>
      </c>
      <c r="T152" s="411">
        <v>211</v>
      </c>
      <c r="U152" s="411">
        <v>279759</v>
      </c>
      <c r="V152" s="411">
        <f>_xlfn.IFNA(VLOOKUP(A152,[4]進出口值表查詢結果!$C$11:$F$68,4,0),-[5]整車!$B$22)</f>
        <v>506</v>
      </c>
      <c r="W152" s="411">
        <f>_xlfn.IFNA(VLOOKUP(A152,[4]進出口值表查詢結果!$C$11:$F$68,3,0),-[5]整車!$B$22)</f>
        <v>630607</v>
      </c>
      <c r="X152" s="411">
        <f>_xlfn.IFNA(VLOOKUP(A152,[6]進出口值表查詢結果!$C$11:$F$68,4,0),-[5]整車!$B$22)</f>
        <v>360</v>
      </c>
      <c r="Y152" s="411">
        <f>_xlfn.IFNA(VLOOKUP(A152,[6]進出口值表查詢結果!$C$11:$F$68,3,0),-[5]整車!$B$22)</f>
        <v>482820</v>
      </c>
      <c r="Z152" s="405">
        <f t="shared" si="26"/>
        <v>4516</v>
      </c>
      <c r="AA152" s="405">
        <f t="shared" si="27"/>
        <v>6777115</v>
      </c>
    </row>
    <row r="153" spans="1:27">
      <c r="A153" s="448" t="s">
        <v>338</v>
      </c>
      <c r="B153" s="411">
        <v>1</v>
      </c>
      <c r="C153" s="411">
        <v>2333</v>
      </c>
      <c r="D153" s="411"/>
      <c r="E153" s="411"/>
      <c r="F153" s="411">
        <v>0</v>
      </c>
      <c r="G153" s="411"/>
      <c r="H153" s="411">
        <v>15</v>
      </c>
      <c r="I153" s="411">
        <v>19675</v>
      </c>
      <c r="J153" s="412">
        <v>39</v>
      </c>
      <c r="K153" s="413">
        <v>39292</v>
      </c>
      <c r="L153" s="411">
        <v>0</v>
      </c>
      <c r="M153" s="411">
        <v>0</v>
      </c>
      <c r="N153" s="411">
        <v>0</v>
      </c>
      <c r="O153" s="411">
        <v>0</v>
      </c>
      <c r="P153" s="411">
        <v>0</v>
      </c>
      <c r="Q153" s="411">
        <v>0</v>
      </c>
      <c r="R153" s="411">
        <v>0</v>
      </c>
      <c r="S153" s="411">
        <v>0</v>
      </c>
      <c r="T153" s="411"/>
      <c r="U153" s="411"/>
      <c r="V153" s="411">
        <f>_xlfn.IFNA(VLOOKUP(A153,[4]進出口值表查詢結果!$C$11:$F$68,4,0),-[5]整車!$B$22)</f>
        <v>132</v>
      </c>
      <c r="W153" s="411">
        <f>_xlfn.IFNA(VLOOKUP(A153,[4]進出口值表查詢結果!$C$11:$F$68,3,0),-[5]整車!$B$22)</f>
        <v>135910</v>
      </c>
      <c r="X153" s="411">
        <f>_xlfn.IFNA(VLOOKUP(A153,[6]進出口值表查詢結果!$C$11:$F$68,4,0),-[5]整車!$B$22)</f>
        <v>0</v>
      </c>
      <c r="Y153" s="411">
        <f>_xlfn.IFNA(VLOOKUP(A153,[6]進出口值表查詢結果!$C$11:$F$68,3,0),-[5]整車!$B$22)</f>
        <v>0</v>
      </c>
      <c r="Z153" s="405">
        <f t="shared" si="26"/>
        <v>187</v>
      </c>
      <c r="AA153" s="405">
        <f t="shared" si="27"/>
        <v>197210</v>
      </c>
    </row>
    <row r="154" spans="1:27">
      <c r="A154" s="448" t="s">
        <v>339</v>
      </c>
      <c r="B154" s="411"/>
      <c r="C154" s="411"/>
      <c r="D154" s="411"/>
      <c r="E154" s="411"/>
      <c r="F154" s="411">
        <v>0</v>
      </c>
      <c r="G154" s="411"/>
      <c r="H154" s="411">
        <v>0</v>
      </c>
      <c r="I154" s="411">
        <v>0</v>
      </c>
      <c r="J154" s="412"/>
      <c r="K154" s="413"/>
      <c r="L154" s="411">
        <v>0</v>
      </c>
      <c r="M154" s="411">
        <v>0</v>
      </c>
      <c r="N154" s="411">
        <v>0</v>
      </c>
      <c r="O154" s="411">
        <v>0</v>
      </c>
      <c r="P154" s="411">
        <v>0</v>
      </c>
      <c r="Q154" s="411">
        <v>0</v>
      </c>
      <c r="R154" s="411">
        <v>0</v>
      </c>
      <c r="S154" s="411">
        <v>0</v>
      </c>
      <c r="T154" s="411"/>
      <c r="U154" s="411"/>
      <c r="V154" s="411">
        <f>_xlfn.IFNA(VLOOKUP(A154,[4]進出口值表查詢結果!$C$11:$F$68,4,0),-[5]整車!$B$22)</f>
        <v>0</v>
      </c>
      <c r="W154" s="411">
        <f>_xlfn.IFNA(VLOOKUP(A154,[4]進出口值表查詢結果!$C$11:$F$68,3,0),-[5]整車!$B$22)</f>
        <v>0</v>
      </c>
      <c r="X154" s="411">
        <f>_xlfn.IFNA(VLOOKUP(A154,[6]進出口值表查詢結果!$C$11:$F$68,4,0),-[5]整車!$B$22)</f>
        <v>0</v>
      </c>
      <c r="Y154" s="411">
        <f>_xlfn.IFNA(VLOOKUP(A154,[6]進出口值表查詢結果!$C$11:$F$68,3,0),-[5]整車!$B$22)</f>
        <v>0</v>
      </c>
      <c r="Z154" s="405">
        <f t="shared" si="26"/>
        <v>0</v>
      </c>
      <c r="AA154" s="405">
        <f t="shared" si="27"/>
        <v>0</v>
      </c>
    </row>
    <row r="155" spans="1:27">
      <c r="A155" s="448" t="s">
        <v>340</v>
      </c>
      <c r="B155" s="411"/>
      <c r="C155" s="411"/>
      <c r="D155" s="411"/>
      <c r="E155" s="411"/>
      <c r="F155" s="411">
        <v>0</v>
      </c>
      <c r="G155" s="411"/>
      <c r="H155" s="411">
        <v>0</v>
      </c>
      <c r="I155" s="411">
        <v>0</v>
      </c>
      <c r="J155" s="412"/>
      <c r="K155" s="413"/>
      <c r="L155" s="411">
        <v>0</v>
      </c>
      <c r="M155" s="411">
        <v>0</v>
      </c>
      <c r="N155" s="411">
        <v>0</v>
      </c>
      <c r="O155" s="411">
        <v>0</v>
      </c>
      <c r="P155" s="411">
        <v>0</v>
      </c>
      <c r="Q155" s="411">
        <v>0</v>
      </c>
      <c r="R155" s="411">
        <v>0</v>
      </c>
      <c r="S155" s="411">
        <v>0</v>
      </c>
      <c r="T155" s="411"/>
      <c r="U155" s="411"/>
      <c r="V155" s="411">
        <f>_xlfn.IFNA(VLOOKUP(A155,[4]進出口值表查詢結果!$C$11:$F$68,4,0),-[5]整車!$B$22)</f>
        <v>0</v>
      </c>
      <c r="W155" s="411">
        <f>_xlfn.IFNA(VLOOKUP(A155,[4]進出口值表查詢結果!$C$11:$F$68,3,0),-[5]整車!$B$22)</f>
        <v>0</v>
      </c>
      <c r="X155" s="411">
        <f>_xlfn.IFNA(VLOOKUP(A155,[6]進出口值表查詢結果!$C$11:$F$68,4,0),-[5]整車!$B$22)</f>
        <v>0</v>
      </c>
      <c r="Y155" s="411">
        <f>_xlfn.IFNA(VLOOKUP(A155,[6]進出口值表查詢結果!$C$11:$F$68,3,0),-[5]整車!$B$22)</f>
        <v>0</v>
      </c>
      <c r="Z155" s="405">
        <f t="shared" si="26"/>
        <v>0</v>
      </c>
      <c r="AA155" s="405">
        <f t="shared" si="27"/>
        <v>0</v>
      </c>
    </row>
    <row r="156" spans="1:27">
      <c r="A156" s="448" t="s">
        <v>199</v>
      </c>
      <c r="B156" s="411"/>
      <c r="C156" s="411"/>
      <c r="D156" s="411"/>
      <c r="E156" s="411"/>
      <c r="F156" s="411">
        <v>0</v>
      </c>
      <c r="G156" s="411"/>
      <c r="H156" s="411">
        <v>0</v>
      </c>
      <c r="I156" s="411">
        <v>0</v>
      </c>
      <c r="J156" s="412"/>
      <c r="K156" s="413"/>
      <c r="L156" s="411">
        <v>0</v>
      </c>
      <c r="M156" s="411">
        <v>0</v>
      </c>
      <c r="N156" s="411">
        <v>0</v>
      </c>
      <c r="O156" s="411">
        <v>0</v>
      </c>
      <c r="P156" s="411">
        <v>0</v>
      </c>
      <c r="Q156" s="411">
        <v>0</v>
      </c>
      <c r="R156" s="411">
        <v>0</v>
      </c>
      <c r="S156" s="411">
        <v>0</v>
      </c>
      <c r="T156" s="411"/>
      <c r="U156" s="411"/>
      <c r="V156" s="411">
        <f>_xlfn.IFNA(VLOOKUP(A156,[4]進出口值表查詢結果!$C$11:$F$68,4,0),-[5]整車!$B$22)</f>
        <v>0</v>
      </c>
      <c r="W156" s="411">
        <f>_xlfn.IFNA(VLOOKUP(A156,[4]進出口值表查詢結果!$C$11:$F$68,3,0),-[5]整車!$B$22)</f>
        <v>0</v>
      </c>
      <c r="X156" s="411">
        <f>_xlfn.IFNA(VLOOKUP(A156,[6]進出口值表查詢結果!$C$11:$F$68,4,0),-[5]整車!$B$22)</f>
        <v>0</v>
      </c>
      <c r="Y156" s="411">
        <f>_xlfn.IFNA(VLOOKUP(A156,[6]進出口值表查詢結果!$C$11:$F$68,3,0),-[5]整車!$B$22)</f>
        <v>0</v>
      </c>
      <c r="Z156" s="405">
        <f t="shared" si="26"/>
        <v>0</v>
      </c>
      <c r="AA156" s="405">
        <f t="shared" si="27"/>
        <v>0</v>
      </c>
    </row>
    <row r="157" spans="1:27">
      <c r="A157" s="448" t="s">
        <v>341</v>
      </c>
      <c r="B157" s="411"/>
      <c r="C157" s="411"/>
      <c r="D157" s="411"/>
      <c r="E157" s="411"/>
      <c r="F157" s="411">
        <v>0</v>
      </c>
      <c r="G157" s="411"/>
      <c r="H157" s="411">
        <v>0</v>
      </c>
      <c r="I157" s="411">
        <v>0</v>
      </c>
      <c r="J157" s="412"/>
      <c r="K157" s="413"/>
      <c r="L157" s="411">
        <v>0</v>
      </c>
      <c r="M157" s="411">
        <v>0</v>
      </c>
      <c r="N157" s="411">
        <v>0</v>
      </c>
      <c r="O157" s="411">
        <v>0</v>
      </c>
      <c r="P157" s="411">
        <v>113</v>
      </c>
      <c r="Q157" s="411">
        <v>610</v>
      </c>
      <c r="R157" s="411">
        <v>25</v>
      </c>
      <c r="S157" s="411">
        <v>408</v>
      </c>
      <c r="T157" s="411">
        <v>56</v>
      </c>
      <c r="U157" s="411">
        <v>448</v>
      </c>
      <c r="V157" s="411">
        <f>_xlfn.IFNA(VLOOKUP(A157,[4]進出口值表查詢結果!$C$11:$F$68,4,0),-[5]整車!$B$22)</f>
        <v>0</v>
      </c>
      <c r="W157" s="411">
        <f>_xlfn.IFNA(VLOOKUP(A157,[4]進出口值表查詢結果!$C$11:$F$68,3,0),-[5]整車!$B$22)</f>
        <v>0</v>
      </c>
      <c r="X157" s="411">
        <f>_xlfn.IFNA(VLOOKUP(A157,[6]進出口值表查詢結果!$C$11:$F$75,4,0),-[5]整車!$B$22)</f>
        <v>6</v>
      </c>
      <c r="Y157" s="411">
        <f>_xlfn.IFNA(VLOOKUP(A157,[6]進出口值表查詢結果!$C$11:$F$75,3,0),-[5]整車!$B$22)</f>
        <v>175</v>
      </c>
      <c r="Z157" s="405">
        <f t="shared" si="26"/>
        <v>200</v>
      </c>
      <c r="AA157" s="405">
        <f t="shared" si="27"/>
        <v>1641</v>
      </c>
    </row>
    <row r="158" spans="1:27">
      <c r="A158" s="448" t="s">
        <v>342</v>
      </c>
      <c r="B158" s="411"/>
      <c r="C158" s="411"/>
      <c r="D158" s="411"/>
      <c r="E158" s="411"/>
      <c r="F158" s="411">
        <v>0</v>
      </c>
      <c r="G158" s="411"/>
      <c r="H158" s="411">
        <v>0</v>
      </c>
      <c r="I158" s="411">
        <v>0</v>
      </c>
      <c r="J158" s="412"/>
      <c r="K158" s="413"/>
      <c r="L158" s="411">
        <v>0</v>
      </c>
      <c r="M158" s="411">
        <v>0</v>
      </c>
      <c r="N158" s="411">
        <v>0</v>
      </c>
      <c r="O158" s="411">
        <v>0</v>
      </c>
      <c r="P158" s="411">
        <v>0</v>
      </c>
      <c r="Q158" s="411">
        <v>0</v>
      </c>
      <c r="R158" s="411">
        <v>0</v>
      </c>
      <c r="S158" s="411">
        <v>0</v>
      </c>
      <c r="T158" s="411"/>
      <c r="U158" s="411"/>
      <c r="V158" s="411">
        <f>_xlfn.IFNA(VLOOKUP(A158,[4]進出口值表查詢結果!$C$11:$F$68,4,0),-[5]整車!$B$22)</f>
        <v>0</v>
      </c>
      <c r="W158" s="411">
        <f>_xlfn.IFNA(VLOOKUP(A158,[4]進出口值表查詢結果!$C$11:$F$68,3,0),-[5]整車!$B$22)</f>
        <v>0</v>
      </c>
      <c r="X158" s="411">
        <f>_xlfn.IFNA(VLOOKUP(A158,[6]進出口值表查詢結果!$C$11:$F$75,4,0),-[5]整車!$B$22)</f>
        <v>0</v>
      </c>
      <c r="Y158" s="411">
        <f>_xlfn.IFNA(VLOOKUP(A158,[6]進出口值表查詢結果!$C$11:$F$75,3,0),-[5]整車!$B$22)</f>
        <v>0</v>
      </c>
      <c r="Z158" s="405">
        <f t="shared" si="26"/>
        <v>0</v>
      </c>
      <c r="AA158" s="405">
        <f t="shared" si="27"/>
        <v>0</v>
      </c>
    </row>
    <row r="159" spans="1:27">
      <c r="A159" s="448" t="s">
        <v>343</v>
      </c>
      <c r="B159" s="411"/>
      <c r="C159" s="411"/>
      <c r="D159" s="411"/>
      <c r="E159" s="411"/>
      <c r="F159" s="411">
        <v>0</v>
      </c>
      <c r="G159" s="411"/>
      <c r="H159" s="411">
        <v>0</v>
      </c>
      <c r="I159" s="411">
        <v>0</v>
      </c>
      <c r="J159" s="412"/>
      <c r="K159" s="413"/>
      <c r="L159" s="411">
        <v>0</v>
      </c>
      <c r="M159" s="411">
        <v>0</v>
      </c>
      <c r="N159" s="411">
        <v>0</v>
      </c>
      <c r="O159" s="411">
        <v>0</v>
      </c>
      <c r="P159" s="411">
        <v>0</v>
      </c>
      <c r="Q159" s="411">
        <v>0</v>
      </c>
      <c r="R159" s="411">
        <v>0</v>
      </c>
      <c r="S159" s="411">
        <v>0</v>
      </c>
      <c r="T159" s="411"/>
      <c r="U159" s="411"/>
      <c r="V159" s="411">
        <f>_xlfn.IFNA(VLOOKUP(A159,[4]進出口值表查詢結果!$C$11:$F$68,4,0),-[5]整車!$B$22)</f>
        <v>0</v>
      </c>
      <c r="W159" s="411">
        <f>_xlfn.IFNA(VLOOKUP(A159,[4]進出口值表查詢結果!$C$11:$F$68,3,0),-[5]整車!$B$22)</f>
        <v>0</v>
      </c>
      <c r="X159" s="411">
        <f>_xlfn.IFNA(VLOOKUP(A159,[6]進出口值表查詢結果!$C$11:$F$75,4,0),-[5]整車!$B$22)</f>
        <v>0</v>
      </c>
      <c r="Y159" s="411">
        <f>_xlfn.IFNA(VLOOKUP(A159,[6]進出口值表查詢結果!$C$11:$F$75,3,0),-[5]整車!$B$22)</f>
        <v>0</v>
      </c>
      <c r="Z159" s="405">
        <f t="shared" si="26"/>
        <v>0</v>
      </c>
      <c r="AA159" s="405">
        <f t="shared" si="27"/>
        <v>0</v>
      </c>
    </row>
    <row r="160" spans="1:27">
      <c r="A160" s="448" t="s">
        <v>344</v>
      </c>
      <c r="B160" s="411"/>
      <c r="C160" s="411"/>
      <c r="D160" s="411"/>
      <c r="E160" s="411"/>
      <c r="F160" s="411">
        <v>4</v>
      </c>
      <c r="G160" s="411">
        <v>3551</v>
      </c>
      <c r="H160" s="411">
        <v>0</v>
      </c>
      <c r="I160" s="411">
        <v>0</v>
      </c>
      <c r="J160" s="412"/>
      <c r="K160" s="413"/>
      <c r="L160" s="411">
        <v>0</v>
      </c>
      <c r="M160" s="411">
        <v>0</v>
      </c>
      <c r="N160" s="411">
        <v>0</v>
      </c>
      <c r="O160" s="411">
        <v>0</v>
      </c>
      <c r="P160" s="411">
        <v>155</v>
      </c>
      <c r="Q160" s="411">
        <v>20061</v>
      </c>
      <c r="R160" s="411">
        <v>0</v>
      </c>
      <c r="S160" s="411">
        <v>0</v>
      </c>
      <c r="T160" s="411"/>
      <c r="U160" s="411"/>
      <c r="V160" s="411">
        <f>_xlfn.IFNA(VLOOKUP(A160,[4]進出口值表查詢結果!$C$11:$F$68,4,0),-[5]整車!$B$22)</f>
        <v>0</v>
      </c>
      <c r="W160" s="411">
        <f>_xlfn.IFNA(VLOOKUP(A160,[4]進出口值表查詢結果!$C$11:$F$68,3,0),-[5]整車!$B$22)</f>
        <v>0</v>
      </c>
      <c r="X160" s="411">
        <f>_xlfn.IFNA(VLOOKUP(A160,[6]進出口值表查詢結果!$C$11:$F$75,4,0),-[5]整車!$B$22)</f>
        <v>0</v>
      </c>
      <c r="Y160" s="411">
        <f>_xlfn.IFNA(VLOOKUP(A160,[6]進出口值表查詢結果!$C$11:$F$75,3,0),-[5]整車!$B$22)</f>
        <v>0</v>
      </c>
      <c r="Z160" s="405">
        <f t="shared" si="26"/>
        <v>159</v>
      </c>
      <c r="AA160" s="405">
        <f t="shared" si="27"/>
        <v>23612</v>
      </c>
    </row>
    <row r="161" spans="1:27">
      <c r="A161" s="448" t="s">
        <v>345</v>
      </c>
      <c r="B161" s="411">
        <v>17</v>
      </c>
      <c r="C161" s="411">
        <v>28291</v>
      </c>
      <c r="D161" s="411"/>
      <c r="E161" s="411"/>
      <c r="F161" s="411">
        <v>0</v>
      </c>
      <c r="G161" s="411"/>
      <c r="H161" s="411">
        <v>35</v>
      </c>
      <c r="I161" s="411">
        <v>30408</v>
      </c>
      <c r="J161" s="412"/>
      <c r="K161" s="413"/>
      <c r="L161" s="411">
        <v>39</v>
      </c>
      <c r="M161" s="411">
        <v>54290</v>
      </c>
      <c r="N161" s="411">
        <v>0</v>
      </c>
      <c r="O161" s="411">
        <v>0</v>
      </c>
      <c r="P161" s="411">
        <v>36</v>
      </c>
      <c r="Q161" s="411">
        <v>38326</v>
      </c>
      <c r="R161" s="411">
        <v>0</v>
      </c>
      <c r="S161" s="411">
        <v>0</v>
      </c>
      <c r="T161" s="411">
        <v>41</v>
      </c>
      <c r="U161" s="411">
        <v>29673</v>
      </c>
      <c r="V161" s="411">
        <f>_xlfn.IFNA(VLOOKUP(A161,[4]進出口值表查詢結果!$C$11:$F$68,4,0),-[5]整車!$B$22)</f>
        <v>0</v>
      </c>
      <c r="W161" s="411">
        <f>_xlfn.IFNA(VLOOKUP(A161,[4]進出口值表查詢結果!$C$11:$F$68,3,0),-[5]整車!$B$22)</f>
        <v>0</v>
      </c>
      <c r="X161" s="411">
        <f>_xlfn.IFNA(VLOOKUP(A161,[6]進出口值表查詢結果!$C$11:$F$75,4,0),-[5]整車!$B$22)</f>
        <v>50</v>
      </c>
      <c r="Y161" s="411">
        <f>_xlfn.IFNA(VLOOKUP(A161,[6]進出口值表查詢結果!$C$11:$F$75,3,0),-[5]整車!$B$22)</f>
        <v>63646</v>
      </c>
      <c r="Z161" s="405">
        <f t="shared" si="26"/>
        <v>218</v>
      </c>
      <c r="AA161" s="405">
        <f t="shared" si="27"/>
        <v>244634</v>
      </c>
    </row>
    <row r="162" spans="1:27">
      <c r="A162" s="448" t="s">
        <v>346</v>
      </c>
      <c r="B162" s="411"/>
      <c r="C162" s="411"/>
      <c r="D162" s="411"/>
      <c r="E162" s="411"/>
      <c r="F162" s="411">
        <v>0</v>
      </c>
      <c r="G162" s="411"/>
      <c r="H162" s="411">
        <v>0</v>
      </c>
      <c r="I162" s="411">
        <v>0</v>
      </c>
      <c r="J162" s="412">
        <v>5</v>
      </c>
      <c r="K162" s="413">
        <v>802</v>
      </c>
      <c r="L162" s="411">
        <v>0</v>
      </c>
      <c r="M162" s="411">
        <v>0</v>
      </c>
      <c r="N162" s="411">
        <v>0</v>
      </c>
      <c r="O162" s="411">
        <v>0</v>
      </c>
      <c r="P162" s="411">
        <v>0</v>
      </c>
      <c r="Q162" s="411">
        <v>0</v>
      </c>
      <c r="R162" s="411">
        <v>0</v>
      </c>
      <c r="S162" s="411">
        <v>0</v>
      </c>
      <c r="T162" s="411"/>
      <c r="U162" s="411"/>
      <c r="V162" s="411">
        <f>_xlfn.IFNA(VLOOKUP(A162,[4]進出口值表查詢結果!$C$11:$F$68,4,0),-[5]整車!$B$22)</f>
        <v>0</v>
      </c>
      <c r="W162" s="411">
        <f>_xlfn.IFNA(VLOOKUP(A162,[4]進出口值表查詢結果!$C$11:$F$68,3,0),-[5]整車!$B$22)</f>
        <v>0</v>
      </c>
      <c r="X162" s="411">
        <f>_xlfn.IFNA(VLOOKUP(A162,[6]進出口值表查詢結果!$C$11:$F$75,4,0),-[5]整車!$B$22)</f>
        <v>0</v>
      </c>
      <c r="Y162" s="411">
        <f>_xlfn.IFNA(VLOOKUP(A162,[6]進出口值表查詢結果!$C$11:$F$75,3,0),-[5]整車!$B$22)</f>
        <v>0</v>
      </c>
      <c r="Z162" s="405">
        <f t="shared" si="26"/>
        <v>5</v>
      </c>
      <c r="AA162" s="405">
        <f t="shared" si="27"/>
        <v>802</v>
      </c>
    </row>
    <row r="163" spans="1:27">
      <c r="A163" s="448" t="s">
        <v>347</v>
      </c>
      <c r="B163" s="411"/>
      <c r="C163" s="411"/>
      <c r="D163" s="411"/>
      <c r="E163" s="411"/>
      <c r="F163" s="411">
        <v>0</v>
      </c>
      <c r="G163" s="411"/>
      <c r="H163" s="411">
        <v>0</v>
      </c>
      <c r="I163" s="411">
        <v>0</v>
      </c>
      <c r="J163" s="412">
        <v>120</v>
      </c>
      <c r="K163" s="413">
        <v>401</v>
      </c>
      <c r="L163" s="411">
        <v>82</v>
      </c>
      <c r="M163" s="411">
        <v>6803</v>
      </c>
      <c r="N163" s="411">
        <v>0</v>
      </c>
      <c r="O163" s="411">
        <v>0</v>
      </c>
      <c r="P163" s="411">
        <v>512</v>
      </c>
      <c r="Q163" s="411">
        <v>5219</v>
      </c>
      <c r="R163" s="411">
        <v>0</v>
      </c>
      <c r="S163" s="411">
        <v>0</v>
      </c>
      <c r="T163" s="411"/>
      <c r="U163" s="411"/>
      <c r="V163" s="411">
        <f>_xlfn.IFNA(VLOOKUP(A163,[4]進出口值表查詢結果!$C$11:$F$68,4,0),-[5]整車!$B$22)</f>
        <v>0</v>
      </c>
      <c r="W163" s="411">
        <f>_xlfn.IFNA(VLOOKUP(A163,[4]進出口值表查詢結果!$C$11:$F$68,3,0),-[5]整車!$B$22)</f>
        <v>0</v>
      </c>
      <c r="X163" s="411">
        <f>_xlfn.IFNA(VLOOKUP(A163,[6]進出口值表查詢結果!$C$11:$F$75,4,0),-[5]整車!$B$22)</f>
        <v>0</v>
      </c>
      <c r="Y163" s="411">
        <f>_xlfn.IFNA(VLOOKUP(A163,[6]進出口值表查詢結果!$C$11:$F$75,3,0),-[5]整車!$B$22)</f>
        <v>0</v>
      </c>
      <c r="Z163" s="405">
        <f t="shared" si="26"/>
        <v>714</v>
      </c>
      <c r="AA163" s="405">
        <f t="shared" si="27"/>
        <v>12423</v>
      </c>
    </row>
    <row r="164" spans="1:27">
      <c r="A164" s="448" t="s">
        <v>348</v>
      </c>
      <c r="B164" s="411"/>
      <c r="C164" s="411"/>
      <c r="D164" s="411"/>
      <c r="E164" s="411"/>
      <c r="F164" s="411">
        <v>0</v>
      </c>
      <c r="G164" s="411"/>
      <c r="H164" s="411">
        <v>0</v>
      </c>
      <c r="I164" s="411">
        <v>0</v>
      </c>
      <c r="J164" s="412"/>
      <c r="K164" s="413"/>
      <c r="L164" s="411">
        <v>0</v>
      </c>
      <c r="M164" s="411">
        <v>0</v>
      </c>
      <c r="N164" s="411">
        <v>0</v>
      </c>
      <c r="O164" s="411">
        <v>0</v>
      </c>
      <c r="P164" s="411">
        <v>0</v>
      </c>
      <c r="Q164" s="411">
        <v>0</v>
      </c>
      <c r="R164" s="411">
        <v>0</v>
      </c>
      <c r="S164" s="411">
        <v>0</v>
      </c>
      <c r="T164" s="411"/>
      <c r="U164" s="411"/>
      <c r="V164" s="411">
        <f>_xlfn.IFNA(VLOOKUP(A164,[4]進出口值表查詢結果!$C$11:$F$68,4,0),-[5]整車!$B$22)</f>
        <v>0</v>
      </c>
      <c r="W164" s="411">
        <f>_xlfn.IFNA(VLOOKUP(A164,[4]進出口值表查詢結果!$C$11:$F$68,3,0),-[5]整車!$B$22)</f>
        <v>0</v>
      </c>
      <c r="X164" s="411">
        <f>_xlfn.IFNA(VLOOKUP(A164,[6]進出口值表查詢結果!$C$11:$F$75,4,0),-[5]整車!$B$22)</f>
        <v>0</v>
      </c>
      <c r="Y164" s="411">
        <f>_xlfn.IFNA(VLOOKUP(A164,[6]進出口值表查詢結果!$C$11:$F$75,3,0),-[5]整車!$B$22)</f>
        <v>0</v>
      </c>
      <c r="Z164" s="405">
        <f t="shared" si="26"/>
        <v>0</v>
      </c>
      <c r="AA164" s="405">
        <f t="shared" si="27"/>
        <v>0</v>
      </c>
    </row>
    <row r="165" spans="1:27">
      <c r="A165" s="448" t="s">
        <v>349</v>
      </c>
      <c r="B165" s="411"/>
      <c r="C165" s="411"/>
      <c r="D165" s="411"/>
      <c r="E165" s="411"/>
      <c r="F165" s="411">
        <v>0</v>
      </c>
      <c r="G165" s="411"/>
      <c r="H165" s="411">
        <v>0</v>
      </c>
      <c r="I165" s="411">
        <v>0</v>
      </c>
      <c r="J165" s="412"/>
      <c r="K165" s="413"/>
      <c r="L165" s="411">
        <v>0</v>
      </c>
      <c r="M165" s="411">
        <v>0</v>
      </c>
      <c r="N165" s="411">
        <v>0</v>
      </c>
      <c r="O165" s="411">
        <v>0</v>
      </c>
      <c r="P165" s="411">
        <v>0</v>
      </c>
      <c r="Q165" s="411">
        <v>0</v>
      </c>
      <c r="R165" s="411">
        <v>0</v>
      </c>
      <c r="S165" s="411">
        <v>0</v>
      </c>
      <c r="T165" s="411"/>
      <c r="U165" s="411"/>
      <c r="V165" s="411">
        <f>_xlfn.IFNA(VLOOKUP(A165,[4]進出口值表查詢結果!$C$11:$F$68,4,0),-[5]整車!$B$22)</f>
        <v>0</v>
      </c>
      <c r="W165" s="411">
        <f>_xlfn.IFNA(VLOOKUP(A165,[4]進出口值表查詢結果!$C$11:$F$68,3,0),-[5]整車!$B$22)</f>
        <v>0</v>
      </c>
      <c r="X165" s="411">
        <f>_xlfn.IFNA(VLOOKUP(A165,[6]進出口值表查詢結果!$C$11:$F$75,4,0),-[5]整車!$B$22)</f>
        <v>0</v>
      </c>
      <c r="Y165" s="411">
        <f>_xlfn.IFNA(VLOOKUP(A165,[6]進出口值表查詢結果!$C$11:$F$75,3,0),-[5]整車!$B$22)</f>
        <v>0</v>
      </c>
      <c r="Z165" s="405">
        <f t="shared" si="26"/>
        <v>0</v>
      </c>
      <c r="AA165" s="405">
        <f t="shared" si="27"/>
        <v>0</v>
      </c>
    </row>
    <row r="166" spans="1:27">
      <c r="A166" s="448" t="s">
        <v>350</v>
      </c>
      <c r="B166" s="411"/>
      <c r="C166" s="411"/>
      <c r="D166" s="411"/>
      <c r="E166" s="411"/>
      <c r="F166" s="411">
        <v>0</v>
      </c>
      <c r="G166" s="411"/>
      <c r="H166" s="411">
        <v>0</v>
      </c>
      <c r="I166" s="411">
        <v>0</v>
      </c>
      <c r="J166" s="412"/>
      <c r="K166" s="413"/>
      <c r="L166" s="411">
        <v>0</v>
      </c>
      <c r="M166" s="411">
        <v>0</v>
      </c>
      <c r="N166" s="411">
        <v>0</v>
      </c>
      <c r="O166" s="411">
        <v>0</v>
      </c>
      <c r="P166" s="411">
        <v>0</v>
      </c>
      <c r="Q166" s="411">
        <v>0</v>
      </c>
      <c r="R166" s="411">
        <v>0</v>
      </c>
      <c r="S166" s="411">
        <v>0</v>
      </c>
      <c r="T166" s="411"/>
      <c r="U166" s="411"/>
      <c r="V166" s="411">
        <f>_xlfn.IFNA(VLOOKUP(A166,[4]進出口值表查詢結果!$C$11:$F$68,4,0),-[5]整車!$B$22)</f>
        <v>0</v>
      </c>
      <c r="W166" s="411">
        <f>_xlfn.IFNA(VLOOKUP(A166,[4]進出口值表查詢結果!$C$11:$F$68,3,0),-[5]整車!$B$22)</f>
        <v>0</v>
      </c>
      <c r="X166" s="411">
        <f>_xlfn.IFNA(VLOOKUP(A166,[6]進出口值表查詢結果!$C$11:$F$75,4,0),-[5]整車!$B$22)</f>
        <v>0</v>
      </c>
      <c r="Y166" s="411">
        <f>_xlfn.IFNA(VLOOKUP(A166,[6]進出口值表查詢結果!$C$11:$F$75,3,0),-[5]整車!$B$22)</f>
        <v>0</v>
      </c>
      <c r="Z166" s="405">
        <f t="shared" si="26"/>
        <v>0</v>
      </c>
      <c r="AA166" s="405">
        <f t="shared" si="27"/>
        <v>0</v>
      </c>
    </row>
    <row r="167" spans="1:27">
      <c r="A167" s="448" t="s">
        <v>351</v>
      </c>
      <c r="B167" s="411"/>
      <c r="C167" s="411"/>
      <c r="D167" s="411"/>
      <c r="E167" s="411"/>
      <c r="F167" s="411">
        <v>0</v>
      </c>
      <c r="G167" s="411"/>
      <c r="H167" s="411">
        <v>0</v>
      </c>
      <c r="I167" s="411">
        <v>0</v>
      </c>
      <c r="J167" s="412"/>
      <c r="K167" s="413"/>
      <c r="L167" s="411">
        <v>0</v>
      </c>
      <c r="M167" s="411">
        <v>0</v>
      </c>
      <c r="N167" s="411">
        <v>0</v>
      </c>
      <c r="O167" s="411">
        <v>0</v>
      </c>
      <c r="P167" s="411">
        <v>0</v>
      </c>
      <c r="Q167" s="411">
        <v>0</v>
      </c>
      <c r="R167" s="411">
        <v>0</v>
      </c>
      <c r="S167" s="411">
        <v>0</v>
      </c>
      <c r="T167" s="411"/>
      <c r="U167" s="411"/>
      <c r="V167" s="411">
        <f>_xlfn.IFNA(VLOOKUP(A167,[4]進出口值表查詢結果!$C$11:$F$68,4,0),-[5]整車!$B$22)</f>
        <v>0</v>
      </c>
      <c r="W167" s="411">
        <f>_xlfn.IFNA(VLOOKUP(A167,[4]進出口值表查詢結果!$C$11:$F$68,3,0),-[5]整車!$B$22)</f>
        <v>0</v>
      </c>
      <c r="X167" s="411">
        <f>_xlfn.IFNA(VLOOKUP(A167,[6]進出口值表查詢結果!$C$11:$F$75,4,0),-[5]整車!$B$22)</f>
        <v>0</v>
      </c>
      <c r="Y167" s="411">
        <f>_xlfn.IFNA(VLOOKUP(A167,[6]進出口值表查詢結果!$C$11:$F$75,3,0),-[5]整車!$B$22)</f>
        <v>0</v>
      </c>
      <c r="Z167" s="405">
        <f t="shared" si="26"/>
        <v>0</v>
      </c>
      <c r="AA167" s="405">
        <f t="shared" si="27"/>
        <v>0</v>
      </c>
    </row>
    <row r="168" spans="1:27">
      <c r="A168" s="448" t="s">
        <v>352</v>
      </c>
      <c r="B168" s="411">
        <v>30</v>
      </c>
      <c r="C168" s="411">
        <v>67</v>
      </c>
      <c r="D168" s="411">
        <v>30</v>
      </c>
      <c r="E168" s="411">
        <v>167</v>
      </c>
      <c r="F168" s="411">
        <v>0</v>
      </c>
      <c r="G168" s="411"/>
      <c r="H168" s="411">
        <v>0</v>
      </c>
      <c r="I168" s="411">
        <v>0</v>
      </c>
      <c r="J168" s="412"/>
      <c r="K168" s="413"/>
      <c r="L168" s="411">
        <v>0</v>
      </c>
      <c r="M168" s="411">
        <v>0</v>
      </c>
      <c r="N168" s="411">
        <v>0</v>
      </c>
      <c r="O168" s="411">
        <v>0</v>
      </c>
      <c r="P168" s="411">
        <v>0</v>
      </c>
      <c r="Q168" s="411">
        <v>0</v>
      </c>
      <c r="R168" s="411">
        <v>0</v>
      </c>
      <c r="S168" s="411">
        <v>0</v>
      </c>
      <c r="T168" s="411">
        <v>10</v>
      </c>
      <c r="U168" s="411">
        <v>103</v>
      </c>
      <c r="V168" s="411">
        <f>_xlfn.IFNA(VLOOKUP(A168,[4]進出口值表查詢結果!$C$11:$F$68,4,0),-[5]整車!$B$22)</f>
        <v>0</v>
      </c>
      <c r="W168" s="411">
        <f>_xlfn.IFNA(VLOOKUP(A168,[4]進出口值表查詢結果!$C$11:$F$68,3,0),-[5]整車!$B$22)</f>
        <v>0</v>
      </c>
      <c r="X168" s="411">
        <f>_xlfn.IFNA(VLOOKUP(A168,[6]進出口值表查詢結果!$C$11:$F$75,4,0),-[5]整車!$B$22)</f>
        <v>0</v>
      </c>
      <c r="Y168" s="411">
        <f>_xlfn.IFNA(VLOOKUP(A168,[6]進出口值表查詢結果!$C$11:$F$75,3,0),-[5]整車!$B$22)</f>
        <v>0</v>
      </c>
      <c r="Z168" s="405">
        <f t="shared" ref="Z168:Z185" si="29">SUM(B168,D168,F168,H168,J168,L168,N168,P168,R168,T168,V168,X168)</f>
        <v>70</v>
      </c>
      <c r="AA168" s="405">
        <f t="shared" ref="AA168:AA185" si="30">SUM(C168,E168,G168,I168,K168,M168,O168,Q168,S168,U168,W168,Y168)</f>
        <v>337</v>
      </c>
    </row>
    <row r="169" spans="1:27">
      <c r="A169" s="448" t="s">
        <v>404</v>
      </c>
      <c r="B169" s="411"/>
      <c r="C169" s="411"/>
      <c r="D169" s="411"/>
      <c r="E169" s="411"/>
      <c r="F169" s="411">
        <v>0</v>
      </c>
      <c r="G169" s="411"/>
      <c r="H169" s="411">
        <v>0</v>
      </c>
      <c r="I169" s="411">
        <v>0</v>
      </c>
      <c r="J169" s="412"/>
      <c r="K169" s="413"/>
      <c r="L169" s="411">
        <v>0</v>
      </c>
      <c r="M169" s="411">
        <v>0</v>
      </c>
      <c r="N169" s="411">
        <v>0</v>
      </c>
      <c r="O169" s="411">
        <v>0</v>
      </c>
      <c r="P169" s="411">
        <v>0</v>
      </c>
      <c r="Q169" s="411">
        <v>0</v>
      </c>
      <c r="R169" s="411">
        <v>0</v>
      </c>
      <c r="S169" s="411">
        <v>0</v>
      </c>
      <c r="T169" s="411"/>
      <c r="U169" s="411"/>
      <c r="V169" s="411">
        <f>_xlfn.IFNA(VLOOKUP(A169,[4]進出口值表查詢結果!$C$11:$F$68,4,0),-[5]整車!$B$22)</f>
        <v>0</v>
      </c>
      <c r="W169" s="411">
        <f>_xlfn.IFNA(VLOOKUP(A169,[4]進出口值表查詢結果!$C$11:$F$68,3,0),-[5]整車!$B$22)</f>
        <v>0</v>
      </c>
      <c r="X169" s="411">
        <f>_xlfn.IFNA(VLOOKUP(A169,[6]進出口值表查詢結果!$C$11:$F$75,4,0),-[5]整車!$B$22)</f>
        <v>52</v>
      </c>
      <c r="Y169" s="411">
        <f>_xlfn.IFNA(VLOOKUP(A169,[6]進出口值表查詢結果!$C$11:$F$75,3,0),-[5]整車!$B$22)</f>
        <v>175</v>
      </c>
      <c r="Z169" s="405">
        <f t="shared" si="29"/>
        <v>52</v>
      </c>
      <c r="AA169" s="405">
        <f t="shared" si="30"/>
        <v>175</v>
      </c>
    </row>
    <row r="170" spans="1:27">
      <c r="A170" s="448" t="s">
        <v>353</v>
      </c>
      <c r="B170" s="411">
        <v>6</v>
      </c>
      <c r="C170" s="411">
        <v>400</v>
      </c>
      <c r="D170" s="411"/>
      <c r="E170" s="411"/>
      <c r="F170" s="411">
        <v>0</v>
      </c>
      <c r="G170" s="411"/>
      <c r="H170" s="411">
        <v>0</v>
      </c>
      <c r="I170" s="411">
        <v>0</v>
      </c>
      <c r="J170" s="412"/>
      <c r="K170" s="413"/>
      <c r="L170" s="411">
        <v>0</v>
      </c>
      <c r="M170" s="411">
        <v>0</v>
      </c>
      <c r="N170" s="411">
        <v>0</v>
      </c>
      <c r="O170" s="411">
        <v>0</v>
      </c>
      <c r="P170" s="411">
        <v>0</v>
      </c>
      <c r="Q170" s="411">
        <v>0</v>
      </c>
      <c r="R170" s="411">
        <v>0</v>
      </c>
      <c r="S170" s="411">
        <v>0</v>
      </c>
      <c r="T170" s="411"/>
      <c r="U170" s="411"/>
      <c r="V170" s="411">
        <f>_xlfn.IFNA(VLOOKUP(A170,[4]進出口值表查詢結果!$C$11:$F$68,4,0),-[5]整車!$B$22)</f>
        <v>0</v>
      </c>
      <c r="W170" s="411">
        <f>_xlfn.IFNA(VLOOKUP(A170,[4]進出口值表查詢結果!$C$11:$F$68,3,0),-[5]整車!$B$22)</f>
        <v>0</v>
      </c>
      <c r="X170" s="411">
        <f>_xlfn.IFNA(VLOOKUP(A170,[6]進出口值表查詢結果!$C$11:$F$75,4,0),-[5]整車!$B$22)</f>
        <v>0</v>
      </c>
      <c r="Y170" s="411">
        <f>_xlfn.IFNA(VLOOKUP(A170,[6]進出口值表查詢結果!$C$11:$F$75,3,0),-[5]整車!$B$22)</f>
        <v>0</v>
      </c>
      <c r="Z170" s="405">
        <f t="shared" si="29"/>
        <v>6</v>
      </c>
      <c r="AA170" s="405">
        <f t="shared" si="30"/>
        <v>400</v>
      </c>
    </row>
    <row r="171" spans="1:27">
      <c r="A171" s="448" t="s">
        <v>354</v>
      </c>
      <c r="B171" s="411"/>
      <c r="C171" s="411"/>
      <c r="D171" s="411"/>
      <c r="E171" s="411"/>
      <c r="F171" s="411">
        <v>0</v>
      </c>
      <c r="G171" s="411"/>
      <c r="H171" s="411">
        <v>0</v>
      </c>
      <c r="I171" s="411">
        <v>0</v>
      </c>
      <c r="J171" s="412"/>
      <c r="K171" s="413"/>
      <c r="L171" s="411">
        <v>0</v>
      </c>
      <c r="M171" s="411">
        <v>0</v>
      </c>
      <c r="N171" s="411">
        <v>0</v>
      </c>
      <c r="O171" s="411">
        <v>0</v>
      </c>
      <c r="P171" s="411">
        <v>12</v>
      </c>
      <c r="Q171" s="411">
        <v>407</v>
      </c>
      <c r="R171" s="411">
        <v>0</v>
      </c>
      <c r="S171" s="411">
        <v>0</v>
      </c>
      <c r="T171" s="411"/>
      <c r="U171" s="411"/>
      <c r="V171" s="411">
        <f>_xlfn.IFNA(VLOOKUP(A171,[4]進出口值表查詢結果!$C$11:$F$68,4,0),-[5]整車!$B$22)</f>
        <v>0</v>
      </c>
      <c r="W171" s="411">
        <f>_xlfn.IFNA(VLOOKUP(A171,[4]進出口值表查詢結果!$C$11:$F$68,3,0),-[5]整車!$B$22)</f>
        <v>0</v>
      </c>
      <c r="X171" s="411">
        <f>_xlfn.IFNA(VLOOKUP(A171,[6]進出口值表查詢結果!$C$11:$F$75,4,0),-[5]整車!$B$22)</f>
        <v>40</v>
      </c>
      <c r="Y171" s="411">
        <f>_xlfn.IFNA(VLOOKUP(A171,[6]進出口值表查詢結果!$C$11:$F$75,3,0),-[5]整車!$B$22)</f>
        <v>420</v>
      </c>
      <c r="Z171" s="405">
        <f t="shared" si="29"/>
        <v>52</v>
      </c>
      <c r="AA171" s="405">
        <f t="shared" si="30"/>
        <v>827</v>
      </c>
    </row>
    <row r="172" spans="1:27">
      <c r="A172" s="448" t="s">
        <v>355</v>
      </c>
      <c r="B172" s="411"/>
      <c r="C172" s="411"/>
      <c r="D172" s="411"/>
      <c r="E172" s="411"/>
      <c r="F172" s="411">
        <v>0</v>
      </c>
      <c r="G172" s="411"/>
      <c r="H172" s="411">
        <v>0</v>
      </c>
      <c r="I172" s="411">
        <v>0</v>
      </c>
      <c r="J172" s="412"/>
      <c r="K172" s="413"/>
      <c r="L172" s="411">
        <v>0</v>
      </c>
      <c r="M172" s="411">
        <v>0</v>
      </c>
      <c r="N172" s="411">
        <v>0</v>
      </c>
      <c r="O172" s="411">
        <v>0</v>
      </c>
      <c r="P172" s="411">
        <v>0</v>
      </c>
      <c r="Q172" s="411">
        <v>0</v>
      </c>
      <c r="R172" s="411">
        <v>0</v>
      </c>
      <c r="S172" s="411">
        <v>0</v>
      </c>
      <c r="T172" s="411"/>
      <c r="U172" s="411"/>
      <c r="V172" s="411">
        <f>_xlfn.IFNA(VLOOKUP(A172,[4]進出口值表查詢結果!$C$11:$F$68,4,0),-[5]整車!$B$22)</f>
        <v>0</v>
      </c>
      <c r="W172" s="411">
        <f>_xlfn.IFNA(VLOOKUP(A172,[4]進出口值表查詢結果!$C$11:$F$68,3,0),-[5]整車!$B$22)</f>
        <v>0</v>
      </c>
      <c r="X172" s="411">
        <f>_xlfn.IFNA(VLOOKUP(A172,[6]進出口值表查詢結果!$C$11:$F$75,4,0),-[5]整車!$B$22)</f>
        <v>0</v>
      </c>
      <c r="Y172" s="411">
        <f>_xlfn.IFNA(VLOOKUP(A172,[6]進出口值表查詢結果!$C$11:$F$75,3,0),-[5]整車!$B$22)</f>
        <v>0</v>
      </c>
      <c r="Z172" s="405">
        <f t="shared" si="29"/>
        <v>0</v>
      </c>
      <c r="AA172" s="405">
        <f t="shared" si="30"/>
        <v>0</v>
      </c>
    </row>
    <row r="173" spans="1:27">
      <c r="A173" s="448" t="s">
        <v>197</v>
      </c>
      <c r="B173" s="411"/>
      <c r="C173" s="411"/>
      <c r="D173" s="411"/>
      <c r="E173" s="411"/>
      <c r="F173" s="411">
        <v>0</v>
      </c>
      <c r="G173" s="411"/>
      <c r="H173" s="411">
        <v>0</v>
      </c>
      <c r="I173" s="411">
        <v>0</v>
      </c>
      <c r="J173" s="412"/>
      <c r="K173" s="413"/>
      <c r="L173" s="411">
        <v>0</v>
      </c>
      <c r="M173" s="411">
        <v>0</v>
      </c>
      <c r="N173" s="411">
        <v>0</v>
      </c>
      <c r="O173" s="411">
        <v>0</v>
      </c>
      <c r="P173" s="411">
        <v>0</v>
      </c>
      <c r="Q173" s="411">
        <v>0</v>
      </c>
      <c r="R173" s="411">
        <v>0</v>
      </c>
      <c r="S173" s="411">
        <v>0</v>
      </c>
      <c r="T173" s="411"/>
      <c r="U173" s="411"/>
      <c r="V173" s="411">
        <f>_xlfn.IFNA(VLOOKUP(A173,[4]進出口值表查詢結果!$C$11:$F$68,4,0),-[5]整車!$B$22)</f>
        <v>0</v>
      </c>
      <c r="W173" s="411">
        <f>_xlfn.IFNA(VLOOKUP(A173,[4]進出口值表查詢結果!$C$11:$F$68,3,0),-[5]整車!$B$22)</f>
        <v>0</v>
      </c>
      <c r="X173" s="411">
        <f>_xlfn.IFNA(VLOOKUP(A173,[6]進出口值表查詢結果!$C$11:$F$75,4,0),-[5]整車!$B$22)</f>
        <v>0</v>
      </c>
      <c r="Y173" s="411">
        <f>_xlfn.IFNA(VLOOKUP(A173,[6]進出口值表查詢結果!$C$11:$F$75,3,0),-[5]整車!$B$22)</f>
        <v>0</v>
      </c>
      <c r="Z173" s="405">
        <f t="shared" si="29"/>
        <v>0</v>
      </c>
      <c r="AA173" s="405">
        <f t="shared" si="30"/>
        <v>0</v>
      </c>
    </row>
    <row r="174" spans="1:27">
      <c r="A174" s="448" t="s">
        <v>356</v>
      </c>
      <c r="B174" s="411"/>
      <c r="C174" s="411"/>
      <c r="D174" s="411"/>
      <c r="E174" s="411"/>
      <c r="F174" s="411">
        <v>0</v>
      </c>
      <c r="G174" s="411"/>
      <c r="H174" s="411">
        <v>0</v>
      </c>
      <c r="I174" s="411">
        <v>0</v>
      </c>
      <c r="J174" s="412"/>
      <c r="K174" s="413"/>
      <c r="L174" s="411">
        <v>0</v>
      </c>
      <c r="M174" s="411">
        <v>0</v>
      </c>
      <c r="N174" s="411">
        <v>0</v>
      </c>
      <c r="O174" s="411">
        <v>0</v>
      </c>
      <c r="P174" s="411">
        <v>0</v>
      </c>
      <c r="Q174" s="411">
        <v>0</v>
      </c>
      <c r="R174" s="411">
        <v>0</v>
      </c>
      <c r="S174" s="411">
        <v>0</v>
      </c>
      <c r="T174" s="411"/>
      <c r="U174" s="411"/>
      <c r="V174" s="411">
        <f>_xlfn.IFNA(VLOOKUP(A174,[4]進出口值表查詢結果!$C$11:$F$68,4,0),-[5]整車!$B$22)</f>
        <v>0</v>
      </c>
      <c r="W174" s="411">
        <f>_xlfn.IFNA(VLOOKUP(A174,[4]進出口值表查詢結果!$C$11:$F$68,3,0),-[5]整車!$B$22)</f>
        <v>0</v>
      </c>
      <c r="X174" s="411">
        <f>_xlfn.IFNA(VLOOKUP(A174,[6]進出口值表查詢結果!$C$11:$F$75,4,0),-[5]整車!$B$22)</f>
        <v>18</v>
      </c>
      <c r="Y174" s="411">
        <f>_xlfn.IFNA(VLOOKUP(A174,[6]進出口值表查詢結果!$C$11:$F$75,3,0),-[5]整車!$B$22)</f>
        <v>3324</v>
      </c>
      <c r="Z174" s="405">
        <f t="shared" si="29"/>
        <v>18</v>
      </c>
      <c r="AA174" s="405">
        <f t="shared" si="30"/>
        <v>3324</v>
      </c>
    </row>
    <row r="175" spans="1:27">
      <c r="A175" s="448" t="s">
        <v>357</v>
      </c>
      <c r="B175" s="411"/>
      <c r="C175" s="411"/>
      <c r="D175" s="411"/>
      <c r="E175" s="411"/>
      <c r="F175" s="411">
        <v>0</v>
      </c>
      <c r="G175" s="411"/>
      <c r="H175" s="411">
        <v>0</v>
      </c>
      <c r="I175" s="411">
        <v>0</v>
      </c>
      <c r="J175" s="412"/>
      <c r="K175" s="413"/>
      <c r="L175" s="411">
        <v>0</v>
      </c>
      <c r="M175" s="411">
        <v>0</v>
      </c>
      <c r="N175" s="411">
        <v>0</v>
      </c>
      <c r="O175" s="411">
        <v>0</v>
      </c>
      <c r="P175" s="411">
        <v>0</v>
      </c>
      <c r="Q175" s="411">
        <v>0</v>
      </c>
      <c r="R175" s="411">
        <v>0</v>
      </c>
      <c r="S175" s="411">
        <v>0</v>
      </c>
      <c r="T175" s="411"/>
      <c r="U175" s="411"/>
      <c r="V175" s="411">
        <f>_xlfn.IFNA(VLOOKUP(A175,[4]進出口值表查詢結果!$C$11:$F$68,4,0),-[5]整車!$B$22)</f>
        <v>0</v>
      </c>
      <c r="W175" s="411">
        <f>_xlfn.IFNA(VLOOKUP(A175,[4]進出口值表查詢結果!$C$11:$F$68,3,0),-[5]整車!$B$22)</f>
        <v>0</v>
      </c>
      <c r="X175" s="411">
        <f>_xlfn.IFNA(VLOOKUP(A175,[6]進出口值表查詢結果!$C$11:$F$75,4,0),-[5]整車!$B$22)</f>
        <v>0</v>
      </c>
      <c r="Y175" s="411">
        <f>_xlfn.IFNA(VLOOKUP(A175,[6]進出口值表查詢結果!$C$11:$F$75,3,0),-[5]整車!$B$22)</f>
        <v>0</v>
      </c>
      <c r="Z175" s="405">
        <f t="shared" si="29"/>
        <v>0</v>
      </c>
      <c r="AA175" s="405">
        <f t="shared" si="30"/>
        <v>0</v>
      </c>
    </row>
    <row r="176" spans="1:27">
      <c r="A176" s="448" t="s">
        <v>358</v>
      </c>
      <c r="B176" s="411"/>
      <c r="C176" s="411"/>
      <c r="D176" s="411"/>
      <c r="E176" s="411"/>
      <c r="F176" s="411">
        <v>0</v>
      </c>
      <c r="G176" s="411"/>
      <c r="H176" s="411">
        <v>0</v>
      </c>
      <c r="I176" s="411">
        <v>0</v>
      </c>
      <c r="J176" s="412"/>
      <c r="K176" s="413"/>
      <c r="L176" s="411">
        <v>0</v>
      </c>
      <c r="M176" s="411">
        <v>0</v>
      </c>
      <c r="N176" s="411">
        <v>0</v>
      </c>
      <c r="O176" s="411">
        <v>0</v>
      </c>
      <c r="P176" s="411">
        <v>0</v>
      </c>
      <c r="Q176" s="411">
        <v>0</v>
      </c>
      <c r="R176" s="411">
        <v>0</v>
      </c>
      <c r="S176" s="411">
        <v>0</v>
      </c>
      <c r="T176" s="411"/>
      <c r="U176" s="411"/>
      <c r="V176" s="411">
        <f>_xlfn.IFNA(VLOOKUP(A176,[4]進出口值表查詢結果!$C$11:$F$68,4,0),-[5]整車!$B$22)</f>
        <v>0</v>
      </c>
      <c r="W176" s="411">
        <f>_xlfn.IFNA(VLOOKUP(A176,[4]進出口值表查詢結果!$C$11:$F$68,3,0),-[5]整車!$B$22)</f>
        <v>0</v>
      </c>
      <c r="X176" s="411">
        <f>_xlfn.IFNA(VLOOKUP(A176,[6]進出口值表查詢結果!$C$11:$F$75,4,0),-[5]整車!$B$22)</f>
        <v>0</v>
      </c>
      <c r="Y176" s="411">
        <f>_xlfn.IFNA(VLOOKUP(A176,[6]進出口值表查詢結果!$C$11:$F$75,3,0),-[5]整車!$B$22)</f>
        <v>0</v>
      </c>
      <c r="Z176" s="405">
        <f t="shared" si="29"/>
        <v>0</v>
      </c>
      <c r="AA176" s="405">
        <f t="shared" si="30"/>
        <v>0</v>
      </c>
    </row>
    <row r="177" spans="1:27">
      <c r="A177" s="448" t="s">
        <v>359</v>
      </c>
      <c r="B177" s="411"/>
      <c r="C177" s="411"/>
      <c r="D177" s="411"/>
      <c r="E177" s="411"/>
      <c r="F177" s="411">
        <v>0</v>
      </c>
      <c r="G177" s="411"/>
      <c r="H177" s="411">
        <v>0</v>
      </c>
      <c r="I177" s="411">
        <v>0</v>
      </c>
      <c r="J177" s="412"/>
      <c r="K177" s="413"/>
      <c r="L177" s="411">
        <v>0</v>
      </c>
      <c r="M177" s="411">
        <v>0</v>
      </c>
      <c r="N177" s="411">
        <v>0</v>
      </c>
      <c r="O177" s="411">
        <v>0</v>
      </c>
      <c r="P177" s="411">
        <v>0</v>
      </c>
      <c r="Q177" s="411">
        <v>0</v>
      </c>
      <c r="R177" s="411">
        <v>0</v>
      </c>
      <c r="S177" s="411">
        <v>0</v>
      </c>
      <c r="T177" s="411"/>
      <c r="U177" s="411"/>
      <c r="V177" s="411">
        <f>_xlfn.IFNA(VLOOKUP(A177,[4]進出口值表查詢結果!$C$11:$F$68,4,0),-[5]整車!$B$22)</f>
        <v>0</v>
      </c>
      <c r="W177" s="411">
        <f>_xlfn.IFNA(VLOOKUP(A177,[4]進出口值表查詢結果!$C$11:$F$68,3,0),-[5]整車!$B$22)</f>
        <v>0</v>
      </c>
      <c r="X177" s="411">
        <f>_xlfn.IFNA(VLOOKUP(A177,[6]進出口值表查詢結果!$C$11:$F$75,4,0),-[5]整車!$B$22)</f>
        <v>0</v>
      </c>
      <c r="Y177" s="411">
        <f>_xlfn.IFNA(VLOOKUP(A177,[6]進出口值表查詢結果!$C$11:$F$75,3,0),-[5]整車!$B$22)</f>
        <v>0</v>
      </c>
      <c r="Z177" s="405">
        <f t="shared" si="29"/>
        <v>0</v>
      </c>
      <c r="AA177" s="405">
        <f t="shared" si="30"/>
        <v>0</v>
      </c>
    </row>
    <row r="178" spans="1:27">
      <c r="A178" s="448" t="s">
        <v>360</v>
      </c>
      <c r="B178" s="411"/>
      <c r="C178" s="411"/>
      <c r="D178" s="411"/>
      <c r="E178" s="411"/>
      <c r="F178" s="411">
        <v>0</v>
      </c>
      <c r="G178" s="411"/>
      <c r="H178" s="411">
        <v>0</v>
      </c>
      <c r="I178" s="411">
        <v>0</v>
      </c>
      <c r="J178" s="412"/>
      <c r="K178" s="413">
        <v>0</v>
      </c>
      <c r="L178" s="411">
        <v>0</v>
      </c>
      <c r="M178" s="411">
        <v>0</v>
      </c>
      <c r="N178" s="411">
        <v>0</v>
      </c>
      <c r="O178" s="411">
        <v>0</v>
      </c>
      <c r="P178" s="411">
        <v>0</v>
      </c>
      <c r="Q178" s="411">
        <v>0</v>
      </c>
      <c r="R178" s="411">
        <v>0</v>
      </c>
      <c r="S178" s="411">
        <v>0</v>
      </c>
      <c r="T178" s="411"/>
      <c r="U178" s="411"/>
      <c r="V178" s="411">
        <f>_xlfn.IFNA(VLOOKUP(A178,[4]進出口值表查詢結果!$C$11:$F$68,4,0),-[5]整車!$B$22)</f>
        <v>0</v>
      </c>
      <c r="W178" s="411">
        <f>_xlfn.IFNA(VLOOKUP(A178,[4]進出口值表查詢結果!$C$11:$F$68,3,0),-[5]整車!$B$22)</f>
        <v>0</v>
      </c>
      <c r="X178" s="411">
        <f>_xlfn.IFNA(VLOOKUP(A178,[6]進出口值表查詢結果!$C$11:$F$75,4,0),-[5]整車!$B$22)</f>
        <v>0</v>
      </c>
      <c r="Y178" s="411">
        <f>_xlfn.IFNA(VLOOKUP(A178,[6]進出口值表查詢結果!$C$11:$F$75,3,0),-[5]整車!$B$22)</f>
        <v>0</v>
      </c>
      <c r="Z178" s="405">
        <f t="shared" si="29"/>
        <v>0</v>
      </c>
      <c r="AA178" s="405">
        <f t="shared" si="30"/>
        <v>0</v>
      </c>
    </row>
    <row r="179" spans="1:27">
      <c r="A179" s="448" t="s">
        <v>361</v>
      </c>
      <c r="B179" s="411"/>
      <c r="C179" s="411"/>
      <c r="D179" s="411"/>
      <c r="E179" s="411"/>
      <c r="F179" s="411">
        <v>0</v>
      </c>
      <c r="G179" s="411"/>
      <c r="H179" s="411">
        <v>0</v>
      </c>
      <c r="I179" s="411">
        <v>0</v>
      </c>
      <c r="J179" s="412"/>
      <c r="K179" s="413">
        <v>0</v>
      </c>
      <c r="L179" s="411">
        <v>0</v>
      </c>
      <c r="M179" s="411">
        <v>0</v>
      </c>
      <c r="N179" s="411">
        <v>0</v>
      </c>
      <c r="O179" s="411">
        <v>0</v>
      </c>
      <c r="P179" s="411">
        <v>0</v>
      </c>
      <c r="Q179" s="411">
        <v>0</v>
      </c>
      <c r="R179" s="411">
        <v>0</v>
      </c>
      <c r="S179" s="411">
        <v>0</v>
      </c>
      <c r="T179" s="411"/>
      <c r="U179" s="411"/>
      <c r="V179" s="411">
        <f>_xlfn.IFNA(VLOOKUP(A179,[4]進出口值表查詢結果!$C$11:$F$68,4,0),-[5]整車!$B$22)</f>
        <v>0</v>
      </c>
      <c r="W179" s="411">
        <f>_xlfn.IFNA(VLOOKUP(A179,[4]進出口值表查詢結果!$C$11:$F$68,3,0),-[5]整車!$B$22)</f>
        <v>0</v>
      </c>
      <c r="X179" s="411">
        <f>_xlfn.IFNA(VLOOKUP(A179,[6]進出口值表查詢結果!$C$11:$F$75,4,0),-[5]整車!$B$22)</f>
        <v>0</v>
      </c>
      <c r="Y179" s="411">
        <f>_xlfn.IFNA(VLOOKUP(A179,[6]進出口值表查詢結果!$C$11:$F$75,3,0),-[5]整車!$B$22)</f>
        <v>0</v>
      </c>
      <c r="Z179" s="405">
        <f t="shared" si="29"/>
        <v>0</v>
      </c>
      <c r="AA179" s="405">
        <f t="shared" si="30"/>
        <v>0</v>
      </c>
    </row>
    <row r="180" spans="1:27">
      <c r="A180" s="448" t="s">
        <v>362</v>
      </c>
      <c r="B180" s="411"/>
      <c r="C180" s="411"/>
      <c r="D180" s="411"/>
      <c r="E180" s="411"/>
      <c r="F180" s="411">
        <v>0</v>
      </c>
      <c r="G180" s="411"/>
      <c r="H180" s="411">
        <v>0</v>
      </c>
      <c r="I180" s="411">
        <v>0</v>
      </c>
      <c r="J180" s="412"/>
      <c r="K180" s="413">
        <v>0</v>
      </c>
      <c r="L180" s="411">
        <v>0</v>
      </c>
      <c r="M180" s="411">
        <v>0</v>
      </c>
      <c r="N180" s="411">
        <v>0</v>
      </c>
      <c r="O180" s="411">
        <v>0</v>
      </c>
      <c r="P180" s="411">
        <v>0</v>
      </c>
      <c r="Q180" s="411">
        <v>0</v>
      </c>
      <c r="R180" s="411">
        <v>0</v>
      </c>
      <c r="S180" s="411">
        <v>0</v>
      </c>
      <c r="T180" s="411"/>
      <c r="U180" s="411"/>
      <c r="V180" s="411">
        <f>_xlfn.IFNA(VLOOKUP(A180,[4]進出口值表查詢結果!$C$11:$F$68,4,0),-[5]整車!$B$22)</f>
        <v>0</v>
      </c>
      <c r="W180" s="411">
        <f>_xlfn.IFNA(VLOOKUP(A180,[4]進出口值表查詢結果!$C$11:$F$68,3,0),-[5]整車!$B$22)</f>
        <v>0</v>
      </c>
      <c r="X180" s="411">
        <f>_xlfn.IFNA(VLOOKUP(A180,[6]進出口值表查詢結果!$C$11:$F$75,4,0),-[5]整車!$B$22)</f>
        <v>0</v>
      </c>
      <c r="Y180" s="411">
        <f>_xlfn.IFNA(VLOOKUP(A180,[6]進出口值表查詢結果!$C$11:$F$75,3,0),-[5]整車!$B$22)</f>
        <v>0</v>
      </c>
      <c r="Z180" s="405">
        <f t="shared" si="29"/>
        <v>0</v>
      </c>
      <c r="AA180" s="405">
        <f t="shared" si="30"/>
        <v>0</v>
      </c>
    </row>
    <row r="181" spans="1:27">
      <c r="A181" s="448" t="s">
        <v>363</v>
      </c>
      <c r="B181" s="411"/>
      <c r="C181" s="411"/>
      <c r="D181" s="411"/>
      <c r="E181" s="411"/>
      <c r="F181" s="411">
        <v>0</v>
      </c>
      <c r="G181" s="411"/>
      <c r="H181" s="411">
        <v>0</v>
      </c>
      <c r="I181" s="411">
        <v>0</v>
      </c>
      <c r="J181" s="412"/>
      <c r="K181" s="413">
        <v>0</v>
      </c>
      <c r="L181" s="411">
        <v>0</v>
      </c>
      <c r="M181" s="411">
        <v>0</v>
      </c>
      <c r="N181" s="411">
        <v>0</v>
      </c>
      <c r="O181" s="411">
        <v>0</v>
      </c>
      <c r="P181" s="411">
        <v>0</v>
      </c>
      <c r="Q181" s="411">
        <v>0</v>
      </c>
      <c r="R181" s="411">
        <v>0</v>
      </c>
      <c r="S181" s="411">
        <v>0</v>
      </c>
      <c r="T181" s="411"/>
      <c r="U181" s="411"/>
      <c r="V181" s="411">
        <f>_xlfn.IFNA(VLOOKUP(A181,[4]進出口值表查詢結果!$C$11:$F$68,4,0),-[5]整車!$B$22)</f>
        <v>0</v>
      </c>
      <c r="W181" s="411">
        <f>_xlfn.IFNA(VLOOKUP(A181,[4]進出口值表查詢結果!$C$11:$F$68,3,0),-[5]整車!$B$22)</f>
        <v>0</v>
      </c>
      <c r="X181" s="411">
        <f>_xlfn.IFNA(VLOOKUP(A181,[6]進出口值表查詢結果!$C$11:$F$75,4,0),-[5]整車!$B$22)</f>
        <v>0</v>
      </c>
      <c r="Y181" s="411">
        <f>_xlfn.IFNA(VLOOKUP(A181,[6]進出口值表查詢結果!$C$11:$F$75,3,0),-[5]整車!$B$22)</f>
        <v>0</v>
      </c>
      <c r="Z181" s="405">
        <f t="shared" si="29"/>
        <v>0</v>
      </c>
      <c r="AA181" s="405">
        <f t="shared" si="30"/>
        <v>0</v>
      </c>
    </row>
    <row r="182" spans="1:27">
      <c r="A182" s="448" t="s">
        <v>364</v>
      </c>
      <c r="B182" s="411"/>
      <c r="C182" s="411"/>
      <c r="D182" s="411"/>
      <c r="E182" s="411"/>
      <c r="F182" s="411">
        <v>0</v>
      </c>
      <c r="G182" s="411"/>
      <c r="H182" s="411">
        <v>0</v>
      </c>
      <c r="I182" s="411">
        <v>0</v>
      </c>
      <c r="J182" s="412"/>
      <c r="K182" s="413">
        <v>0</v>
      </c>
      <c r="L182" s="411">
        <v>0</v>
      </c>
      <c r="M182" s="411">
        <v>0</v>
      </c>
      <c r="N182" s="411">
        <v>0</v>
      </c>
      <c r="O182" s="411">
        <v>0</v>
      </c>
      <c r="P182" s="411">
        <v>0</v>
      </c>
      <c r="Q182" s="411">
        <v>0</v>
      </c>
      <c r="R182" s="411">
        <v>0</v>
      </c>
      <c r="S182" s="411">
        <v>0</v>
      </c>
      <c r="T182" s="411"/>
      <c r="U182" s="411"/>
      <c r="V182" s="411">
        <f>_xlfn.IFNA(VLOOKUP(A182,[4]進出口值表查詢結果!$C$11:$F$68,4,0),-[5]整車!$B$22)</f>
        <v>0</v>
      </c>
      <c r="W182" s="411">
        <f>_xlfn.IFNA(VLOOKUP(A182,[4]進出口值表查詢結果!$C$11:$F$68,3,0),-[5]整車!$B$22)</f>
        <v>0</v>
      </c>
      <c r="X182" s="411">
        <f>_xlfn.IFNA(VLOOKUP(A182,[6]進出口值表查詢結果!$C$11:$F$75,4,0),-[5]整車!$B$22)</f>
        <v>0</v>
      </c>
      <c r="Y182" s="411">
        <f>_xlfn.IFNA(VLOOKUP(A182,[6]進出口值表查詢結果!$C$11:$F$75,3,0),-[5]整車!$B$22)</f>
        <v>0</v>
      </c>
      <c r="Z182" s="405">
        <f t="shared" si="29"/>
        <v>0</v>
      </c>
      <c r="AA182" s="405">
        <f t="shared" si="30"/>
        <v>0</v>
      </c>
    </row>
    <row r="183" spans="1:27">
      <c r="A183" s="448" t="s">
        <v>365</v>
      </c>
      <c r="B183" s="411"/>
      <c r="C183" s="411"/>
      <c r="D183" s="411"/>
      <c r="E183" s="411"/>
      <c r="F183" s="411">
        <v>0</v>
      </c>
      <c r="G183" s="411"/>
      <c r="H183" s="411">
        <v>0</v>
      </c>
      <c r="I183" s="411">
        <v>0</v>
      </c>
      <c r="J183" s="412"/>
      <c r="K183" s="413">
        <v>0</v>
      </c>
      <c r="L183" s="411">
        <v>0</v>
      </c>
      <c r="M183" s="411">
        <v>0</v>
      </c>
      <c r="N183" s="411">
        <v>0</v>
      </c>
      <c r="O183" s="411">
        <v>0</v>
      </c>
      <c r="P183" s="411">
        <v>0</v>
      </c>
      <c r="Q183" s="411">
        <v>0</v>
      </c>
      <c r="R183" s="411">
        <v>0</v>
      </c>
      <c r="S183" s="411">
        <v>0</v>
      </c>
      <c r="T183" s="411"/>
      <c r="U183" s="411"/>
      <c r="V183" s="411">
        <f>_xlfn.IFNA(VLOOKUP(A183,[4]進出口值表查詢結果!$C$11:$F$68,4,0),-[5]整車!$B$22)</f>
        <v>0</v>
      </c>
      <c r="W183" s="411">
        <f>_xlfn.IFNA(VLOOKUP(A183,[4]進出口值表查詢結果!$C$11:$F$68,3,0),-[5]整車!$B$22)</f>
        <v>0</v>
      </c>
      <c r="X183" s="411">
        <f>_xlfn.IFNA(VLOOKUP(A183,[6]進出口值表查詢結果!$C$11:$F$75,4,0),-[5]整車!$B$22)</f>
        <v>0</v>
      </c>
      <c r="Y183" s="411">
        <f>_xlfn.IFNA(VLOOKUP(A183,[6]進出口值表查詢結果!$C$11:$F$75,3,0),-[5]整車!$B$22)</f>
        <v>0</v>
      </c>
      <c r="Z183" s="405">
        <f t="shared" si="29"/>
        <v>0</v>
      </c>
      <c r="AA183" s="405">
        <f t="shared" si="30"/>
        <v>0</v>
      </c>
    </row>
    <row r="184" spans="1:27">
      <c r="A184" s="448" t="s">
        <v>366</v>
      </c>
      <c r="B184" s="411"/>
      <c r="C184" s="411"/>
      <c r="D184" s="411"/>
      <c r="E184" s="411"/>
      <c r="F184" s="411">
        <v>0</v>
      </c>
      <c r="G184" s="411"/>
      <c r="H184" s="411">
        <v>0</v>
      </c>
      <c r="I184" s="411">
        <v>0</v>
      </c>
      <c r="J184" s="412"/>
      <c r="K184" s="413">
        <v>0</v>
      </c>
      <c r="L184" s="411">
        <v>0</v>
      </c>
      <c r="M184" s="411">
        <v>0</v>
      </c>
      <c r="N184" s="411">
        <v>0</v>
      </c>
      <c r="O184" s="411">
        <v>0</v>
      </c>
      <c r="P184" s="411">
        <v>0</v>
      </c>
      <c r="Q184" s="411">
        <v>0</v>
      </c>
      <c r="R184" s="411">
        <v>0</v>
      </c>
      <c r="S184" s="411">
        <v>0</v>
      </c>
      <c r="T184" s="411"/>
      <c r="U184" s="411"/>
      <c r="V184" s="411">
        <f>_xlfn.IFNA(VLOOKUP(A184,[4]進出口值表查詢結果!$C$11:$F$68,4,0),-[5]整車!$B$22)</f>
        <v>0</v>
      </c>
      <c r="W184" s="411">
        <f>_xlfn.IFNA(VLOOKUP(A184,[4]進出口值表查詢結果!$C$11:$F$68,3,0),-[5]整車!$B$22)</f>
        <v>0</v>
      </c>
      <c r="X184" s="411">
        <f>_xlfn.IFNA(VLOOKUP(A184,[6]進出口值表查詢結果!$C$11:$F$75,4,0),-[5]整車!$B$22)</f>
        <v>0</v>
      </c>
      <c r="Y184" s="411">
        <f>_xlfn.IFNA(VLOOKUP(A184,[6]進出口值表查詢結果!$C$11:$F$75,3,0),-[5]整車!$B$22)</f>
        <v>0</v>
      </c>
      <c r="Z184" s="405">
        <f t="shared" si="29"/>
        <v>0</v>
      </c>
      <c r="AA184" s="405">
        <f t="shared" si="30"/>
        <v>0</v>
      </c>
    </row>
    <row r="185" spans="1:27">
      <c r="A185" s="448" t="s">
        <v>367</v>
      </c>
      <c r="B185" s="411"/>
      <c r="C185" s="411"/>
      <c r="D185" s="411"/>
      <c r="E185" s="411"/>
      <c r="F185" s="411">
        <v>0</v>
      </c>
      <c r="G185" s="411"/>
      <c r="H185" s="411">
        <v>0</v>
      </c>
      <c r="I185" s="411">
        <v>0</v>
      </c>
      <c r="J185" s="412"/>
      <c r="K185" s="413">
        <v>0</v>
      </c>
      <c r="L185" s="411">
        <v>0</v>
      </c>
      <c r="M185" s="411">
        <v>0</v>
      </c>
      <c r="N185" s="411">
        <v>0</v>
      </c>
      <c r="O185" s="411">
        <v>0</v>
      </c>
      <c r="P185" s="411">
        <v>0</v>
      </c>
      <c r="Q185" s="411">
        <v>0</v>
      </c>
      <c r="R185" s="411">
        <v>0</v>
      </c>
      <c r="S185" s="411">
        <v>0</v>
      </c>
      <c r="T185" s="411"/>
      <c r="U185" s="411"/>
      <c r="V185" s="411">
        <f>_xlfn.IFNA(VLOOKUP(A185,[4]進出口值表查詢結果!$C$11:$F$68,4,0),-[5]整車!$B$22)</f>
        <v>0</v>
      </c>
      <c r="W185" s="411">
        <f>_xlfn.IFNA(VLOOKUP(A185,[4]進出口值表查詢結果!$C$11:$F$68,3,0),-[5]整車!$B$22)</f>
        <v>0</v>
      </c>
      <c r="X185" s="411">
        <f>_xlfn.IFNA(VLOOKUP(A185,[6]進出口值表查詢結果!$C$11:$F$75,4,0),-[5]整車!$B$22)</f>
        <v>0</v>
      </c>
      <c r="Y185" s="411">
        <f>_xlfn.IFNA(VLOOKUP(A185,[6]進出口值表查詢結果!$C$11:$F$75,3,0),-[5]整車!$B$22)</f>
        <v>0</v>
      </c>
      <c r="Z185" s="405">
        <f t="shared" si="29"/>
        <v>0</v>
      </c>
      <c r="AA185" s="405">
        <f t="shared" si="30"/>
        <v>0</v>
      </c>
    </row>
    <row r="186" spans="1:27">
      <c r="A186" s="448" t="s">
        <v>368</v>
      </c>
      <c r="B186" s="411"/>
      <c r="C186" s="411"/>
      <c r="D186" s="411"/>
      <c r="E186" s="411"/>
      <c r="F186" s="411">
        <v>0</v>
      </c>
      <c r="G186" s="411"/>
      <c r="H186" s="411">
        <v>0</v>
      </c>
      <c r="I186" s="411">
        <v>0</v>
      </c>
      <c r="J186" s="412"/>
      <c r="K186" s="413"/>
      <c r="L186" s="411">
        <v>0</v>
      </c>
      <c r="M186" s="411">
        <v>0</v>
      </c>
      <c r="N186" s="411">
        <v>0</v>
      </c>
      <c r="O186" s="411">
        <v>0</v>
      </c>
      <c r="P186" s="411">
        <v>0</v>
      </c>
      <c r="Q186" s="411">
        <v>0</v>
      </c>
      <c r="R186" s="411">
        <v>0</v>
      </c>
      <c r="S186" s="411">
        <v>0</v>
      </c>
      <c r="T186" s="411"/>
      <c r="U186" s="411"/>
      <c r="V186" s="411">
        <f>_xlfn.IFNA(VLOOKUP(A186,[4]進出口值表查詢結果!$C$11:$F$68,4,0),-[5]整車!$B$22)</f>
        <v>0</v>
      </c>
      <c r="W186" s="411">
        <f>_xlfn.IFNA(VLOOKUP(A186,[4]進出口值表查詢結果!$C$11:$F$68,3,0),-[5]整車!$B$22)</f>
        <v>0</v>
      </c>
      <c r="X186" s="411">
        <f>_xlfn.IFNA(VLOOKUP(A186,[6]進出口值表查詢結果!$C$11:$F$75,4,0),-[5]整車!$B$22)</f>
        <v>0</v>
      </c>
      <c r="Y186" s="411">
        <f>_xlfn.IFNA(VLOOKUP(A186,[6]進出口值表查詢結果!$C$11:$F$75,3,0),-[5]整車!$B$22)</f>
        <v>0</v>
      </c>
      <c r="Z186" s="405">
        <f t="shared" ref="Z186:Z200" si="31">SUM(B186,D186,F186,H186,J186,L186,N186,P186,R186,T186,V186,X186)</f>
        <v>0</v>
      </c>
      <c r="AA186" s="405"/>
    </row>
    <row r="187" spans="1:27">
      <c r="A187" s="448" t="s">
        <v>369</v>
      </c>
      <c r="B187" s="411"/>
      <c r="C187" s="411"/>
      <c r="D187" s="411"/>
      <c r="E187" s="411"/>
      <c r="F187" s="411">
        <v>0</v>
      </c>
      <c r="G187" s="411"/>
      <c r="H187" s="411">
        <v>0</v>
      </c>
      <c r="I187" s="411">
        <v>0</v>
      </c>
      <c r="J187" s="412"/>
      <c r="K187" s="413">
        <v>0</v>
      </c>
      <c r="L187" s="411">
        <v>0</v>
      </c>
      <c r="M187" s="411">
        <v>0</v>
      </c>
      <c r="N187" s="411">
        <v>0</v>
      </c>
      <c r="O187" s="411">
        <v>0</v>
      </c>
      <c r="P187" s="411">
        <v>0</v>
      </c>
      <c r="Q187" s="411">
        <v>0</v>
      </c>
      <c r="R187" s="411">
        <v>0</v>
      </c>
      <c r="S187" s="411">
        <v>0</v>
      </c>
      <c r="T187" s="411"/>
      <c r="U187" s="411"/>
      <c r="V187" s="411">
        <f>_xlfn.IFNA(VLOOKUP(A187,[4]進出口值表查詢結果!$C$11:$F$68,4,0),-[5]整車!$B$22)</f>
        <v>0</v>
      </c>
      <c r="W187" s="411">
        <f>_xlfn.IFNA(VLOOKUP(A187,[4]進出口值表查詢結果!$C$11:$F$68,3,0),-[5]整車!$B$22)</f>
        <v>0</v>
      </c>
      <c r="X187" s="411">
        <f>_xlfn.IFNA(VLOOKUP(A187,[6]進出口值表查詢結果!$C$11:$F$75,4,0),-[5]整車!$B$22)</f>
        <v>0</v>
      </c>
      <c r="Y187" s="411">
        <f>_xlfn.IFNA(VLOOKUP(A187,[6]進出口值表查詢結果!$C$11:$F$75,3,0),-[5]整車!$B$22)</f>
        <v>0</v>
      </c>
      <c r="Z187" s="405">
        <f t="shared" si="31"/>
        <v>0</v>
      </c>
      <c r="AA187" s="405">
        <f t="shared" ref="AA187:AA200" si="32">SUM(C187,E187,G187,I187,K187,M187,O187,Q187,S187,U187,W187,Y187)</f>
        <v>0</v>
      </c>
    </row>
    <row r="188" spans="1:27">
      <c r="A188" s="448" t="s">
        <v>370</v>
      </c>
      <c r="B188" s="411"/>
      <c r="C188" s="411"/>
      <c r="D188" s="411"/>
      <c r="E188" s="411"/>
      <c r="F188" s="411">
        <v>0</v>
      </c>
      <c r="G188" s="411"/>
      <c r="H188" s="411">
        <v>0</v>
      </c>
      <c r="I188" s="411">
        <v>0</v>
      </c>
      <c r="J188" s="412"/>
      <c r="K188" s="413">
        <v>0</v>
      </c>
      <c r="L188" s="411">
        <v>0</v>
      </c>
      <c r="M188" s="411">
        <v>0</v>
      </c>
      <c r="N188" s="411">
        <v>0</v>
      </c>
      <c r="O188" s="411">
        <v>0</v>
      </c>
      <c r="P188" s="411">
        <v>0</v>
      </c>
      <c r="Q188" s="411">
        <v>0</v>
      </c>
      <c r="R188" s="411">
        <v>0</v>
      </c>
      <c r="S188" s="411">
        <v>0</v>
      </c>
      <c r="T188" s="411"/>
      <c r="U188" s="411"/>
      <c r="V188" s="411">
        <f>_xlfn.IFNA(VLOOKUP(A188,[4]進出口值表查詢結果!$C$11:$F$68,4,0),-[5]整車!$B$22)</f>
        <v>0</v>
      </c>
      <c r="W188" s="411">
        <f>_xlfn.IFNA(VLOOKUP(A188,[4]進出口值表查詢結果!$C$11:$F$68,3,0),-[5]整車!$B$22)</f>
        <v>0</v>
      </c>
      <c r="X188" s="411">
        <f>_xlfn.IFNA(VLOOKUP(A188,[6]進出口值表查詢結果!$C$11:$F$75,4,0),-[5]整車!$B$22)</f>
        <v>0</v>
      </c>
      <c r="Y188" s="411">
        <f>_xlfn.IFNA(VLOOKUP(A188,[6]進出口值表查詢結果!$C$11:$F$75,3,0),-[5]整車!$B$22)</f>
        <v>0</v>
      </c>
      <c r="Z188" s="405">
        <f t="shared" si="31"/>
        <v>0</v>
      </c>
      <c r="AA188" s="405">
        <f t="shared" si="32"/>
        <v>0</v>
      </c>
    </row>
    <row r="189" spans="1:27">
      <c r="A189" s="454" t="s">
        <v>371</v>
      </c>
      <c r="B189" s="432">
        <f t="shared" ref="B189:Y189" si="33">SUM(B190:B203)</f>
        <v>0</v>
      </c>
      <c r="C189" s="432">
        <f t="shared" si="33"/>
        <v>0</v>
      </c>
      <c r="D189" s="432">
        <f t="shared" si="33"/>
        <v>0</v>
      </c>
      <c r="E189" s="432">
        <f t="shared" si="33"/>
        <v>0</v>
      </c>
      <c r="F189" s="432">
        <f t="shared" si="33"/>
        <v>0</v>
      </c>
      <c r="G189" s="432">
        <f t="shared" si="33"/>
        <v>0</v>
      </c>
      <c r="H189" s="432">
        <f t="shared" si="33"/>
        <v>10</v>
      </c>
      <c r="I189" s="432">
        <f t="shared" si="33"/>
        <v>1060</v>
      </c>
      <c r="J189" s="433">
        <f t="shared" si="33"/>
        <v>0</v>
      </c>
      <c r="K189" s="434">
        <f t="shared" si="33"/>
        <v>0</v>
      </c>
      <c r="L189" s="432">
        <f t="shared" si="33"/>
        <v>10</v>
      </c>
      <c r="M189" s="432">
        <f t="shared" si="33"/>
        <v>1039</v>
      </c>
      <c r="N189" s="432">
        <f t="shared" si="33"/>
        <v>1</v>
      </c>
      <c r="O189" s="432">
        <f t="shared" si="33"/>
        <v>2028</v>
      </c>
      <c r="P189" s="432">
        <f t="shared" si="33"/>
        <v>0</v>
      </c>
      <c r="Q189" s="432">
        <f t="shared" si="33"/>
        <v>0</v>
      </c>
      <c r="R189" s="432">
        <f t="shared" si="33"/>
        <v>5</v>
      </c>
      <c r="S189" s="432">
        <f t="shared" si="33"/>
        <v>543</v>
      </c>
      <c r="T189" s="432">
        <f t="shared" si="33"/>
        <v>19</v>
      </c>
      <c r="U189" s="432">
        <f t="shared" si="33"/>
        <v>12461</v>
      </c>
      <c r="V189" s="432">
        <f>SUM(V190:V203)</f>
        <v>7</v>
      </c>
      <c r="W189" s="432">
        <f>SUM(W190:W203)</f>
        <v>8701</v>
      </c>
      <c r="X189" s="432">
        <f t="shared" si="33"/>
        <v>0</v>
      </c>
      <c r="Y189" s="432">
        <f t="shared" si="33"/>
        <v>0</v>
      </c>
      <c r="Z189" s="418">
        <f t="shared" si="31"/>
        <v>52</v>
      </c>
      <c r="AA189" s="418">
        <f t="shared" si="32"/>
        <v>25832</v>
      </c>
    </row>
    <row r="190" spans="1:27">
      <c r="A190" s="414" t="s">
        <v>146</v>
      </c>
      <c r="B190" s="411"/>
      <c r="C190" s="411"/>
      <c r="D190" s="411">
        <v>0</v>
      </c>
      <c r="E190" s="411">
        <v>0</v>
      </c>
      <c r="F190" s="411">
        <v>0</v>
      </c>
      <c r="G190" s="411"/>
      <c r="H190" s="411">
        <v>0</v>
      </c>
      <c r="I190" s="411">
        <v>0</v>
      </c>
      <c r="J190" s="412">
        <v>0</v>
      </c>
      <c r="K190" s="413">
        <v>0</v>
      </c>
      <c r="L190" s="411">
        <v>0</v>
      </c>
      <c r="M190" s="411">
        <v>0</v>
      </c>
      <c r="N190" s="411">
        <v>0</v>
      </c>
      <c r="O190" s="411">
        <v>0</v>
      </c>
      <c r="P190" s="411">
        <v>0</v>
      </c>
      <c r="Q190" s="411">
        <v>0</v>
      </c>
      <c r="R190" s="411">
        <v>0</v>
      </c>
      <c r="S190" s="411">
        <v>0</v>
      </c>
      <c r="T190" s="411"/>
      <c r="U190" s="411"/>
      <c r="V190" s="411">
        <f>_xlfn.IFNA(VLOOKUP(A190,[4]進出口值表查詢結果!$C$11:$F$68,4,0),-[5]整車!$B$22)</f>
        <v>0</v>
      </c>
      <c r="W190" s="411">
        <f>_xlfn.IFNA(VLOOKUP(A190,[4]進出口值表查詢結果!$C$11:$F$68,3,0),-[5]整車!$B$22)</f>
        <v>0</v>
      </c>
      <c r="X190" s="411">
        <f>_xlfn.IFNA(VLOOKUP(A190,[6]進出口值表查詢結果!$C$11:$F$80,4,0),-[5]整車!$B$22)</f>
        <v>0</v>
      </c>
      <c r="Y190" s="411">
        <f>_xlfn.IFNA(VLOOKUP(A190,[6]進出口值表查詢結果!$C$11:$F$80,3,0),-[5]整車!$B$22)</f>
        <v>0</v>
      </c>
      <c r="Z190" s="405">
        <f t="shared" si="31"/>
        <v>0</v>
      </c>
      <c r="AA190" s="405">
        <f t="shared" si="32"/>
        <v>0</v>
      </c>
    </row>
    <row r="191" spans="1:27">
      <c r="A191" s="416" t="s">
        <v>372</v>
      </c>
      <c r="B191" s="411"/>
      <c r="C191" s="411"/>
      <c r="D191" s="411"/>
      <c r="E191" s="411">
        <v>0</v>
      </c>
      <c r="F191" s="411">
        <v>0</v>
      </c>
      <c r="G191" s="411"/>
      <c r="H191" s="411">
        <v>0</v>
      </c>
      <c r="I191" s="411">
        <v>0</v>
      </c>
      <c r="J191" s="412">
        <v>0</v>
      </c>
      <c r="K191" s="413">
        <v>0</v>
      </c>
      <c r="L191" s="411">
        <v>0</v>
      </c>
      <c r="M191" s="411">
        <v>0</v>
      </c>
      <c r="N191" s="411">
        <v>0</v>
      </c>
      <c r="O191" s="411">
        <v>0</v>
      </c>
      <c r="P191" s="411">
        <v>0</v>
      </c>
      <c r="Q191" s="411">
        <v>0</v>
      </c>
      <c r="R191" s="411">
        <v>0</v>
      </c>
      <c r="S191" s="411">
        <v>0</v>
      </c>
      <c r="T191" s="411"/>
      <c r="U191" s="411"/>
      <c r="V191" s="411">
        <f>_xlfn.IFNA(VLOOKUP(A191,[4]進出口值表查詢結果!$C$11:$F$68,4,0),-[5]整車!$B$22)</f>
        <v>0</v>
      </c>
      <c r="W191" s="411">
        <f>_xlfn.IFNA(VLOOKUP(A191,[4]進出口值表查詢結果!$C$11:$F$68,3,0),-[5]整車!$B$22)</f>
        <v>0</v>
      </c>
      <c r="X191" s="411">
        <f>_xlfn.IFNA(VLOOKUP(A191,[6]進出口值表查詢結果!$C$11:$F$80,4,0),-[5]整車!$B$22)</f>
        <v>0</v>
      </c>
      <c r="Y191" s="411">
        <f>_xlfn.IFNA(VLOOKUP(A191,[6]進出口值表查詢結果!$C$11:$F$80,3,0),-[5]整車!$B$22)</f>
        <v>0</v>
      </c>
      <c r="Z191" s="405">
        <f t="shared" si="31"/>
        <v>0</v>
      </c>
      <c r="AA191" s="405">
        <f t="shared" si="32"/>
        <v>0</v>
      </c>
    </row>
    <row r="192" spans="1:27">
      <c r="A192" s="414" t="s">
        <v>373</v>
      </c>
      <c r="B192" s="411"/>
      <c r="C192" s="411"/>
      <c r="D192" s="411"/>
      <c r="E192" s="411">
        <v>0</v>
      </c>
      <c r="F192" s="411">
        <v>0</v>
      </c>
      <c r="G192" s="411"/>
      <c r="H192" s="411">
        <v>0</v>
      </c>
      <c r="I192" s="411">
        <v>0</v>
      </c>
      <c r="J192" s="412">
        <v>0</v>
      </c>
      <c r="K192" s="413">
        <v>0</v>
      </c>
      <c r="L192" s="411">
        <v>0</v>
      </c>
      <c r="M192" s="411">
        <v>0</v>
      </c>
      <c r="N192" s="411">
        <v>0</v>
      </c>
      <c r="O192" s="411">
        <v>0</v>
      </c>
      <c r="P192" s="411">
        <v>0</v>
      </c>
      <c r="Q192" s="411">
        <v>0</v>
      </c>
      <c r="R192" s="411">
        <v>0</v>
      </c>
      <c r="S192" s="411">
        <v>0</v>
      </c>
      <c r="T192" s="411"/>
      <c r="U192" s="411"/>
      <c r="V192" s="411">
        <f>_xlfn.IFNA(VLOOKUP(A192,[4]進出口值表查詢結果!$C$11:$F$68,4,0),-[5]整車!$B$22)</f>
        <v>0</v>
      </c>
      <c r="W192" s="411">
        <f>_xlfn.IFNA(VLOOKUP(A192,[4]進出口值表查詢結果!$C$11:$F$68,3,0),-[5]整車!$B$22)</f>
        <v>0</v>
      </c>
      <c r="X192" s="411">
        <f>_xlfn.IFNA(VLOOKUP(A192,[6]進出口值表查詢結果!$C$11:$F$80,4,0),-[5]整車!$B$22)</f>
        <v>0</v>
      </c>
      <c r="Y192" s="411">
        <f>_xlfn.IFNA(VLOOKUP(A192,[6]進出口值表查詢結果!$C$11:$F$80,3,0),-[5]整車!$B$22)</f>
        <v>0</v>
      </c>
      <c r="Z192" s="405">
        <f t="shared" si="31"/>
        <v>0</v>
      </c>
      <c r="AA192" s="405">
        <f t="shared" si="32"/>
        <v>0</v>
      </c>
    </row>
    <row r="193" spans="1:27">
      <c r="A193" s="436" t="s">
        <v>374</v>
      </c>
      <c r="B193" s="411"/>
      <c r="C193" s="411"/>
      <c r="D193" s="411"/>
      <c r="E193" s="411">
        <v>0</v>
      </c>
      <c r="F193" s="411">
        <v>0</v>
      </c>
      <c r="G193" s="411"/>
      <c r="H193" s="411">
        <v>10</v>
      </c>
      <c r="I193" s="411">
        <v>1060</v>
      </c>
      <c r="J193" s="412">
        <v>0</v>
      </c>
      <c r="K193" s="413">
        <v>0</v>
      </c>
      <c r="L193" s="411">
        <v>0</v>
      </c>
      <c r="M193" s="411">
        <v>0</v>
      </c>
      <c r="N193" s="411">
        <v>0</v>
      </c>
      <c r="O193" s="411">
        <v>0</v>
      </c>
      <c r="P193" s="411">
        <v>0</v>
      </c>
      <c r="Q193" s="411">
        <v>0</v>
      </c>
      <c r="R193" s="411">
        <v>0</v>
      </c>
      <c r="S193" s="411">
        <v>0</v>
      </c>
      <c r="T193" s="411"/>
      <c r="U193" s="411"/>
      <c r="V193" s="411">
        <f>_xlfn.IFNA(VLOOKUP(A193,[4]進出口值表查詢結果!$C$11:$F$68,4,0),-[5]整車!$B$22)</f>
        <v>0</v>
      </c>
      <c r="W193" s="411">
        <f>_xlfn.IFNA(VLOOKUP(A193,[4]進出口值表查詢結果!$C$11:$F$68,3,0),-[5]整車!$B$22)</f>
        <v>0</v>
      </c>
      <c r="X193" s="411">
        <f>_xlfn.IFNA(VLOOKUP(A193,[6]進出口值表查詢結果!$C$11:$F$80,4,0),-[5]整車!$B$22)</f>
        <v>0</v>
      </c>
      <c r="Y193" s="411">
        <f>_xlfn.IFNA(VLOOKUP(A193,[6]進出口值表查詢結果!$C$11:$F$80,3,0),-[5]整車!$B$22)</f>
        <v>0</v>
      </c>
      <c r="Z193" s="405">
        <f t="shared" si="31"/>
        <v>10</v>
      </c>
      <c r="AA193" s="405">
        <f t="shared" si="32"/>
        <v>1060</v>
      </c>
    </row>
    <row r="194" spans="1:27">
      <c r="A194" s="448" t="s">
        <v>375</v>
      </c>
      <c r="B194" s="411"/>
      <c r="C194" s="411"/>
      <c r="D194" s="411"/>
      <c r="E194" s="411">
        <v>0</v>
      </c>
      <c r="F194" s="411">
        <v>0</v>
      </c>
      <c r="G194" s="411"/>
      <c r="H194" s="411">
        <v>0</v>
      </c>
      <c r="I194" s="411">
        <v>0</v>
      </c>
      <c r="J194" s="412">
        <v>0</v>
      </c>
      <c r="K194" s="413">
        <v>0</v>
      </c>
      <c r="L194" s="411">
        <v>0</v>
      </c>
      <c r="M194" s="411">
        <v>0</v>
      </c>
      <c r="N194" s="411">
        <v>0</v>
      </c>
      <c r="O194" s="411">
        <v>0</v>
      </c>
      <c r="P194" s="411">
        <v>0</v>
      </c>
      <c r="Q194" s="411">
        <v>0</v>
      </c>
      <c r="R194" s="411">
        <v>0</v>
      </c>
      <c r="S194" s="411">
        <v>0</v>
      </c>
      <c r="T194" s="411"/>
      <c r="U194" s="411"/>
      <c r="V194" s="411">
        <f>_xlfn.IFNA(VLOOKUP(A194,[4]進出口值表查詢結果!$C$11:$F$68,4,0),-[5]整車!$B$22)</f>
        <v>0</v>
      </c>
      <c r="W194" s="411">
        <f>_xlfn.IFNA(VLOOKUP(A194,[4]進出口值表查詢結果!$C$11:$F$68,3,0),-[5]整車!$B$22)</f>
        <v>0</v>
      </c>
      <c r="X194" s="411">
        <f>_xlfn.IFNA(VLOOKUP(A194,[6]進出口值表查詢結果!$C$11:$F$80,4,0),-[5]整車!$B$22)</f>
        <v>0</v>
      </c>
      <c r="Y194" s="411">
        <f>_xlfn.IFNA(VLOOKUP(A194,[6]進出口值表查詢結果!$C$11:$F$80,3,0),-[5]整車!$B$22)</f>
        <v>0</v>
      </c>
      <c r="Z194" s="405">
        <f t="shared" si="31"/>
        <v>0</v>
      </c>
      <c r="AA194" s="405">
        <f t="shared" si="32"/>
        <v>0</v>
      </c>
    </row>
    <row r="195" spans="1:27">
      <c r="A195" s="414" t="s">
        <v>147</v>
      </c>
      <c r="B195" s="411"/>
      <c r="C195" s="411"/>
      <c r="D195" s="411"/>
      <c r="E195" s="411">
        <v>0</v>
      </c>
      <c r="F195" s="411">
        <v>0</v>
      </c>
      <c r="G195" s="411"/>
      <c r="H195" s="411">
        <v>0</v>
      </c>
      <c r="I195" s="411">
        <v>0</v>
      </c>
      <c r="J195" s="412">
        <v>0</v>
      </c>
      <c r="K195" s="413">
        <v>0</v>
      </c>
      <c r="L195" s="411">
        <v>0</v>
      </c>
      <c r="M195" s="411">
        <v>0</v>
      </c>
      <c r="N195" s="411">
        <v>0</v>
      </c>
      <c r="O195" s="411">
        <v>0</v>
      </c>
      <c r="P195" s="411">
        <v>0</v>
      </c>
      <c r="Q195" s="411">
        <v>0</v>
      </c>
      <c r="R195" s="411">
        <v>0</v>
      </c>
      <c r="S195" s="411">
        <v>0</v>
      </c>
      <c r="T195" s="411"/>
      <c r="U195" s="411"/>
      <c r="V195" s="411">
        <f>_xlfn.IFNA(VLOOKUP(A195,[4]進出口值表查詢結果!$C$11:$F$68,4,0),-[5]整車!$B$22)</f>
        <v>0</v>
      </c>
      <c r="W195" s="411">
        <f>_xlfn.IFNA(VLOOKUP(A195,[4]進出口值表查詢結果!$C$11:$F$68,3,0),-[5]整車!$B$22)</f>
        <v>0</v>
      </c>
      <c r="X195" s="411">
        <f>_xlfn.IFNA(VLOOKUP(A195,[6]進出口值表查詢結果!$C$11:$F$80,4,0),-[5]整車!$B$22)</f>
        <v>0</v>
      </c>
      <c r="Y195" s="411">
        <f>_xlfn.IFNA(VLOOKUP(A195,[6]進出口值表查詢結果!$C$11:$F$80,3,0),-[5]整車!$B$22)</f>
        <v>0</v>
      </c>
      <c r="Z195" s="405">
        <f t="shared" si="31"/>
        <v>0</v>
      </c>
      <c r="AA195" s="405">
        <f t="shared" si="32"/>
        <v>0</v>
      </c>
    </row>
    <row r="196" spans="1:27">
      <c r="A196" s="448" t="s">
        <v>376</v>
      </c>
      <c r="B196" s="411"/>
      <c r="C196" s="411"/>
      <c r="D196" s="411"/>
      <c r="E196" s="411">
        <v>0</v>
      </c>
      <c r="F196" s="411">
        <v>0</v>
      </c>
      <c r="G196" s="411"/>
      <c r="H196" s="411">
        <v>0</v>
      </c>
      <c r="I196" s="411">
        <v>0</v>
      </c>
      <c r="J196" s="412">
        <v>0</v>
      </c>
      <c r="K196" s="413">
        <v>0</v>
      </c>
      <c r="L196" s="411">
        <v>0</v>
      </c>
      <c r="M196" s="411">
        <v>0</v>
      </c>
      <c r="N196" s="411">
        <v>0</v>
      </c>
      <c r="O196" s="411">
        <v>0</v>
      </c>
      <c r="P196" s="411">
        <v>0</v>
      </c>
      <c r="Q196" s="411">
        <v>0</v>
      </c>
      <c r="R196" s="411">
        <v>0</v>
      </c>
      <c r="S196" s="411">
        <v>0</v>
      </c>
      <c r="T196" s="411">
        <v>19</v>
      </c>
      <c r="U196" s="411">
        <v>12461</v>
      </c>
      <c r="V196" s="411">
        <f>_xlfn.IFNA(VLOOKUP(A196,[4]進出口值表查詢結果!$C$11:$F$68,4,0),-[5]整車!$B$22)</f>
        <v>0</v>
      </c>
      <c r="W196" s="411">
        <f>_xlfn.IFNA(VLOOKUP(A196,[4]進出口值表查詢結果!$C$11:$F$68,3,0),-[5]整車!$B$22)</f>
        <v>0</v>
      </c>
      <c r="X196" s="411">
        <f>_xlfn.IFNA(VLOOKUP(A196,[6]進出口值表查詢結果!$C$11:$F$80,4,0),-[5]整車!$B$22)</f>
        <v>0</v>
      </c>
      <c r="Y196" s="411">
        <f>_xlfn.IFNA(VLOOKUP(A196,[6]進出口值表查詢結果!$C$11:$F$80,3,0),-[5]整車!$B$22)</f>
        <v>0</v>
      </c>
      <c r="Z196" s="405">
        <f t="shared" si="31"/>
        <v>19</v>
      </c>
      <c r="AA196" s="405">
        <f t="shared" si="32"/>
        <v>12461</v>
      </c>
    </row>
    <row r="197" spans="1:27">
      <c r="A197" s="448" t="s">
        <v>377</v>
      </c>
      <c r="B197" s="411"/>
      <c r="C197" s="411"/>
      <c r="D197" s="411"/>
      <c r="E197" s="411">
        <v>0</v>
      </c>
      <c r="F197" s="411">
        <v>0</v>
      </c>
      <c r="G197" s="411"/>
      <c r="H197" s="411">
        <v>0</v>
      </c>
      <c r="I197" s="411">
        <v>0</v>
      </c>
      <c r="J197" s="412">
        <v>0</v>
      </c>
      <c r="K197" s="413">
        <v>0</v>
      </c>
      <c r="L197" s="411">
        <v>0</v>
      </c>
      <c r="M197" s="411">
        <v>0</v>
      </c>
      <c r="N197" s="411">
        <v>0</v>
      </c>
      <c r="O197" s="411">
        <v>0</v>
      </c>
      <c r="P197" s="411">
        <v>0</v>
      </c>
      <c r="Q197" s="411">
        <v>0</v>
      </c>
      <c r="R197" s="411">
        <v>0</v>
      </c>
      <c r="S197" s="411">
        <v>0</v>
      </c>
      <c r="T197" s="411"/>
      <c r="U197" s="411"/>
      <c r="V197" s="411">
        <f>_xlfn.IFNA(VLOOKUP(A197,[4]進出口值表查詢結果!$C$11:$F$68,4,0),-[5]整車!$B$22)</f>
        <v>0</v>
      </c>
      <c r="W197" s="411">
        <f>_xlfn.IFNA(VLOOKUP(A197,[4]進出口值表查詢結果!$C$11:$F$68,3,0),-[5]整車!$B$22)</f>
        <v>0</v>
      </c>
      <c r="X197" s="411">
        <f>_xlfn.IFNA(VLOOKUP(A197,[6]進出口值表查詢結果!$C$11:$F$80,4,0),-[5]整車!$B$22)</f>
        <v>0</v>
      </c>
      <c r="Y197" s="411">
        <f>_xlfn.IFNA(VLOOKUP(A197,[6]進出口值表查詢結果!$C$11:$F$80,3,0),-[5]整車!$B$22)</f>
        <v>0</v>
      </c>
      <c r="Z197" s="405">
        <f t="shared" si="31"/>
        <v>0</v>
      </c>
      <c r="AA197" s="405">
        <f t="shared" si="32"/>
        <v>0</v>
      </c>
    </row>
    <row r="198" spans="1:27">
      <c r="A198" s="448" t="s">
        <v>378</v>
      </c>
      <c r="B198" s="411"/>
      <c r="C198" s="411"/>
      <c r="D198" s="411"/>
      <c r="E198" s="411">
        <v>0</v>
      </c>
      <c r="F198" s="411">
        <v>0</v>
      </c>
      <c r="G198" s="411"/>
      <c r="H198" s="411">
        <v>0</v>
      </c>
      <c r="I198" s="411">
        <v>0</v>
      </c>
      <c r="J198" s="412">
        <v>0</v>
      </c>
      <c r="K198" s="413">
        <v>0</v>
      </c>
      <c r="L198" s="411">
        <v>0</v>
      </c>
      <c r="M198" s="411">
        <v>0</v>
      </c>
      <c r="N198" s="411">
        <v>0</v>
      </c>
      <c r="O198" s="411">
        <v>0</v>
      </c>
      <c r="P198" s="411">
        <v>0</v>
      </c>
      <c r="Q198" s="411">
        <v>0</v>
      </c>
      <c r="R198" s="411">
        <v>0</v>
      </c>
      <c r="S198" s="411">
        <v>0</v>
      </c>
      <c r="T198" s="411"/>
      <c r="U198" s="411"/>
      <c r="V198" s="411">
        <f>_xlfn.IFNA(VLOOKUP(A198,[4]進出口值表查詢結果!$C$11:$F$68,4,0),-[5]整車!$B$22)</f>
        <v>0</v>
      </c>
      <c r="W198" s="411">
        <f>_xlfn.IFNA(VLOOKUP(A198,[4]進出口值表查詢結果!$C$11:$F$68,3,0),-[5]整車!$B$22)</f>
        <v>0</v>
      </c>
      <c r="X198" s="411">
        <f>_xlfn.IFNA(VLOOKUP(A198,[6]進出口值表查詢結果!$C$11:$F$80,4,0),-[5]整車!$B$22)</f>
        <v>0</v>
      </c>
      <c r="Y198" s="411">
        <f>_xlfn.IFNA(VLOOKUP(A198,[6]進出口值表查詢結果!$C$11:$F$80,3,0),-[5]整車!$B$22)</f>
        <v>0</v>
      </c>
      <c r="Z198" s="405">
        <f t="shared" si="31"/>
        <v>0</v>
      </c>
      <c r="AA198" s="405">
        <f t="shared" si="32"/>
        <v>0</v>
      </c>
    </row>
    <row r="199" spans="1:27">
      <c r="A199" s="448" t="s">
        <v>397</v>
      </c>
      <c r="B199" s="411"/>
      <c r="C199" s="411"/>
      <c r="D199" s="411"/>
      <c r="E199" s="411">
        <v>0</v>
      </c>
      <c r="F199" s="411">
        <v>0</v>
      </c>
      <c r="G199" s="411"/>
      <c r="H199" s="411">
        <v>0</v>
      </c>
      <c r="I199" s="411">
        <v>0</v>
      </c>
      <c r="J199" s="412" t="s">
        <v>60</v>
      </c>
      <c r="K199" s="413">
        <v>0</v>
      </c>
      <c r="L199" s="411">
        <v>10</v>
      </c>
      <c r="M199" s="411">
        <v>1039</v>
      </c>
      <c r="N199" s="411">
        <v>0</v>
      </c>
      <c r="O199" s="411">
        <v>0</v>
      </c>
      <c r="P199" s="411">
        <v>0</v>
      </c>
      <c r="Q199" s="411">
        <v>0</v>
      </c>
      <c r="R199" s="411">
        <v>5</v>
      </c>
      <c r="S199" s="411">
        <v>543</v>
      </c>
      <c r="T199" s="411"/>
      <c r="U199" s="411"/>
      <c r="V199" s="411">
        <f>_xlfn.IFNA(VLOOKUP(A199,[4]進出口值表查詢結果!$C$11:$F$68,4,0),-[5]整車!$B$22)</f>
        <v>2</v>
      </c>
      <c r="W199" s="411">
        <f>_xlfn.IFNA(VLOOKUP(A199,[4]進出口值表查詢結果!$C$11:$F$68,3,0),-[5]整車!$B$22)</f>
        <v>763</v>
      </c>
      <c r="X199" s="411">
        <f>_xlfn.IFNA(VLOOKUP(A199,[6]進出口值表查詢結果!$C$11:$F$80,4,0),-[5]整車!$B$22)</f>
        <v>0</v>
      </c>
      <c r="Y199" s="411">
        <f>_xlfn.IFNA(VLOOKUP(A199,[6]進出口值表查詢結果!$C$11:$F$80,3,0),-[5]整車!$B$22)</f>
        <v>0</v>
      </c>
      <c r="Z199" s="405">
        <f t="shared" si="31"/>
        <v>17</v>
      </c>
      <c r="AA199" s="405">
        <f t="shared" si="32"/>
        <v>2345</v>
      </c>
    </row>
    <row r="200" spans="1:27">
      <c r="A200" s="414" t="s">
        <v>148</v>
      </c>
      <c r="B200" s="411"/>
      <c r="C200" s="411"/>
      <c r="D200" s="411"/>
      <c r="E200" s="411">
        <v>0</v>
      </c>
      <c r="F200" s="411">
        <v>0</v>
      </c>
      <c r="G200" s="411"/>
      <c r="H200" s="411">
        <v>0</v>
      </c>
      <c r="I200" s="411">
        <v>0</v>
      </c>
      <c r="J200" s="412">
        <v>0</v>
      </c>
      <c r="K200" s="413">
        <v>0</v>
      </c>
      <c r="L200" s="411">
        <v>0</v>
      </c>
      <c r="M200" s="411">
        <v>0</v>
      </c>
      <c r="N200" s="411">
        <v>1</v>
      </c>
      <c r="O200" s="411">
        <v>2028</v>
      </c>
      <c r="P200" s="411">
        <v>0</v>
      </c>
      <c r="Q200" s="411">
        <v>0</v>
      </c>
      <c r="R200" s="411">
        <v>0</v>
      </c>
      <c r="S200" s="411">
        <v>0</v>
      </c>
      <c r="T200" s="411"/>
      <c r="U200" s="411"/>
      <c r="V200" s="411">
        <f>_xlfn.IFNA(VLOOKUP(A200,[4]進出口值表查詢結果!$C$11:$F$68,4,0),-[5]整車!$B$22)</f>
        <v>0</v>
      </c>
      <c r="W200" s="411">
        <f>_xlfn.IFNA(VLOOKUP(A200,[4]進出口值表查詢結果!$C$11:$F$68,3,0),-[5]整車!$B$22)</f>
        <v>0</v>
      </c>
      <c r="X200" s="411">
        <f>_xlfn.IFNA(VLOOKUP(A200,[6]進出口值表查詢結果!$C$11:$F$80,4,0),-[5]整車!$B$22)</f>
        <v>0</v>
      </c>
      <c r="Y200" s="411">
        <f>_xlfn.IFNA(VLOOKUP(A200,[6]進出口值表查詢結果!$C$11:$F$80,3,0),-[5]整車!$B$22)</f>
        <v>0</v>
      </c>
      <c r="Z200" s="405">
        <f t="shared" si="31"/>
        <v>1</v>
      </c>
      <c r="AA200" s="405">
        <f t="shared" si="32"/>
        <v>2028</v>
      </c>
    </row>
    <row r="201" spans="1:27">
      <c r="A201" s="452" t="s">
        <v>379</v>
      </c>
      <c r="B201" s="411"/>
      <c r="C201" s="411"/>
      <c r="D201" s="411"/>
      <c r="E201" s="411"/>
      <c r="F201" s="411"/>
      <c r="G201" s="411"/>
      <c r="H201" s="411">
        <v>0</v>
      </c>
      <c r="I201" s="411">
        <v>0</v>
      </c>
      <c r="J201" s="412" t="s">
        <v>60</v>
      </c>
      <c r="K201" s="413"/>
      <c r="L201" s="411">
        <v>0</v>
      </c>
      <c r="M201" s="411">
        <v>0</v>
      </c>
      <c r="N201" s="411">
        <v>0</v>
      </c>
      <c r="O201" s="411">
        <v>0</v>
      </c>
      <c r="P201" s="411">
        <v>0</v>
      </c>
      <c r="Q201" s="411">
        <v>0</v>
      </c>
      <c r="R201" s="411">
        <v>0</v>
      </c>
      <c r="S201" s="411">
        <v>0</v>
      </c>
      <c r="T201" s="411"/>
      <c r="U201" s="411"/>
      <c r="V201" s="411">
        <f>_xlfn.IFNA(VLOOKUP(A201,[4]進出口值表查詢結果!$C$11:$F$68,4,0),-[5]整車!$B$22)</f>
        <v>0</v>
      </c>
      <c r="W201" s="411">
        <f>_xlfn.IFNA(VLOOKUP(A201,[4]進出口值表查詢結果!$C$11:$F$68,3,0),-[5]整車!$B$22)</f>
        <v>0</v>
      </c>
      <c r="X201" s="411">
        <f>_xlfn.IFNA(VLOOKUP(A201,[6]進出口值表查詢結果!$C$11:$F$80,4,0),-[5]整車!$B$22)</f>
        <v>0</v>
      </c>
      <c r="Y201" s="411">
        <f>_xlfn.IFNA(VLOOKUP(A201,[6]進出口值表查詢結果!$C$11:$F$80,3,0),-[5]整車!$B$22)</f>
        <v>0</v>
      </c>
      <c r="Z201" s="405"/>
      <c r="AA201" s="405"/>
    </row>
    <row r="202" spans="1:27">
      <c r="A202" s="448" t="s">
        <v>398</v>
      </c>
      <c r="B202" s="411"/>
      <c r="C202" s="411"/>
      <c r="D202" s="411"/>
      <c r="E202" s="411"/>
      <c r="F202" s="411"/>
      <c r="G202" s="411"/>
      <c r="H202" s="411">
        <v>0</v>
      </c>
      <c r="I202" s="411">
        <v>0</v>
      </c>
      <c r="J202" s="412" t="s">
        <v>60</v>
      </c>
      <c r="K202" s="413"/>
      <c r="L202" s="411">
        <v>0</v>
      </c>
      <c r="M202" s="411">
        <v>0</v>
      </c>
      <c r="N202" s="411">
        <v>0</v>
      </c>
      <c r="O202" s="411">
        <v>0</v>
      </c>
      <c r="P202" s="411">
        <v>0</v>
      </c>
      <c r="Q202" s="411">
        <v>0</v>
      </c>
      <c r="R202" s="411">
        <v>0</v>
      </c>
      <c r="S202" s="411">
        <v>0</v>
      </c>
      <c r="T202" s="411"/>
      <c r="U202" s="411"/>
      <c r="V202" s="411">
        <f>_xlfn.IFNA(VLOOKUP(A202,[4]進出口值表查詢結果!$C$11:$F$68,4,0),-[5]整車!$B$22)</f>
        <v>5</v>
      </c>
      <c r="W202" s="411">
        <f>_xlfn.IFNA(VLOOKUP(A202,[4]進出口值表查詢結果!$C$11:$F$68,3,0),-[5]整車!$B$22)</f>
        <v>7938</v>
      </c>
      <c r="X202" s="411">
        <f>_xlfn.IFNA(VLOOKUP(A202,[6]進出口值表查詢結果!$C$11:$F$80,4,0),-[5]整車!$B$22)</f>
        <v>0</v>
      </c>
      <c r="Y202" s="411">
        <f>_xlfn.IFNA(VLOOKUP(A202,[6]進出口值表查詢結果!$C$11:$F$80,3,0),-[5]整車!$B$22)</f>
        <v>0</v>
      </c>
      <c r="Z202" s="405"/>
      <c r="AA202" s="405"/>
    </row>
    <row r="203" spans="1:27">
      <c r="A203" s="452" t="s">
        <v>399</v>
      </c>
      <c r="B203" s="411"/>
      <c r="C203" s="411"/>
      <c r="D203" s="437">
        <v>0</v>
      </c>
      <c r="E203" s="411">
        <v>0</v>
      </c>
      <c r="F203" s="411">
        <v>0</v>
      </c>
      <c r="G203" s="438"/>
      <c r="H203" s="411">
        <v>0</v>
      </c>
      <c r="I203" s="411">
        <v>0</v>
      </c>
      <c r="J203" s="412">
        <v>0</v>
      </c>
      <c r="K203" s="413">
        <v>0</v>
      </c>
      <c r="L203" s="411">
        <v>0</v>
      </c>
      <c r="M203" s="411">
        <v>0</v>
      </c>
      <c r="N203" s="411">
        <v>0</v>
      </c>
      <c r="O203" s="411">
        <v>0</v>
      </c>
      <c r="P203" s="411">
        <v>0</v>
      </c>
      <c r="Q203" s="411">
        <v>0</v>
      </c>
      <c r="R203" s="411">
        <v>0</v>
      </c>
      <c r="S203" s="411">
        <v>0</v>
      </c>
      <c r="T203" s="411">
        <v>0</v>
      </c>
      <c r="U203" s="411">
        <v>0</v>
      </c>
      <c r="V203" s="411">
        <f>_xlfn.IFNA(VLOOKUP(A203,[4]進出口值表查詢結果!$C$11:$F$68,4,0),-[5]整車!$B$22)</f>
        <v>0</v>
      </c>
      <c r="W203" s="411">
        <f>_xlfn.IFNA(VLOOKUP(A203,[4]進出口值表查詢結果!$C$11:$F$68,3,0),-[5]整車!$B$22)</f>
        <v>0</v>
      </c>
      <c r="X203" s="411">
        <f>_xlfn.IFNA(VLOOKUP(A203,[6]進出口值表查詢結果!$C$11:$F$80,4,0),-[5]整車!$B$22)</f>
        <v>0</v>
      </c>
      <c r="Y203" s="411">
        <f>_xlfn.IFNA(VLOOKUP(A203,[6]進出口值表查詢結果!$C$11:$F$80,3,0),-[5]整車!$B$22)</f>
        <v>0</v>
      </c>
      <c r="Z203" s="411">
        <f>SUM(B203,D203,F203,H203,J203,L203,N203,P203,R203,T203,V203,X203)</f>
        <v>0</v>
      </c>
      <c r="AA203" s="411">
        <f>SUM(C203,E203,G203,I203,K203,M203,O203,Q203,S203,U203,W203,Y203)</f>
        <v>0</v>
      </c>
    </row>
    <row r="204" spans="1:27">
      <c r="A204" s="387"/>
      <c r="B204" s="547" t="s">
        <v>149</v>
      </c>
      <c r="C204" s="548"/>
      <c r="D204" s="388" t="s">
        <v>125</v>
      </c>
      <c r="E204" s="389"/>
      <c r="F204" s="388" t="s">
        <v>126</v>
      </c>
      <c r="G204" s="389"/>
      <c r="H204" s="388" t="s">
        <v>127</v>
      </c>
      <c r="I204" s="389"/>
      <c r="J204" s="390" t="s">
        <v>128</v>
      </c>
      <c r="K204" s="391"/>
      <c r="L204" s="388" t="s">
        <v>129</v>
      </c>
      <c r="M204" s="389"/>
      <c r="N204" s="388" t="s">
        <v>130</v>
      </c>
      <c r="O204" s="389"/>
      <c r="P204" s="388" t="s">
        <v>131</v>
      </c>
      <c r="Q204" s="389"/>
      <c r="R204" s="388" t="s">
        <v>132</v>
      </c>
      <c r="S204" s="389"/>
      <c r="T204" s="388" t="s">
        <v>133</v>
      </c>
      <c r="U204" s="389"/>
      <c r="V204" s="388" t="s">
        <v>134</v>
      </c>
      <c r="W204" s="389"/>
      <c r="X204" s="388" t="s">
        <v>135</v>
      </c>
      <c r="Y204" s="389"/>
      <c r="Z204" s="547" t="s">
        <v>106</v>
      </c>
      <c r="AA204" s="548"/>
    </row>
    <row r="205" spans="1:27">
      <c r="A205" s="439" t="s">
        <v>150</v>
      </c>
      <c r="B205" s="393" t="s">
        <v>137</v>
      </c>
      <c r="C205" s="393" t="s">
        <v>138</v>
      </c>
      <c r="D205" s="393" t="s">
        <v>139</v>
      </c>
      <c r="E205" s="393" t="s">
        <v>140</v>
      </c>
      <c r="F205" s="393" t="s">
        <v>139</v>
      </c>
      <c r="G205" s="393" t="s">
        <v>140</v>
      </c>
      <c r="H205" s="393" t="s">
        <v>139</v>
      </c>
      <c r="I205" s="393" t="s">
        <v>140</v>
      </c>
      <c r="J205" s="394" t="s">
        <v>139</v>
      </c>
      <c r="K205" s="395" t="s">
        <v>140</v>
      </c>
      <c r="L205" s="393" t="s">
        <v>139</v>
      </c>
      <c r="M205" s="393" t="s">
        <v>140</v>
      </c>
      <c r="N205" s="393" t="s">
        <v>139</v>
      </c>
      <c r="O205" s="393" t="s">
        <v>140</v>
      </c>
      <c r="P205" s="393" t="s">
        <v>139</v>
      </c>
      <c r="Q205" s="393" t="s">
        <v>140</v>
      </c>
      <c r="R205" s="393" t="s">
        <v>139</v>
      </c>
      <c r="S205" s="393" t="s">
        <v>140</v>
      </c>
      <c r="T205" s="393" t="s">
        <v>139</v>
      </c>
      <c r="U205" s="393" t="s">
        <v>140</v>
      </c>
      <c r="V205" s="393" t="s">
        <v>139</v>
      </c>
      <c r="W205" s="393" t="s">
        <v>140</v>
      </c>
      <c r="X205" s="393" t="s">
        <v>139</v>
      </c>
      <c r="Y205" s="393" t="s">
        <v>140</v>
      </c>
      <c r="Z205" s="393" t="s">
        <v>139</v>
      </c>
      <c r="AA205" s="393" t="s">
        <v>140</v>
      </c>
    </row>
    <row r="206" spans="1:27">
      <c r="A206" s="392" t="s">
        <v>151</v>
      </c>
      <c r="B206" s="411">
        <v>6025</v>
      </c>
      <c r="C206" s="411">
        <v>1562479</v>
      </c>
      <c r="D206" s="411">
        <v>5953</v>
      </c>
      <c r="E206" s="411">
        <v>1186109</v>
      </c>
      <c r="F206" s="411">
        <v>5066</v>
      </c>
      <c r="G206" s="411">
        <v>1570229</v>
      </c>
      <c r="H206" s="411">
        <v>7242</v>
      </c>
      <c r="I206" s="411">
        <v>1397285</v>
      </c>
      <c r="J206" s="412">
        <v>9565</v>
      </c>
      <c r="K206" s="413">
        <v>2314635</v>
      </c>
      <c r="L206" s="411">
        <v>11407</v>
      </c>
      <c r="M206" s="411">
        <v>2211195</v>
      </c>
      <c r="N206" s="411">
        <v>8718</v>
      </c>
      <c r="O206" s="411">
        <v>1911196</v>
      </c>
      <c r="P206" s="411"/>
      <c r="Q206" s="411"/>
      <c r="R206" s="411"/>
      <c r="S206" s="411"/>
      <c r="T206" s="411"/>
      <c r="U206" s="411"/>
      <c r="V206" s="411"/>
      <c r="W206" s="411"/>
      <c r="X206" s="411"/>
      <c r="Y206" s="411"/>
      <c r="Z206" s="411">
        <f>SUM(B206,D206,F206,H206,J206,L206,N206,P206,R206,T206,V206,X206)</f>
        <v>53976</v>
      </c>
      <c r="AA206" s="405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4"/>
  <sheetViews>
    <sheetView zoomScaleNormal="100" workbookViewId="0">
      <selection activeCell="C7" sqref="C7"/>
    </sheetView>
  </sheetViews>
  <sheetFormatPr defaultRowHeight="16.5"/>
  <cols>
    <col min="1" max="1" width="16.875" style="5" customWidth="1"/>
    <col min="2" max="2" width="14" style="5" bestFit="1" customWidth="1"/>
    <col min="3" max="3" width="14.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8" width="11.625" style="5" customWidth="1"/>
    <col min="9" max="9" width="11.87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49" t="s">
        <v>492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>
      <c r="G2" s="61"/>
    </row>
    <row r="3" spans="1:10">
      <c r="A3" s="62" t="s">
        <v>107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493</v>
      </c>
      <c r="B4" s="8" t="s">
        <v>420</v>
      </c>
      <c r="C4" s="71" t="s">
        <v>473</v>
      </c>
      <c r="D4" s="72" t="s">
        <v>159</v>
      </c>
      <c r="E4" s="8" t="s">
        <v>420</v>
      </c>
      <c r="F4" s="71" t="s">
        <v>421</v>
      </c>
      <c r="G4" s="74" t="s">
        <v>160</v>
      </c>
      <c r="H4" s="8" t="s">
        <v>420</v>
      </c>
      <c r="I4" s="71" t="s">
        <v>421</v>
      </c>
      <c r="J4" s="75" t="s">
        <v>160</v>
      </c>
    </row>
    <row r="5" spans="1:10">
      <c r="A5" s="14"/>
      <c r="B5" s="8" t="s">
        <v>33</v>
      </c>
      <c r="C5" s="76" t="s">
        <v>33</v>
      </c>
      <c r="D5" s="440" t="s">
        <v>2</v>
      </c>
      <c r="E5" s="77" t="s">
        <v>34</v>
      </c>
      <c r="F5" s="76" t="s">
        <v>34</v>
      </c>
      <c r="G5" s="440" t="s">
        <v>2</v>
      </c>
      <c r="H5" s="78" t="s">
        <v>108</v>
      </c>
      <c r="I5" s="79" t="s">
        <v>109</v>
      </c>
      <c r="J5" s="440" t="s">
        <v>2</v>
      </c>
    </row>
    <row r="6" spans="1:10">
      <c r="A6" s="80" t="s">
        <v>5</v>
      </c>
      <c r="B6" s="17"/>
      <c r="C6" s="81"/>
      <c r="D6" s="82"/>
      <c r="E6" s="17"/>
      <c r="F6" s="81"/>
      <c r="G6" s="82"/>
      <c r="H6" s="83"/>
      <c r="I6" s="84"/>
      <c r="J6" s="82"/>
    </row>
    <row r="7" spans="1:10">
      <c r="A7" s="80" t="s">
        <v>6</v>
      </c>
      <c r="B7" s="553">
        <f>SUM(B8:B10)</f>
        <v>340723</v>
      </c>
      <c r="C7" s="85">
        <v>532455</v>
      </c>
      <c r="D7" s="500">
        <f>IF(C7,(B7-C7)/C7,0)</f>
        <v>-0.36009052408184727</v>
      </c>
      <c r="E7" s="553">
        <f>SUM(E8:E10)</f>
        <v>346016909</v>
      </c>
      <c r="F7" s="85">
        <v>395888170</v>
      </c>
      <c r="G7" s="500">
        <f>IF(F7,(E7-F7)/F7,0)</f>
        <v>-0.12597310245466542</v>
      </c>
      <c r="H7" s="87">
        <f>IF(B7,E7/B7,0)</f>
        <v>1015.5372810171312</v>
      </c>
      <c r="I7" s="88">
        <f>IF(C7,F7/C7,0)</f>
        <v>743.51479467748447</v>
      </c>
      <c r="J7" s="500">
        <f>IF(I7,(H7-I7)/I7,0)</f>
        <v>0.36586021998075019</v>
      </c>
    </row>
    <row r="8" spans="1:10">
      <c r="A8" s="444" t="s">
        <v>200</v>
      </c>
      <c r="B8" s="554">
        <f>整車出口!E8</f>
        <v>308934</v>
      </c>
      <c r="C8" s="89">
        <v>492821</v>
      </c>
      <c r="D8" s="500">
        <f t="shared" ref="D8:D67" si="0">IF(C8,(B8-C8)/C8,0)</f>
        <v>-0.37313142094188356</v>
      </c>
      <c r="E8" s="554">
        <f>整車出口!G8</f>
        <v>304630779</v>
      </c>
      <c r="F8" s="89">
        <v>353716978</v>
      </c>
      <c r="G8" s="500">
        <f t="shared" ref="G8:G67" si="1">IF(F8,(E8-F8)/F8,0)</f>
        <v>-0.13877252733964046</v>
      </c>
      <c r="H8" s="87">
        <f t="shared" ref="H8:H10" si="2">IF(B8,E8/B8,0)</f>
        <v>986.07074326555187</v>
      </c>
      <c r="I8" s="88">
        <f t="shared" ref="I8:I10" si="3">IF(C8,F8/C8,0)</f>
        <v>717.73925624110984</v>
      </c>
      <c r="J8" s="500">
        <f t="shared" ref="J8:J67" si="4">IF(I8,(H8-I8)/I8,0)</f>
        <v>0.37385650107774171</v>
      </c>
    </row>
    <row r="9" spans="1:10">
      <c r="A9" s="445" t="s">
        <v>7</v>
      </c>
      <c r="B9" s="554">
        <f>整車出口!E9</f>
        <v>25817</v>
      </c>
      <c r="C9" s="89">
        <v>31229</v>
      </c>
      <c r="D9" s="500">
        <f t="shared" si="0"/>
        <v>-0.17330045790771398</v>
      </c>
      <c r="E9" s="554">
        <f>整車出口!G9</f>
        <v>33336370</v>
      </c>
      <c r="F9" s="89">
        <v>34391015</v>
      </c>
      <c r="G9" s="500">
        <f t="shared" si="1"/>
        <v>-3.0666294670279433E-2</v>
      </c>
      <c r="H9" s="87">
        <f t="shared" si="2"/>
        <v>1291.2565363907502</v>
      </c>
      <c r="I9" s="88">
        <f t="shared" si="3"/>
        <v>1101.2525216945787</v>
      </c>
      <c r="J9" s="500">
        <f t="shared" si="4"/>
        <v>0.17253446503241437</v>
      </c>
    </row>
    <row r="10" spans="1:10">
      <c r="A10" s="445" t="s">
        <v>8</v>
      </c>
      <c r="B10" s="554">
        <f>整車出口!E10</f>
        <v>5972</v>
      </c>
      <c r="C10" s="89">
        <v>8405</v>
      </c>
      <c r="D10" s="500">
        <f t="shared" si="0"/>
        <v>-0.28947055324211779</v>
      </c>
      <c r="E10" s="554">
        <f>整車出口!G10</f>
        <v>8049760</v>
      </c>
      <c r="F10" s="89">
        <v>7780177</v>
      </c>
      <c r="G10" s="500">
        <f t="shared" si="1"/>
        <v>3.4649982898846646E-2</v>
      </c>
      <c r="H10" s="87">
        <f t="shared" si="2"/>
        <v>1347.9169457468186</v>
      </c>
      <c r="I10" s="88">
        <f t="shared" si="3"/>
        <v>925.66055919095777</v>
      </c>
      <c r="J10" s="500">
        <f t="shared" si="4"/>
        <v>0.45616763333302185</v>
      </c>
    </row>
    <row r="11" spans="1:10">
      <c r="A11" s="30"/>
      <c r="B11" s="554"/>
      <c r="C11" s="90"/>
      <c r="D11" s="500"/>
      <c r="E11" s="554"/>
      <c r="F11" s="90"/>
      <c r="G11" s="500"/>
      <c r="H11" s="87"/>
      <c r="I11" s="88"/>
      <c r="J11" s="500"/>
    </row>
    <row r="12" spans="1:10">
      <c r="A12" s="32" t="s">
        <v>9</v>
      </c>
      <c r="B12" s="555">
        <f>SUM(B13:B39)</f>
        <v>264536</v>
      </c>
      <c r="C12" s="91">
        <v>286726</v>
      </c>
      <c r="D12" s="500">
        <f t="shared" si="0"/>
        <v>-7.7390958615542363E-2</v>
      </c>
      <c r="E12" s="555">
        <f>SUM(E13:E39)</f>
        <v>233728725</v>
      </c>
      <c r="F12" s="91">
        <v>174050955</v>
      </c>
      <c r="G12" s="500">
        <f t="shared" si="1"/>
        <v>0.3428752804027993</v>
      </c>
      <c r="H12" s="87">
        <f t="shared" ref="H12:H67" si="5">IF(B12,E12/B12,0)</f>
        <v>883.54222109656155</v>
      </c>
      <c r="I12" s="88">
        <f t="shared" ref="I12:I67" si="6">IF(C12,F12/C12,0)</f>
        <v>607.02885333035715</v>
      </c>
      <c r="J12" s="500">
        <f t="shared" si="4"/>
        <v>0.45551931551385472</v>
      </c>
    </row>
    <row r="13" spans="1:10">
      <c r="A13" s="444" t="s">
        <v>201</v>
      </c>
      <c r="B13" s="556">
        <f>整車出口!E13</f>
        <v>81996</v>
      </c>
      <c r="C13" s="89">
        <v>77068</v>
      </c>
      <c r="D13" s="500">
        <f t="shared" si="0"/>
        <v>6.3943530388747602E-2</v>
      </c>
      <c r="E13" s="556">
        <f>整車出口!G13</f>
        <v>106290863</v>
      </c>
      <c r="F13" s="89">
        <v>74777860</v>
      </c>
      <c r="G13" s="500">
        <f t="shared" si="1"/>
        <v>0.42142156782769657</v>
      </c>
      <c r="H13" s="87">
        <f t="shared" si="5"/>
        <v>1296.2932704034342</v>
      </c>
      <c r="I13" s="88">
        <f t="shared" si="6"/>
        <v>970.28416463382985</v>
      </c>
      <c r="J13" s="500">
        <f t="shared" si="4"/>
        <v>0.33599343125695053</v>
      </c>
    </row>
    <row r="14" spans="1:10">
      <c r="A14" s="444" t="s">
        <v>202</v>
      </c>
      <c r="B14" s="556">
        <f>整車出口!E14</f>
        <v>62577</v>
      </c>
      <c r="C14" s="89">
        <v>50111</v>
      </c>
      <c r="D14" s="500">
        <f t="shared" si="0"/>
        <v>0.24876773562690827</v>
      </c>
      <c r="E14" s="556">
        <f>整車出口!G14</f>
        <v>33963710</v>
      </c>
      <c r="F14" s="89">
        <v>17568649</v>
      </c>
      <c r="G14" s="500">
        <f t="shared" si="1"/>
        <v>0.93319987211310329</v>
      </c>
      <c r="H14" s="87">
        <f t="shared" si="5"/>
        <v>542.7506911485051</v>
      </c>
      <c r="I14" s="88">
        <f t="shared" si="6"/>
        <v>350.59465985512162</v>
      </c>
      <c r="J14" s="500">
        <f t="shared" si="4"/>
        <v>0.54808601868833173</v>
      </c>
    </row>
    <row r="15" spans="1:10">
      <c r="A15" s="445" t="s">
        <v>10</v>
      </c>
      <c r="B15" s="556">
        <f>整車出口!E15</f>
        <v>7651</v>
      </c>
      <c r="C15" s="89">
        <v>5012</v>
      </c>
      <c r="D15" s="500">
        <f t="shared" si="0"/>
        <v>0.52653631284916202</v>
      </c>
      <c r="E15" s="556">
        <f>整車出口!G15</f>
        <v>8246028</v>
      </c>
      <c r="F15" s="89">
        <v>2264362</v>
      </c>
      <c r="G15" s="500">
        <f t="shared" si="1"/>
        <v>2.6416562369444461</v>
      </c>
      <c r="H15" s="87">
        <f t="shared" si="5"/>
        <v>1077.7712717291856</v>
      </c>
      <c r="I15" s="88">
        <f t="shared" si="6"/>
        <v>451.78810853950517</v>
      </c>
      <c r="J15" s="500">
        <f t="shared" si="4"/>
        <v>1.3855680381081641</v>
      </c>
    </row>
    <row r="16" spans="1:10">
      <c r="A16" s="444" t="s">
        <v>203</v>
      </c>
      <c r="B16" s="556">
        <f>整車出口!E16</f>
        <v>24963</v>
      </c>
      <c r="C16" s="89">
        <v>12940</v>
      </c>
      <c r="D16" s="500">
        <f t="shared" si="0"/>
        <v>0.92913446676970635</v>
      </c>
      <c r="E16" s="556">
        <f>整車出口!G16</f>
        <v>20565869</v>
      </c>
      <c r="F16" s="89">
        <v>12861791</v>
      </c>
      <c r="G16" s="500">
        <f t="shared" si="1"/>
        <v>0.59898951864479844</v>
      </c>
      <c r="H16" s="87">
        <f t="shared" si="5"/>
        <v>823.85406401474177</v>
      </c>
      <c r="I16" s="88">
        <f t="shared" si="6"/>
        <v>993.95602782071103</v>
      </c>
      <c r="J16" s="500">
        <f t="shared" si="4"/>
        <v>-0.17113630688364023</v>
      </c>
    </row>
    <row r="17" spans="1:10">
      <c r="A17" s="445" t="s">
        <v>11</v>
      </c>
      <c r="B17" s="556">
        <f>整車出口!E17</f>
        <v>8856</v>
      </c>
      <c r="C17" s="89">
        <v>12491</v>
      </c>
      <c r="D17" s="500">
        <f t="shared" si="0"/>
        <v>-0.29100952685933873</v>
      </c>
      <c r="E17" s="556">
        <f>整車出口!G17</f>
        <v>13599361</v>
      </c>
      <c r="F17" s="89">
        <v>12916353</v>
      </c>
      <c r="G17" s="500">
        <f t="shared" si="1"/>
        <v>5.287932282432975E-2</v>
      </c>
      <c r="H17" s="87">
        <f t="shared" si="5"/>
        <v>1535.6098690153567</v>
      </c>
      <c r="I17" s="88">
        <f t="shared" si="6"/>
        <v>1034.0527579857498</v>
      </c>
      <c r="J17" s="500">
        <f t="shared" si="4"/>
        <v>0.48504015598449646</v>
      </c>
    </row>
    <row r="18" spans="1:10">
      <c r="A18" s="445" t="s">
        <v>12</v>
      </c>
      <c r="B18" s="556">
        <f>整車出口!E18</f>
        <v>20073</v>
      </c>
      <c r="C18" s="89">
        <v>46512</v>
      </c>
      <c r="D18" s="500">
        <f t="shared" si="0"/>
        <v>-0.5684339525283798</v>
      </c>
      <c r="E18" s="556">
        <f>整車出口!G18</f>
        <v>28483948</v>
      </c>
      <c r="F18" s="89">
        <v>32020445</v>
      </c>
      <c r="G18" s="500">
        <f t="shared" si="1"/>
        <v>-0.11044496727013006</v>
      </c>
      <c r="H18" s="87">
        <f t="shared" si="5"/>
        <v>1419.0179843570966</v>
      </c>
      <c r="I18" s="88">
        <f t="shared" si="6"/>
        <v>688.43406002751976</v>
      </c>
      <c r="J18" s="500">
        <f t="shared" si="4"/>
        <v>1.0612257102740852</v>
      </c>
    </row>
    <row r="19" spans="1:10">
      <c r="A19" s="444" t="s">
        <v>204</v>
      </c>
      <c r="B19" s="556">
        <f>整車出口!E19</f>
        <v>12260</v>
      </c>
      <c r="C19" s="89">
        <v>15813</v>
      </c>
      <c r="D19" s="500">
        <f t="shared" si="0"/>
        <v>-0.22468854739771074</v>
      </c>
      <c r="E19" s="556">
        <f>整車出口!G19</f>
        <v>4436453</v>
      </c>
      <c r="F19" s="89">
        <v>4556380</v>
      </c>
      <c r="G19" s="500">
        <f t="shared" si="1"/>
        <v>-2.6320675624069985E-2</v>
      </c>
      <c r="H19" s="87">
        <f t="shared" si="5"/>
        <v>361.86402936378465</v>
      </c>
      <c r="I19" s="88">
        <f t="shared" si="6"/>
        <v>288.14140264339466</v>
      </c>
      <c r="J19" s="500">
        <f t="shared" si="4"/>
        <v>0.25585572237818777</v>
      </c>
    </row>
    <row r="20" spans="1:10">
      <c r="A20" s="445" t="s">
        <v>205</v>
      </c>
      <c r="B20" s="556">
        <f>整車出口!E20</f>
        <v>85</v>
      </c>
      <c r="C20" s="89">
        <v>0</v>
      </c>
      <c r="D20" s="500">
        <f t="shared" si="0"/>
        <v>0</v>
      </c>
      <c r="E20" s="556">
        <f>整車出口!G20</f>
        <v>175126</v>
      </c>
      <c r="F20" s="89">
        <v>0</v>
      </c>
      <c r="G20" s="500">
        <f t="shared" si="1"/>
        <v>0</v>
      </c>
      <c r="H20" s="87">
        <f t="shared" si="5"/>
        <v>2060.3058823529414</v>
      </c>
      <c r="I20" s="88">
        <f t="shared" si="6"/>
        <v>0</v>
      </c>
      <c r="J20" s="500">
        <f t="shared" si="4"/>
        <v>0</v>
      </c>
    </row>
    <row r="21" spans="1:10">
      <c r="A21" s="444" t="s">
        <v>206</v>
      </c>
      <c r="B21" s="556">
        <f>整車出口!E21</f>
        <v>1173</v>
      </c>
      <c r="C21" s="89">
        <v>3434</v>
      </c>
      <c r="D21" s="500">
        <f t="shared" si="0"/>
        <v>-0.65841584158415845</v>
      </c>
      <c r="E21" s="556">
        <f>整車出口!G21</f>
        <v>274590</v>
      </c>
      <c r="F21" s="89">
        <v>491427</v>
      </c>
      <c r="G21" s="500">
        <f t="shared" si="1"/>
        <v>-0.44123949233558596</v>
      </c>
      <c r="H21" s="87">
        <f t="shared" si="5"/>
        <v>234.0920716112532</v>
      </c>
      <c r="I21" s="88">
        <f t="shared" si="6"/>
        <v>143.10629004076878</v>
      </c>
      <c r="J21" s="500">
        <f t="shared" si="4"/>
        <v>0.63579163113350201</v>
      </c>
    </row>
    <row r="22" spans="1:10">
      <c r="A22" s="445" t="s">
        <v>14</v>
      </c>
      <c r="B22" s="556">
        <f>整車出口!E22</f>
        <v>0</v>
      </c>
      <c r="C22" s="89">
        <v>0</v>
      </c>
      <c r="D22" s="500">
        <f t="shared" si="0"/>
        <v>0</v>
      </c>
      <c r="E22" s="556">
        <f>整車出口!G22</f>
        <v>0</v>
      </c>
      <c r="F22" s="89">
        <v>0</v>
      </c>
      <c r="G22" s="500">
        <f t="shared" si="1"/>
        <v>0</v>
      </c>
      <c r="H22" s="87">
        <f t="shared" si="5"/>
        <v>0</v>
      </c>
      <c r="I22" s="88">
        <f t="shared" si="6"/>
        <v>0</v>
      </c>
      <c r="J22" s="500">
        <f t="shared" si="4"/>
        <v>0</v>
      </c>
    </row>
    <row r="23" spans="1:10">
      <c r="A23" s="445" t="s">
        <v>15</v>
      </c>
      <c r="B23" s="556">
        <f>整車出口!E23</f>
        <v>68</v>
      </c>
      <c r="C23" s="89">
        <v>176</v>
      </c>
      <c r="D23" s="500">
        <f t="shared" si="0"/>
        <v>-0.61363636363636365</v>
      </c>
      <c r="E23" s="556">
        <f>整車出口!G23</f>
        <v>164946</v>
      </c>
      <c r="F23" s="89">
        <v>434239</v>
      </c>
      <c r="G23" s="500">
        <f t="shared" si="1"/>
        <v>-0.62014927263557629</v>
      </c>
      <c r="H23" s="87">
        <f t="shared" si="5"/>
        <v>2425.6764705882351</v>
      </c>
      <c r="I23" s="88">
        <f t="shared" si="6"/>
        <v>2467.2670454545455</v>
      </c>
      <c r="J23" s="500">
        <f t="shared" si="4"/>
        <v>-1.6856940939138639E-2</v>
      </c>
    </row>
    <row r="24" spans="1:10">
      <c r="A24" s="445" t="s">
        <v>16</v>
      </c>
      <c r="B24" s="556">
        <f>整車出口!E24</f>
        <v>1636</v>
      </c>
      <c r="C24" s="89">
        <v>2509</v>
      </c>
      <c r="D24" s="500">
        <f t="shared" si="0"/>
        <v>-0.34794738939816661</v>
      </c>
      <c r="E24" s="556">
        <f>整車出口!G24</f>
        <v>1137475</v>
      </c>
      <c r="F24" s="89">
        <v>1336162</v>
      </c>
      <c r="G24" s="500">
        <f t="shared" si="1"/>
        <v>-0.14869978340949674</v>
      </c>
      <c r="H24" s="87">
        <f t="shared" si="5"/>
        <v>695.27811735941316</v>
      </c>
      <c r="I24" s="88">
        <f t="shared" si="6"/>
        <v>532.54762853726584</v>
      </c>
      <c r="J24" s="500">
        <f t="shared" si="4"/>
        <v>0.30556983094472651</v>
      </c>
    </row>
    <row r="25" spans="1:10">
      <c r="A25" s="444" t="s">
        <v>207</v>
      </c>
      <c r="B25" s="556">
        <f>整車出口!E25</f>
        <v>21089</v>
      </c>
      <c r="C25" s="89">
        <v>22518</v>
      </c>
      <c r="D25" s="500">
        <f t="shared" si="0"/>
        <v>-6.3460342836841641E-2</v>
      </c>
      <c r="E25" s="556">
        <f>整車出口!G25</f>
        <v>4656154</v>
      </c>
      <c r="F25" s="89">
        <v>3876017</v>
      </c>
      <c r="G25" s="500">
        <f t="shared" si="1"/>
        <v>0.20127285303444231</v>
      </c>
      <c r="H25" s="87">
        <f t="shared" si="5"/>
        <v>220.78590734506142</v>
      </c>
      <c r="I25" s="88">
        <f t="shared" si="6"/>
        <v>172.12971844746426</v>
      </c>
      <c r="J25" s="500">
        <f t="shared" si="4"/>
        <v>0.28267163472092433</v>
      </c>
    </row>
    <row r="26" spans="1:10">
      <c r="A26" s="444" t="s">
        <v>208</v>
      </c>
      <c r="B26" s="556">
        <f>整車出口!E26</f>
        <v>1897</v>
      </c>
      <c r="C26" s="89">
        <v>1128</v>
      </c>
      <c r="D26" s="500">
        <f t="shared" si="0"/>
        <v>0.68173758865248224</v>
      </c>
      <c r="E26" s="556">
        <f>整車出口!G26</f>
        <v>1031394</v>
      </c>
      <c r="F26" s="89">
        <v>684845</v>
      </c>
      <c r="G26" s="500">
        <f t="shared" si="1"/>
        <v>0.50602545101446317</v>
      </c>
      <c r="H26" s="87">
        <f t="shared" si="5"/>
        <v>543.69741697416976</v>
      </c>
      <c r="I26" s="88">
        <f t="shared" si="6"/>
        <v>607.13209219858152</v>
      </c>
      <c r="J26" s="500">
        <f t="shared" si="4"/>
        <v>-0.10448249407258062</v>
      </c>
    </row>
    <row r="27" spans="1:10">
      <c r="A27" s="446" t="s">
        <v>209</v>
      </c>
      <c r="B27" s="556">
        <f>整車出口!E27</f>
        <v>9075</v>
      </c>
      <c r="C27" s="89">
        <v>14496</v>
      </c>
      <c r="D27" s="500">
        <f t="shared" si="0"/>
        <v>-0.37396523178807944</v>
      </c>
      <c r="E27" s="556">
        <f>整車出口!G27</f>
        <v>5129095</v>
      </c>
      <c r="F27" s="89">
        <v>4865101</v>
      </c>
      <c r="G27" s="500">
        <f t="shared" si="1"/>
        <v>5.4262799477338704E-2</v>
      </c>
      <c r="H27" s="87">
        <f t="shared" si="5"/>
        <v>565.18953168044072</v>
      </c>
      <c r="I27" s="88">
        <f t="shared" si="6"/>
        <v>335.61679083885213</v>
      </c>
      <c r="J27" s="500">
        <f t="shared" si="4"/>
        <v>0.68403234614033048</v>
      </c>
    </row>
    <row r="28" spans="1:10">
      <c r="A28" s="446" t="s">
        <v>210</v>
      </c>
      <c r="B28" s="556">
        <f>整車出口!E28</f>
        <v>6107</v>
      </c>
      <c r="C28" s="89">
        <v>11667</v>
      </c>
      <c r="D28" s="500">
        <f t="shared" si="0"/>
        <v>-0.47655781263392477</v>
      </c>
      <c r="E28" s="556">
        <f>整車出口!G28</f>
        <v>2861195</v>
      </c>
      <c r="F28" s="89">
        <v>3363653</v>
      </c>
      <c r="G28" s="500">
        <f t="shared" si="1"/>
        <v>-0.14937866658659499</v>
      </c>
      <c r="H28" s="87">
        <f t="shared" si="5"/>
        <v>468.51072539708531</v>
      </c>
      <c r="I28" s="88">
        <f t="shared" si="6"/>
        <v>288.30487700351421</v>
      </c>
      <c r="J28" s="500">
        <f t="shared" si="4"/>
        <v>0.62505306974524244</v>
      </c>
    </row>
    <row r="29" spans="1:10">
      <c r="A29" s="445" t="s">
        <v>211</v>
      </c>
      <c r="B29" s="556">
        <f>整車出口!E29</f>
        <v>1139</v>
      </c>
      <c r="C29" s="89">
        <v>5536</v>
      </c>
      <c r="D29" s="500">
        <f t="shared" si="0"/>
        <v>-0.79425578034682076</v>
      </c>
      <c r="E29" s="556">
        <f>整車出口!G29</f>
        <v>509486</v>
      </c>
      <c r="F29" s="89">
        <v>881921</v>
      </c>
      <c r="G29" s="500">
        <f t="shared" si="1"/>
        <v>-0.42229972979439201</v>
      </c>
      <c r="H29" s="87">
        <f t="shared" si="5"/>
        <v>447.3099209833187</v>
      </c>
      <c r="I29" s="88">
        <f t="shared" si="6"/>
        <v>159.30653901734104</v>
      </c>
      <c r="J29" s="500">
        <f t="shared" si="4"/>
        <v>1.8078566249852905</v>
      </c>
    </row>
    <row r="30" spans="1:10">
      <c r="A30" s="445" t="s">
        <v>212</v>
      </c>
      <c r="B30" s="556">
        <f>整車出口!E30</f>
        <v>0</v>
      </c>
      <c r="C30" s="89">
        <v>52</v>
      </c>
      <c r="D30" s="500">
        <f t="shared" si="0"/>
        <v>-1</v>
      </c>
      <c r="E30" s="556">
        <f>整車出口!G30</f>
        <v>0</v>
      </c>
      <c r="F30" s="89">
        <v>9005</v>
      </c>
      <c r="G30" s="500">
        <f t="shared" si="1"/>
        <v>-1</v>
      </c>
      <c r="H30" s="87">
        <f t="shared" si="5"/>
        <v>0</v>
      </c>
      <c r="I30" s="88">
        <f t="shared" si="6"/>
        <v>173.17307692307693</v>
      </c>
      <c r="J30" s="500">
        <f t="shared" si="4"/>
        <v>-1</v>
      </c>
    </row>
    <row r="31" spans="1:10">
      <c r="A31" s="445" t="s">
        <v>17</v>
      </c>
      <c r="B31" s="556">
        <f>整車出口!E31</f>
        <v>1229</v>
      </c>
      <c r="C31" s="89">
        <v>739</v>
      </c>
      <c r="D31" s="500">
        <f t="shared" si="0"/>
        <v>0.66305818673883632</v>
      </c>
      <c r="E31" s="556">
        <f>整車出口!G31</f>
        <v>1312527</v>
      </c>
      <c r="F31" s="89">
        <v>177914</v>
      </c>
      <c r="G31" s="500">
        <f t="shared" si="1"/>
        <v>6.3773115100554199</v>
      </c>
      <c r="H31" s="87">
        <f t="shared" si="5"/>
        <v>1067.9633848657445</v>
      </c>
      <c r="I31" s="88">
        <f t="shared" si="6"/>
        <v>240.74966170500676</v>
      </c>
      <c r="J31" s="500">
        <f t="shared" si="4"/>
        <v>3.4359912171936173</v>
      </c>
    </row>
    <row r="32" spans="1:10">
      <c r="A32" s="445" t="s">
        <v>18</v>
      </c>
      <c r="B32" s="556">
        <f>整車出口!E32</f>
        <v>50</v>
      </c>
      <c r="C32" s="89">
        <v>470</v>
      </c>
      <c r="D32" s="500">
        <f t="shared" si="0"/>
        <v>-0.8936170212765957</v>
      </c>
      <c r="E32" s="556">
        <f>整車出口!G32</f>
        <v>6219</v>
      </c>
      <c r="F32" s="89">
        <v>77364</v>
      </c>
      <c r="G32" s="500">
        <f t="shared" si="1"/>
        <v>-0.91961377384830156</v>
      </c>
      <c r="H32" s="87">
        <f t="shared" si="5"/>
        <v>124.38</v>
      </c>
      <c r="I32" s="88">
        <f t="shared" si="6"/>
        <v>164.60425531914893</v>
      </c>
      <c r="J32" s="500">
        <f t="shared" si="4"/>
        <v>-0.24436947417403446</v>
      </c>
    </row>
    <row r="33" spans="1:10">
      <c r="A33" s="445" t="s">
        <v>213</v>
      </c>
      <c r="B33" s="556">
        <f>整車出口!E33</f>
        <v>914</v>
      </c>
      <c r="C33" s="89">
        <v>437</v>
      </c>
      <c r="D33" s="500">
        <f t="shared" si="0"/>
        <v>1.091533180778032</v>
      </c>
      <c r="E33" s="556">
        <f>整車出口!G33</f>
        <v>417091</v>
      </c>
      <c r="F33" s="89">
        <v>109190</v>
      </c>
      <c r="G33" s="500">
        <f t="shared" si="1"/>
        <v>2.8198644564520561</v>
      </c>
      <c r="H33" s="87">
        <f t="shared" si="5"/>
        <v>456.33588621444204</v>
      </c>
      <c r="I33" s="88">
        <f t="shared" si="6"/>
        <v>249.86270022883295</v>
      </c>
      <c r="J33" s="500">
        <f t="shared" si="4"/>
        <v>0.82634657272379497</v>
      </c>
    </row>
    <row r="34" spans="1:10">
      <c r="A34" s="445" t="s">
        <v>214</v>
      </c>
      <c r="B34" s="556">
        <f>整車出口!E34</f>
        <v>263</v>
      </c>
      <c r="C34" s="89">
        <v>1076</v>
      </c>
      <c r="D34" s="500">
        <f t="shared" si="0"/>
        <v>-0.75557620817843862</v>
      </c>
      <c r="E34" s="556">
        <f>整車出口!G34</f>
        <v>84494</v>
      </c>
      <c r="F34" s="89">
        <v>251271</v>
      </c>
      <c r="G34" s="500">
        <f t="shared" si="1"/>
        <v>-0.66373357848697223</v>
      </c>
      <c r="H34" s="87">
        <f t="shared" si="5"/>
        <v>321.26996197718631</v>
      </c>
      <c r="I34" s="88">
        <f t="shared" si="6"/>
        <v>233.5232342007435</v>
      </c>
      <c r="J34" s="500">
        <f t="shared" si="4"/>
        <v>0.37575159523961166</v>
      </c>
    </row>
    <row r="35" spans="1:10">
      <c r="A35" s="445" t="s">
        <v>215</v>
      </c>
      <c r="B35" s="556">
        <f>整車出口!E35</f>
        <v>409</v>
      </c>
      <c r="C35" s="89">
        <v>1009</v>
      </c>
      <c r="D35" s="500">
        <f t="shared" si="0"/>
        <v>-0.59464816650148666</v>
      </c>
      <c r="E35" s="556">
        <f>整車出口!G35</f>
        <v>165765</v>
      </c>
      <c r="F35" s="89">
        <v>261981</v>
      </c>
      <c r="G35" s="500">
        <f t="shared" si="1"/>
        <v>-0.36726327481763943</v>
      </c>
      <c r="H35" s="87">
        <f t="shared" si="5"/>
        <v>405.29339853300735</v>
      </c>
      <c r="I35" s="88">
        <f t="shared" si="6"/>
        <v>259.64420218037662</v>
      </c>
      <c r="J35" s="500">
        <f t="shared" si="4"/>
        <v>0.56095685992420974</v>
      </c>
    </row>
    <row r="36" spans="1:10">
      <c r="A36" s="445" t="s">
        <v>216</v>
      </c>
      <c r="B36" s="556">
        <f>整車出口!E36</f>
        <v>0</v>
      </c>
      <c r="C36" s="89">
        <v>655</v>
      </c>
      <c r="D36" s="500">
        <f t="shared" si="0"/>
        <v>-1</v>
      </c>
      <c r="E36" s="556">
        <f>整車出口!G36</f>
        <v>0</v>
      </c>
      <c r="F36" s="89">
        <v>119608</v>
      </c>
      <c r="G36" s="500">
        <f t="shared" si="1"/>
        <v>-1</v>
      </c>
      <c r="H36" s="87">
        <f t="shared" si="5"/>
        <v>0</v>
      </c>
      <c r="I36" s="88">
        <f t="shared" si="6"/>
        <v>182.60763358778627</v>
      </c>
      <c r="J36" s="500">
        <f t="shared" si="4"/>
        <v>-1</v>
      </c>
    </row>
    <row r="37" spans="1:10">
      <c r="A37" s="445" t="s">
        <v>217</v>
      </c>
      <c r="B37" s="556">
        <f>整車出口!E37</f>
        <v>53</v>
      </c>
      <c r="C37" s="89">
        <v>142</v>
      </c>
      <c r="D37" s="500">
        <f t="shared" si="0"/>
        <v>-0.62676056338028174</v>
      </c>
      <c r="E37" s="556">
        <f>整車出口!G37</f>
        <v>6811</v>
      </c>
      <c r="F37" s="89">
        <v>16956</v>
      </c>
      <c r="G37" s="500">
        <f t="shared" si="1"/>
        <v>-0.59831328143430051</v>
      </c>
      <c r="H37" s="87">
        <f t="shared" si="5"/>
        <v>128.50943396226415</v>
      </c>
      <c r="I37" s="88">
        <f t="shared" si="6"/>
        <v>119.40845070422536</v>
      </c>
      <c r="J37" s="500">
        <f t="shared" si="4"/>
        <v>7.6217245968477759E-2</v>
      </c>
    </row>
    <row r="38" spans="1:10">
      <c r="A38" s="445" t="s">
        <v>218</v>
      </c>
      <c r="B38" s="556">
        <f>整車出口!E38</f>
        <v>395</v>
      </c>
      <c r="C38" s="89">
        <v>390</v>
      </c>
      <c r="D38" s="500">
        <f t="shared" si="0"/>
        <v>1.282051282051282E-2</v>
      </c>
      <c r="E38" s="556">
        <f>整車出口!G38</f>
        <v>61429</v>
      </c>
      <c r="F38" s="89">
        <v>71607</v>
      </c>
      <c r="G38" s="500">
        <f t="shared" si="1"/>
        <v>-0.14213694191908613</v>
      </c>
      <c r="H38" s="87">
        <f t="shared" si="5"/>
        <v>155.51645569620254</v>
      </c>
      <c r="I38" s="88">
        <f t="shared" si="6"/>
        <v>183.6076923076923</v>
      </c>
      <c r="J38" s="500">
        <f t="shared" si="4"/>
        <v>-0.15299596797074319</v>
      </c>
    </row>
    <row r="39" spans="1:10">
      <c r="A39" s="445" t="s">
        <v>19</v>
      </c>
      <c r="B39" s="556">
        <f>整車出口!E39</f>
        <v>578</v>
      </c>
      <c r="C39" s="89">
        <v>345</v>
      </c>
      <c r="D39" s="500">
        <f t="shared" si="0"/>
        <v>0.67536231884057973</v>
      </c>
      <c r="E39" s="556">
        <f>整車出口!G39</f>
        <v>148696</v>
      </c>
      <c r="F39" s="89">
        <v>56854</v>
      </c>
      <c r="G39" s="500">
        <f t="shared" si="1"/>
        <v>1.6154008513033384</v>
      </c>
      <c r="H39" s="87">
        <f t="shared" si="5"/>
        <v>257.25951557093424</v>
      </c>
      <c r="I39" s="88">
        <f t="shared" si="6"/>
        <v>164.79420289855074</v>
      </c>
      <c r="J39" s="500">
        <f t="shared" si="4"/>
        <v>0.56109566384022769</v>
      </c>
    </row>
    <row r="40" spans="1:10">
      <c r="A40" s="30"/>
      <c r="B40" s="556"/>
      <c r="C40" s="90"/>
      <c r="D40" s="500"/>
      <c r="E40" s="556"/>
      <c r="F40" s="90"/>
      <c r="G40" s="500"/>
      <c r="H40" s="87"/>
      <c r="I40" s="88"/>
      <c r="J40" s="500"/>
    </row>
    <row r="41" spans="1:10" ht="16.149999999999999" customHeight="1">
      <c r="A41" s="36" t="s">
        <v>20</v>
      </c>
      <c r="B41" s="555">
        <f>SUM(B42:B45)</f>
        <v>26336</v>
      </c>
      <c r="C41" s="91">
        <v>20580</v>
      </c>
      <c r="D41" s="500">
        <f t="shared" si="0"/>
        <v>0.27968901846452865</v>
      </c>
      <c r="E41" s="555">
        <f>SUM(E42:E45)</f>
        <v>18112067</v>
      </c>
      <c r="F41" s="91">
        <v>21157167</v>
      </c>
      <c r="G41" s="500">
        <f t="shared" si="1"/>
        <v>-0.14392758728047098</v>
      </c>
      <c r="H41" s="87">
        <f t="shared" si="5"/>
        <v>687.73036907654921</v>
      </c>
      <c r="I41" s="88">
        <f t="shared" si="6"/>
        <v>1028.0450437317784</v>
      </c>
      <c r="J41" s="500">
        <f t="shared" si="4"/>
        <v>-0.33103089862667417</v>
      </c>
    </row>
    <row r="42" spans="1:10">
      <c r="A42" s="444" t="s">
        <v>219</v>
      </c>
      <c r="B42" s="556">
        <f>整車出口!E42</f>
        <v>8090</v>
      </c>
      <c r="C42" s="89">
        <v>11239</v>
      </c>
      <c r="D42" s="500">
        <f t="shared" si="0"/>
        <v>-0.28018506984607172</v>
      </c>
      <c r="E42" s="556">
        <f>整車出口!G42</f>
        <v>10037296</v>
      </c>
      <c r="F42" s="89">
        <v>15953307</v>
      </c>
      <c r="G42" s="500">
        <f t="shared" si="1"/>
        <v>-0.37083289376929812</v>
      </c>
      <c r="H42" s="87">
        <f t="shared" si="5"/>
        <v>1240.7040791100123</v>
      </c>
      <c r="I42" s="88">
        <f t="shared" si="6"/>
        <v>1419.459649435003</v>
      </c>
      <c r="J42" s="500">
        <f t="shared" si="4"/>
        <v>-0.12593212522535738</v>
      </c>
    </row>
    <row r="43" spans="1:10">
      <c r="A43" s="444" t="s">
        <v>220</v>
      </c>
      <c r="B43" s="556">
        <f>整車出口!E43</f>
        <v>18026</v>
      </c>
      <c r="C43" s="89">
        <v>9286</v>
      </c>
      <c r="D43" s="500">
        <f t="shared" si="0"/>
        <v>0.94120180917510232</v>
      </c>
      <c r="E43" s="556">
        <f>整車出口!G43</f>
        <v>7968246</v>
      </c>
      <c r="F43" s="89">
        <v>5141460</v>
      </c>
      <c r="G43" s="500">
        <f t="shared" si="1"/>
        <v>0.54980219626331817</v>
      </c>
      <c r="H43" s="87">
        <f t="shared" si="5"/>
        <v>442.04182846998782</v>
      </c>
      <c r="I43" s="88">
        <f t="shared" si="6"/>
        <v>553.67865604135261</v>
      </c>
      <c r="J43" s="500">
        <f t="shared" si="4"/>
        <v>-0.20162747173520623</v>
      </c>
    </row>
    <row r="44" spans="1:10">
      <c r="A44" s="444" t="s">
        <v>221</v>
      </c>
      <c r="B44" s="556">
        <f>整車出口!E44</f>
        <v>220</v>
      </c>
      <c r="C44" s="89">
        <v>55</v>
      </c>
      <c r="D44" s="500">
        <f t="shared" si="0"/>
        <v>3</v>
      </c>
      <c r="E44" s="556">
        <f>整車出口!G44</f>
        <v>106525</v>
      </c>
      <c r="F44" s="89">
        <v>62400</v>
      </c>
      <c r="G44" s="500">
        <f t="shared" si="1"/>
        <v>0.70713141025641024</v>
      </c>
      <c r="H44" s="87">
        <f t="shared" si="5"/>
        <v>484.20454545454544</v>
      </c>
      <c r="I44" s="88">
        <f t="shared" si="6"/>
        <v>1134.5454545454545</v>
      </c>
      <c r="J44" s="500">
        <f t="shared" si="4"/>
        <v>-0.57321714743589736</v>
      </c>
    </row>
    <row r="45" spans="1:10">
      <c r="A45" s="30" t="s">
        <v>21</v>
      </c>
      <c r="B45" s="556">
        <f>整車出口!E45</f>
        <v>0</v>
      </c>
      <c r="C45" s="89">
        <v>0</v>
      </c>
      <c r="D45" s="500">
        <f t="shared" si="0"/>
        <v>0</v>
      </c>
      <c r="E45" s="556">
        <f>整車出口!G45</f>
        <v>0</v>
      </c>
      <c r="F45" s="89">
        <v>0</v>
      </c>
      <c r="G45" s="500">
        <f t="shared" si="1"/>
        <v>0</v>
      </c>
      <c r="H45" s="87">
        <f t="shared" si="5"/>
        <v>0</v>
      </c>
      <c r="I45" s="88">
        <f t="shared" si="6"/>
        <v>0</v>
      </c>
      <c r="J45" s="500">
        <f t="shared" si="4"/>
        <v>0</v>
      </c>
    </row>
    <row r="46" spans="1:10" ht="17.45" customHeight="1">
      <c r="A46" s="30"/>
      <c r="B46" s="556"/>
      <c r="C46" s="90"/>
      <c r="D46" s="500"/>
      <c r="E46" s="556"/>
      <c r="F46" s="90"/>
      <c r="G46" s="500"/>
      <c r="H46" s="87"/>
      <c r="I46" s="88"/>
      <c r="J46" s="500"/>
    </row>
    <row r="47" spans="1:10">
      <c r="A47" s="36" t="s">
        <v>22</v>
      </c>
      <c r="B47" s="555">
        <f>SUM(B48:B65)</f>
        <v>236839</v>
      </c>
      <c r="C47" s="91">
        <v>266983</v>
      </c>
      <c r="D47" s="500">
        <f t="shared" si="0"/>
        <v>-0.11290606518018001</v>
      </c>
      <c r="E47" s="555">
        <f>SUM(E48:E65)</f>
        <v>250047999</v>
      </c>
      <c r="F47" s="91">
        <v>233465667</v>
      </c>
      <c r="G47" s="500">
        <f t="shared" si="1"/>
        <v>7.1026854668099867E-2</v>
      </c>
      <c r="H47" s="87">
        <f t="shared" si="5"/>
        <v>1055.7720603447913</v>
      </c>
      <c r="I47" s="88">
        <f t="shared" si="6"/>
        <v>874.4589243509887</v>
      </c>
      <c r="J47" s="500">
        <f t="shared" si="4"/>
        <v>0.20734322784614576</v>
      </c>
    </row>
    <row r="48" spans="1:10">
      <c r="A48" s="476" t="s">
        <v>162</v>
      </c>
      <c r="B48" s="556">
        <f>整車出口!E48</f>
        <v>52478</v>
      </c>
      <c r="C48" s="89">
        <v>79253</v>
      </c>
      <c r="D48" s="500">
        <f t="shared" si="0"/>
        <v>-0.33784210061448777</v>
      </c>
      <c r="E48" s="556">
        <f>整車出口!G48</f>
        <v>45373049</v>
      </c>
      <c r="F48" s="89">
        <v>49084940</v>
      </c>
      <c r="G48" s="500">
        <f t="shared" si="1"/>
        <v>-7.5621789493885497E-2</v>
      </c>
      <c r="H48" s="87">
        <f t="shared" si="5"/>
        <v>864.61086550554523</v>
      </c>
      <c r="I48" s="88">
        <f t="shared" si="6"/>
        <v>619.34488284355166</v>
      </c>
      <c r="J48" s="500">
        <f t="shared" si="4"/>
        <v>0.3960087335119688</v>
      </c>
    </row>
    <row r="49" spans="1:10">
      <c r="A49" s="444" t="s">
        <v>222</v>
      </c>
      <c r="B49" s="556">
        <f>整車出口!E49</f>
        <v>34714</v>
      </c>
      <c r="C49" s="89">
        <v>34456</v>
      </c>
      <c r="D49" s="500">
        <f t="shared" si="0"/>
        <v>7.4878105409798001E-3</v>
      </c>
      <c r="E49" s="556">
        <f>整車出口!G49</f>
        <v>26848653</v>
      </c>
      <c r="F49" s="89">
        <v>23500637</v>
      </c>
      <c r="G49" s="500">
        <f t="shared" si="1"/>
        <v>0.1424649042491912</v>
      </c>
      <c r="H49" s="87">
        <f t="shared" si="5"/>
        <v>773.42435328685838</v>
      </c>
      <c r="I49" s="88">
        <f t="shared" si="6"/>
        <v>682.04774204782916</v>
      </c>
      <c r="J49" s="500">
        <f t="shared" si="4"/>
        <v>0.13397392236014669</v>
      </c>
    </row>
    <row r="50" spans="1:10">
      <c r="A50" s="289" t="s">
        <v>223</v>
      </c>
      <c r="B50" s="556">
        <f>整車出口!E50</f>
        <v>1238</v>
      </c>
      <c r="C50" s="89">
        <v>1604</v>
      </c>
      <c r="D50" s="500">
        <f t="shared" si="0"/>
        <v>-0.22817955112219451</v>
      </c>
      <c r="E50" s="556">
        <f>整車出口!G50</f>
        <v>1593043</v>
      </c>
      <c r="F50" s="89">
        <v>2205852</v>
      </c>
      <c r="G50" s="500">
        <f t="shared" si="1"/>
        <v>-0.27781056934010079</v>
      </c>
      <c r="H50" s="87">
        <f t="shared" si="5"/>
        <v>1286.7875605815832</v>
      </c>
      <c r="I50" s="88">
        <f t="shared" si="6"/>
        <v>1375.219451371571</v>
      </c>
      <c r="J50" s="500">
        <f t="shared" si="4"/>
        <v>-6.4303839435800994E-2</v>
      </c>
    </row>
    <row r="51" spans="1:10">
      <c r="A51" s="444" t="s">
        <v>224</v>
      </c>
      <c r="B51" s="556">
        <f>整車出口!E51</f>
        <v>2893</v>
      </c>
      <c r="C51" s="89">
        <v>2548</v>
      </c>
      <c r="D51" s="500">
        <f t="shared" si="0"/>
        <v>0.13540031397174254</v>
      </c>
      <c r="E51" s="556">
        <f>整車出口!G51</f>
        <v>4385115</v>
      </c>
      <c r="F51" s="89">
        <v>3537869</v>
      </c>
      <c r="G51" s="500">
        <f t="shared" si="1"/>
        <v>0.23947918930859227</v>
      </c>
      <c r="H51" s="87">
        <f t="shared" si="5"/>
        <v>1515.7673695126166</v>
      </c>
      <c r="I51" s="88">
        <f t="shared" si="6"/>
        <v>1388.4886185243329</v>
      </c>
      <c r="J51" s="500">
        <f t="shared" si="4"/>
        <v>9.16671186858945E-2</v>
      </c>
    </row>
    <row r="52" spans="1:10">
      <c r="A52" s="445" t="s">
        <v>23</v>
      </c>
      <c r="B52" s="556">
        <f>整車出口!E52</f>
        <v>425</v>
      </c>
      <c r="C52" s="89">
        <v>2209</v>
      </c>
      <c r="D52" s="500">
        <f t="shared" si="0"/>
        <v>-0.80760525124490723</v>
      </c>
      <c r="E52" s="556">
        <f>整車出口!G52</f>
        <v>641676</v>
      </c>
      <c r="F52" s="89">
        <v>1675595</v>
      </c>
      <c r="G52" s="500">
        <f t="shared" si="1"/>
        <v>-0.61704588519302095</v>
      </c>
      <c r="H52" s="87">
        <f t="shared" si="5"/>
        <v>1509.8258823529411</v>
      </c>
      <c r="I52" s="88">
        <f t="shared" si="6"/>
        <v>758.53100950656403</v>
      </c>
      <c r="J52" s="500">
        <f t="shared" si="4"/>
        <v>0.99046032849086263</v>
      </c>
    </row>
    <row r="53" spans="1:10">
      <c r="A53" s="444" t="s">
        <v>225</v>
      </c>
      <c r="B53" s="556">
        <f>整車出口!E53</f>
        <v>1966</v>
      </c>
      <c r="C53" s="89">
        <v>7542</v>
      </c>
      <c r="D53" s="500">
        <f t="shared" si="0"/>
        <v>-0.73932643861044811</v>
      </c>
      <c r="E53" s="556">
        <f>整車出口!G53</f>
        <v>3116361</v>
      </c>
      <c r="F53" s="89">
        <v>7421099</v>
      </c>
      <c r="G53" s="500">
        <f t="shared" si="1"/>
        <v>-0.58006745362108769</v>
      </c>
      <c r="H53" s="87">
        <f t="shared" si="5"/>
        <v>1585.1276703967446</v>
      </c>
      <c r="I53" s="88">
        <f t="shared" si="6"/>
        <v>983.9696367011403</v>
      </c>
      <c r="J53" s="500">
        <f t="shared" si="4"/>
        <v>0.61095181321961178</v>
      </c>
    </row>
    <row r="54" spans="1:10">
      <c r="A54" s="445" t="s">
        <v>226</v>
      </c>
      <c r="B54" s="556">
        <f>整車出口!E54</f>
        <v>28157</v>
      </c>
      <c r="C54" s="89">
        <v>60694</v>
      </c>
      <c r="D54" s="500">
        <f t="shared" si="0"/>
        <v>-0.53608264408343498</v>
      </c>
      <c r="E54" s="556">
        <f>整車出口!G54</f>
        <v>42317493</v>
      </c>
      <c r="F54" s="89">
        <v>51555270</v>
      </c>
      <c r="G54" s="500">
        <f t="shared" si="1"/>
        <v>-0.17918201184864321</v>
      </c>
      <c r="H54" s="87">
        <f t="shared" si="5"/>
        <v>1502.9119934652128</v>
      </c>
      <c r="I54" s="88">
        <f t="shared" si="6"/>
        <v>849.42943289287246</v>
      </c>
      <c r="J54" s="500">
        <f t="shared" si="4"/>
        <v>0.76931942227007299</v>
      </c>
    </row>
    <row r="55" spans="1:10">
      <c r="A55" s="445" t="s">
        <v>24</v>
      </c>
      <c r="B55" s="556">
        <f>整車出口!E55</f>
        <v>2717</v>
      </c>
      <c r="C55" s="89">
        <v>3835</v>
      </c>
      <c r="D55" s="500">
        <f t="shared" si="0"/>
        <v>-0.29152542372881357</v>
      </c>
      <c r="E55" s="556">
        <f>整車出口!G55</f>
        <v>3132781</v>
      </c>
      <c r="F55" s="89">
        <v>4445788</v>
      </c>
      <c r="G55" s="500">
        <f t="shared" si="1"/>
        <v>-0.29533729453586183</v>
      </c>
      <c r="H55" s="87">
        <f t="shared" si="5"/>
        <v>1153.0294442399706</v>
      </c>
      <c r="I55" s="88">
        <f t="shared" si="6"/>
        <v>1159.2667535853977</v>
      </c>
      <c r="J55" s="500">
        <f t="shared" si="4"/>
        <v>-5.3803918089915439E-3</v>
      </c>
    </row>
    <row r="56" spans="1:10">
      <c r="A56" s="445" t="s">
        <v>227</v>
      </c>
      <c r="B56" s="556">
        <f>整車出口!E56</f>
        <v>75746</v>
      </c>
      <c r="C56" s="89">
        <v>16948</v>
      </c>
      <c r="D56" s="500">
        <f t="shared" si="0"/>
        <v>3.4693179136181262</v>
      </c>
      <c r="E56" s="556">
        <f>整車出口!G56</f>
        <v>71403315</v>
      </c>
      <c r="F56" s="89">
        <v>21140932</v>
      </c>
      <c r="G56" s="500">
        <f t="shared" si="1"/>
        <v>2.3774913518476857</v>
      </c>
      <c r="H56" s="87">
        <f t="shared" si="5"/>
        <v>942.66779763947932</v>
      </c>
      <c r="I56" s="88">
        <f t="shared" si="6"/>
        <v>1247.3998111871608</v>
      </c>
      <c r="J56" s="500">
        <f t="shared" si="4"/>
        <v>-0.24429377879868805</v>
      </c>
    </row>
    <row r="57" spans="1:10">
      <c r="A57" s="447" t="s">
        <v>455</v>
      </c>
      <c r="B57" s="556">
        <f>整車出口!E57</f>
        <v>19723</v>
      </c>
      <c r="C57" s="89">
        <v>24103</v>
      </c>
      <c r="D57" s="500">
        <f t="shared" si="0"/>
        <v>-0.18172011782765632</v>
      </c>
      <c r="E57" s="556">
        <f>整車出口!G57</f>
        <v>27094369</v>
      </c>
      <c r="F57" s="89">
        <v>29233167</v>
      </c>
      <c r="G57" s="500">
        <f t="shared" si="1"/>
        <v>-7.3163403746162703E-2</v>
      </c>
      <c r="H57" s="87">
        <f t="shared" si="5"/>
        <v>1373.7448156974092</v>
      </c>
      <c r="I57" s="88">
        <f t="shared" si="6"/>
        <v>1212.8435049578891</v>
      </c>
      <c r="J57" s="500">
        <f t="shared" si="4"/>
        <v>0.13266452768373174</v>
      </c>
    </row>
    <row r="58" spans="1:10">
      <c r="A58" s="445" t="s">
        <v>25</v>
      </c>
      <c r="B58" s="556">
        <f>整車出口!E58</f>
        <v>2863</v>
      </c>
      <c r="C58" s="89">
        <v>2815</v>
      </c>
      <c r="D58" s="500">
        <f t="shared" si="0"/>
        <v>1.7051509769094138E-2</v>
      </c>
      <c r="E58" s="556">
        <f>整車出口!G58</f>
        <v>1482547</v>
      </c>
      <c r="F58" s="89">
        <v>827297</v>
      </c>
      <c r="G58" s="500">
        <f t="shared" si="1"/>
        <v>0.79203720066674965</v>
      </c>
      <c r="H58" s="87">
        <f t="shared" si="5"/>
        <v>517.82989870764936</v>
      </c>
      <c r="I58" s="88">
        <f t="shared" si="6"/>
        <v>293.88880994671405</v>
      </c>
      <c r="J58" s="500">
        <f t="shared" si="4"/>
        <v>0.76199256719416708</v>
      </c>
    </row>
    <row r="59" spans="1:10">
      <c r="A59" s="445" t="s">
        <v>26</v>
      </c>
      <c r="B59" s="556">
        <f>整車出口!E59</f>
        <v>119</v>
      </c>
      <c r="C59" s="89">
        <v>212</v>
      </c>
      <c r="D59" s="500">
        <f t="shared" si="0"/>
        <v>-0.43867924528301888</v>
      </c>
      <c r="E59" s="556">
        <f>整車出口!G59</f>
        <v>44021</v>
      </c>
      <c r="F59" s="89">
        <v>36817</v>
      </c>
      <c r="G59" s="500">
        <f t="shared" si="1"/>
        <v>0.19567047831164952</v>
      </c>
      <c r="H59" s="87">
        <f t="shared" si="5"/>
        <v>369.92436974789916</v>
      </c>
      <c r="I59" s="88">
        <f t="shared" si="6"/>
        <v>173.66509433962264</v>
      </c>
      <c r="J59" s="500">
        <f t="shared" si="4"/>
        <v>1.130102028588821</v>
      </c>
    </row>
    <row r="60" spans="1:10">
      <c r="A60" s="445" t="s">
        <v>27</v>
      </c>
      <c r="B60" s="556">
        <f>整車出口!E60</f>
        <v>4968</v>
      </c>
      <c r="C60" s="89">
        <v>13449</v>
      </c>
      <c r="D60" s="500">
        <f t="shared" si="0"/>
        <v>-0.63060450591122019</v>
      </c>
      <c r="E60" s="556">
        <f>整車出口!G60</f>
        <v>7740725</v>
      </c>
      <c r="F60" s="89">
        <v>14467410</v>
      </c>
      <c r="G60" s="500">
        <f t="shared" si="1"/>
        <v>-0.46495433529567493</v>
      </c>
      <c r="H60" s="87">
        <f t="shared" si="5"/>
        <v>1558.1169484702093</v>
      </c>
      <c r="I60" s="88">
        <f t="shared" si="6"/>
        <v>1075.723845639081</v>
      </c>
      <c r="J60" s="500">
        <f t="shared" si="4"/>
        <v>0.44843581815790418</v>
      </c>
    </row>
    <row r="61" spans="1:10">
      <c r="A61" s="446" t="s">
        <v>228</v>
      </c>
      <c r="B61" s="556">
        <f>整車出口!E61</f>
        <v>3188</v>
      </c>
      <c r="C61" s="89">
        <v>3885</v>
      </c>
      <c r="D61" s="500">
        <f t="shared" si="0"/>
        <v>-0.1794079794079794</v>
      </c>
      <c r="E61" s="556">
        <f>整車出口!G61</f>
        <v>6373835</v>
      </c>
      <c r="F61" s="89">
        <v>6026372</v>
      </c>
      <c r="G61" s="500">
        <f t="shared" si="1"/>
        <v>5.7657077923500243E-2</v>
      </c>
      <c r="H61" s="87">
        <f t="shared" si="5"/>
        <v>1999.3208908406525</v>
      </c>
      <c r="I61" s="88">
        <f t="shared" si="6"/>
        <v>1551.189703989704</v>
      </c>
      <c r="J61" s="500">
        <f t="shared" si="4"/>
        <v>0.2888951529902129</v>
      </c>
    </row>
    <row r="62" spans="1:10">
      <c r="A62" s="445" t="s">
        <v>28</v>
      </c>
      <c r="B62" s="556">
        <f>整車出口!E62</f>
        <v>2373</v>
      </c>
      <c r="C62" s="89">
        <v>5382</v>
      </c>
      <c r="D62" s="500">
        <f t="shared" si="0"/>
        <v>-0.55908584169453734</v>
      </c>
      <c r="E62" s="556">
        <f>整車出口!G62</f>
        <v>3950019</v>
      </c>
      <c r="F62" s="89">
        <v>7247239</v>
      </c>
      <c r="G62" s="500">
        <f t="shared" si="1"/>
        <v>-0.45496222768422567</v>
      </c>
      <c r="H62" s="87">
        <f t="shared" si="5"/>
        <v>1664.5676359039192</v>
      </c>
      <c r="I62" s="88">
        <f t="shared" si="6"/>
        <v>1346.569862504645</v>
      </c>
      <c r="J62" s="500">
        <f t="shared" si="4"/>
        <v>0.23615393620037831</v>
      </c>
    </row>
    <row r="63" spans="1:10">
      <c r="A63" s="292" t="s">
        <v>229</v>
      </c>
      <c r="B63" s="556">
        <f>整車出口!E63</f>
        <v>328</v>
      </c>
      <c r="C63" s="89">
        <v>1643</v>
      </c>
      <c r="D63" s="500">
        <f t="shared" si="0"/>
        <v>-0.80036518563603165</v>
      </c>
      <c r="E63" s="556">
        <f>整車出口!G63</f>
        <v>465354</v>
      </c>
      <c r="F63" s="89">
        <v>1854964</v>
      </c>
      <c r="G63" s="500">
        <f t="shared" si="1"/>
        <v>-0.74913044134549245</v>
      </c>
      <c r="H63" s="87">
        <f t="shared" si="5"/>
        <v>1418.7621951219512</v>
      </c>
      <c r="I63" s="88">
        <f t="shared" si="6"/>
        <v>1129.0103469263543</v>
      </c>
      <c r="J63" s="500">
        <f t="shared" si="4"/>
        <v>0.25664233191876812</v>
      </c>
    </row>
    <row r="64" spans="1:10">
      <c r="A64" s="445" t="s">
        <v>29</v>
      </c>
      <c r="B64" s="556">
        <f>整車出口!E64</f>
        <v>1333</v>
      </c>
      <c r="C64" s="89">
        <v>3253</v>
      </c>
      <c r="D64" s="500">
        <f t="shared" si="0"/>
        <v>-0.59022440823854905</v>
      </c>
      <c r="E64" s="556">
        <f>整車出口!G64</f>
        <v>2594777</v>
      </c>
      <c r="F64" s="89">
        <v>4950160</v>
      </c>
      <c r="G64" s="500">
        <f t="shared" si="1"/>
        <v>-0.4758195694684616</v>
      </c>
      <c r="H64" s="87">
        <f t="shared" si="5"/>
        <v>1946.5693923480869</v>
      </c>
      <c r="I64" s="88">
        <f t="shared" si="6"/>
        <v>1521.7214878573625</v>
      </c>
      <c r="J64" s="500">
        <f t="shared" si="4"/>
        <v>0.27918900263998064</v>
      </c>
    </row>
    <row r="65" spans="1:10">
      <c r="A65" s="292" t="s">
        <v>230</v>
      </c>
      <c r="B65" s="556">
        <f>整車出口!E65</f>
        <v>1610</v>
      </c>
      <c r="C65" s="89">
        <v>3152</v>
      </c>
      <c r="D65" s="500">
        <f t="shared" si="0"/>
        <v>-0.48921319796954316</v>
      </c>
      <c r="E65" s="556">
        <f>整車出口!G65</f>
        <v>1490866</v>
      </c>
      <c r="F65" s="89">
        <v>4254259</v>
      </c>
      <c r="G65" s="500">
        <f t="shared" si="1"/>
        <v>-0.64955918292703851</v>
      </c>
      <c r="H65" s="87">
        <f t="shared" si="5"/>
        <v>926.00372670807451</v>
      </c>
      <c r="I65" s="88">
        <f t="shared" si="6"/>
        <v>1349.701459390863</v>
      </c>
      <c r="J65" s="500">
        <f t="shared" si="4"/>
        <v>-0.31391959291057486</v>
      </c>
    </row>
    <row r="66" spans="1:10">
      <c r="A66" s="30" t="s">
        <v>30</v>
      </c>
      <c r="B66" s="556">
        <f>B67-B47-B41-B12-B7</f>
        <v>18460</v>
      </c>
      <c r="C66" s="90">
        <v>26627</v>
      </c>
      <c r="D66" s="500">
        <f t="shared" si="0"/>
        <v>-0.3067187441318962</v>
      </c>
      <c r="E66" s="556">
        <f>E67-E47-E41-E12-E7</f>
        <v>23971439</v>
      </c>
      <c r="F66" s="90">
        <v>30340924</v>
      </c>
      <c r="G66" s="500">
        <f t="shared" si="1"/>
        <v>-0.20993048860344529</v>
      </c>
      <c r="H66" s="87">
        <f t="shared" si="5"/>
        <v>1298.561159263272</v>
      </c>
      <c r="I66" s="88">
        <f t="shared" si="6"/>
        <v>1139.4796259435911</v>
      </c>
      <c r="J66" s="500">
        <f t="shared" si="4"/>
        <v>0.13960893174193184</v>
      </c>
    </row>
    <row r="67" spans="1:10">
      <c r="A67" s="32" t="s">
        <v>400</v>
      </c>
      <c r="B67" s="555">
        <f>整車出口!E67</f>
        <v>886894</v>
      </c>
      <c r="C67" s="89">
        <v>1133371</v>
      </c>
      <c r="D67" s="500">
        <f t="shared" si="0"/>
        <v>-0.2174724781205801</v>
      </c>
      <c r="E67" s="555">
        <f>整車出口!G67</f>
        <v>871877139</v>
      </c>
      <c r="F67" s="89">
        <v>854902883</v>
      </c>
      <c r="G67" s="500">
        <f t="shared" si="1"/>
        <v>1.9855186287867508E-2</v>
      </c>
      <c r="H67" s="87">
        <f t="shared" si="5"/>
        <v>983.06803180537918</v>
      </c>
      <c r="I67" s="88">
        <f t="shared" si="6"/>
        <v>754.30100381957891</v>
      </c>
      <c r="J67" s="500">
        <f t="shared" si="4"/>
        <v>0.30328347281441376</v>
      </c>
    </row>
    <row r="68" spans="1:10">
      <c r="A68" s="96"/>
      <c r="B68" s="55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153</v>
      </c>
      <c r="B69" s="558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493</v>
      </c>
      <c r="B70" s="560" t="s">
        <v>420</v>
      </c>
      <c r="C70" s="71" t="s">
        <v>476</v>
      </c>
      <c r="D70" s="72" t="s">
        <v>159</v>
      </c>
      <c r="E70" s="8" t="s">
        <v>420</v>
      </c>
      <c r="F70" s="71" t="s">
        <v>476</v>
      </c>
      <c r="G70" s="74" t="s">
        <v>160</v>
      </c>
      <c r="H70" s="8" t="s">
        <v>420</v>
      </c>
      <c r="I70" s="71" t="s">
        <v>421</v>
      </c>
      <c r="J70" s="75" t="s">
        <v>37</v>
      </c>
    </row>
    <row r="71" spans="1:10">
      <c r="A71" s="46"/>
      <c r="B71" s="559" t="s">
        <v>522</v>
      </c>
      <c r="C71" s="106" t="s">
        <v>33</v>
      </c>
      <c r="D71" s="440" t="s">
        <v>2</v>
      </c>
      <c r="E71" s="48" t="s">
        <v>34</v>
      </c>
      <c r="F71" s="106" t="s">
        <v>34</v>
      </c>
      <c r="G71" s="441" t="s">
        <v>2</v>
      </c>
      <c r="H71" s="78" t="s">
        <v>35</v>
      </c>
      <c r="I71" s="79" t="s">
        <v>110</v>
      </c>
      <c r="J71" s="440" t="s">
        <v>2</v>
      </c>
    </row>
    <row r="72" spans="1:10">
      <c r="A72" s="32" t="s">
        <v>31</v>
      </c>
      <c r="B72" s="555">
        <f>整車出口!E72</f>
        <v>22410</v>
      </c>
      <c r="C72" s="89">
        <v>29585</v>
      </c>
      <c r="D72" s="86">
        <f>(B72-C72)/C72</f>
        <v>-0.24252154808179821</v>
      </c>
      <c r="E72" s="555">
        <f>整車出口!G72</f>
        <v>8833418</v>
      </c>
      <c r="F72" s="89">
        <v>11012935</v>
      </c>
      <c r="G72" s="93">
        <f>(E72-F72)/F72</f>
        <v>-0.19790519057817013</v>
      </c>
      <c r="H72" s="87">
        <f t="shared" ref="H72" si="7">IF(B72,E72/B72,0)</f>
        <v>394.17304774654173</v>
      </c>
      <c r="I72" s="88">
        <f t="shared" ref="I72" si="8">IF(C72,F72/C72,0)</f>
        <v>372.24725367584927</v>
      </c>
      <c r="J72" s="92">
        <f>(H72-I72)/I72</f>
        <v>5.8901157373709774E-2</v>
      </c>
    </row>
    <row r="73" spans="1:10" ht="9" customHeight="1">
      <c r="A73" s="107"/>
      <c r="B73" s="108"/>
      <c r="C73" s="109"/>
      <c r="D73" s="108"/>
      <c r="E73" s="108"/>
      <c r="F73" s="108"/>
      <c r="G73" s="108"/>
      <c r="H73" s="108"/>
      <c r="I73" s="108"/>
      <c r="J73" s="108"/>
    </row>
    <row r="74" spans="1:10" s="108" customFormat="1">
      <c r="A74" s="54" t="s">
        <v>32</v>
      </c>
      <c r="B74" s="13"/>
      <c r="C74" s="59"/>
      <c r="D74" s="60"/>
      <c r="E74" s="13"/>
      <c r="F74" s="59"/>
      <c r="G74" s="60"/>
      <c r="H74" s="5"/>
      <c r="I74" s="5"/>
      <c r="J74" s="5"/>
    </row>
  </sheetData>
  <mergeCells count="1">
    <mergeCell ref="A1:J1"/>
  </mergeCells>
  <phoneticPr fontId="3" type="noConversion"/>
  <conditionalFormatting sqref="D2:D4 J6:J70 D72:D1048576">
    <cfRule type="cellIs" dxfId="81" priority="9" operator="greaterThanOrEqual">
      <formula>0</formula>
    </cfRule>
    <cfRule type="cellIs" dxfId="80" priority="10" operator="lessThan">
      <formula>0</formula>
    </cfRule>
  </conditionalFormatting>
  <conditionalFormatting sqref="D6:D70">
    <cfRule type="cellIs" dxfId="79" priority="3" operator="greaterThanOrEqual">
      <formula>0</formula>
    </cfRule>
    <cfRule type="cellIs" dxfId="78" priority="4" operator="lessThan">
      <formula>0</formula>
    </cfRule>
  </conditionalFormatting>
  <conditionalFormatting sqref="G2:G4 G72:G1048576">
    <cfRule type="cellIs" dxfId="77" priority="7" operator="greaterThanOrEqual">
      <formula>0</formula>
    </cfRule>
    <cfRule type="cellIs" dxfId="76" priority="8" operator="lessThan">
      <formula>0</formula>
    </cfRule>
  </conditionalFormatting>
  <conditionalFormatting sqref="G6:G70">
    <cfRule type="cellIs" dxfId="75" priority="1" operator="greaterThanOrEqual">
      <formula>0</formula>
    </cfRule>
    <cfRule type="cellIs" dxfId="74" priority="2" operator="lessThan">
      <formula>0</formula>
    </cfRule>
  </conditionalFormatting>
  <conditionalFormatting sqref="J2:J3 J72:J1048576">
    <cfRule type="cellIs" dxfId="73" priority="5" operator="greaterThanOrEqual">
      <formula>0</formula>
    </cfRule>
    <cfRule type="cellIs" dxfId="72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19" sqref="A19"/>
    </sheetView>
  </sheetViews>
  <sheetFormatPr defaultRowHeight="16.5"/>
  <cols>
    <col min="1" max="1" width="6.5" style="96" customWidth="1"/>
    <col min="2" max="2" width="16.12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62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0" customFormat="1" ht="19.5">
      <c r="B1" s="1"/>
      <c r="C1" s="1"/>
      <c r="D1" s="1"/>
      <c r="E1" s="179" t="s">
        <v>515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38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39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40</v>
      </c>
      <c r="B5" s="119" t="s">
        <v>41</v>
      </c>
      <c r="C5" s="120" t="s">
        <v>42</v>
      </c>
      <c r="D5" s="119" t="s">
        <v>43</v>
      </c>
      <c r="E5" s="119" t="s">
        <v>44</v>
      </c>
      <c r="F5" s="119" t="s">
        <v>45</v>
      </c>
      <c r="G5" s="119" t="s">
        <v>46</v>
      </c>
      <c r="H5" s="119" t="s">
        <v>47</v>
      </c>
      <c r="I5" s="119" t="s">
        <v>48</v>
      </c>
      <c r="J5" s="119" t="s">
        <v>49</v>
      </c>
      <c r="K5" s="5"/>
      <c r="L5" s="5"/>
      <c r="M5" s="5"/>
      <c r="N5" s="5"/>
    </row>
    <row r="6" spans="1:14" s="121" customFormat="1">
      <c r="A6" s="122"/>
      <c r="B6" s="123" t="s">
        <v>50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27">
        <f t="shared" ref="B7:B19" si="0">SUM(C7:J7)</f>
        <v>162493</v>
      </c>
      <c r="C7" s="374">
        <v>54703</v>
      </c>
      <c r="D7" s="374">
        <v>75533</v>
      </c>
      <c r="E7" s="375">
        <v>19471</v>
      </c>
      <c r="F7" s="374">
        <v>3320</v>
      </c>
      <c r="G7" s="374">
        <v>705</v>
      </c>
      <c r="H7" s="374">
        <v>8248</v>
      </c>
      <c r="I7" s="375">
        <v>513</v>
      </c>
      <c r="J7" s="375">
        <v>0</v>
      </c>
    </row>
    <row r="8" spans="1:14">
      <c r="A8" s="126"/>
      <c r="B8" s="27">
        <f t="shared" si="0"/>
        <v>151997099</v>
      </c>
      <c r="C8" s="374">
        <v>56124187</v>
      </c>
      <c r="D8" s="376">
        <v>57956348</v>
      </c>
      <c r="E8" s="374">
        <v>18004543</v>
      </c>
      <c r="F8" s="376">
        <v>5802647</v>
      </c>
      <c r="G8" s="376">
        <v>909998</v>
      </c>
      <c r="H8" s="376">
        <v>11974996</v>
      </c>
      <c r="I8" s="374">
        <v>1224380</v>
      </c>
      <c r="J8" s="374">
        <v>0</v>
      </c>
    </row>
    <row r="9" spans="1:14">
      <c r="A9" s="125">
        <v>2</v>
      </c>
      <c r="B9" s="27">
        <f t="shared" si="0"/>
        <v>115013</v>
      </c>
      <c r="C9" s="374">
        <v>38869</v>
      </c>
      <c r="D9" s="374">
        <v>44134</v>
      </c>
      <c r="E9" s="374">
        <v>23805</v>
      </c>
      <c r="F9" s="374">
        <v>2717</v>
      </c>
      <c r="G9" s="374">
        <v>514</v>
      </c>
      <c r="H9" s="374">
        <v>4534</v>
      </c>
      <c r="I9" s="374">
        <v>440</v>
      </c>
      <c r="J9" s="374">
        <v>0</v>
      </c>
    </row>
    <row r="10" spans="1:14">
      <c r="A10" s="126"/>
      <c r="B10" s="27">
        <f t="shared" si="0"/>
        <v>109496132</v>
      </c>
      <c r="C10" s="376">
        <v>39857934</v>
      </c>
      <c r="D10" s="479">
        <v>40045090</v>
      </c>
      <c r="E10" s="376">
        <v>17929546</v>
      </c>
      <c r="F10" s="376">
        <v>3876252</v>
      </c>
      <c r="G10" s="376">
        <v>414507</v>
      </c>
      <c r="H10" s="376">
        <v>6621595</v>
      </c>
      <c r="I10" s="376">
        <v>751208</v>
      </c>
      <c r="J10" s="376">
        <v>0</v>
      </c>
    </row>
    <row r="11" spans="1:14">
      <c r="A11" s="125">
        <v>3</v>
      </c>
      <c r="B11" s="27">
        <f t="shared" si="0"/>
        <v>134607</v>
      </c>
      <c r="C11" s="374">
        <v>52446</v>
      </c>
      <c r="D11" s="374">
        <v>48089</v>
      </c>
      <c r="E11" s="374">
        <v>24299</v>
      </c>
      <c r="F11" s="374">
        <v>2178</v>
      </c>
      <c r="G11" s="374">
        <v>1114</v>
      </c>
      <c r="H11" s="374">
        <v>6176</v>
      </c>
      <c r="I11" s="374">
        <v>305</v>
      </c>
      <c r="J11" s="374">
        <v>0</v>
      </c>
    </row>
    <row r="12" spans="1:14">
      <c r="A12" s="126"/>
      <c r="B12" s="27">
        <f t="shared" si="0"/>
        <v>122131450</v>
      </c>
      <c r="C12" s="376">
        <v>53609233</v>
      </c>
      <c r="D12" s="376">
        <v>34813313</v>
      </c>
      <c r="E12" s="376">
        <v>20000952</v>
      </c>
      <c r="F12" s="376">
        <v>3320479</v>
      </c>
      <c r="G12" s="376">
        <v>1237260</v>
      </c>
      <c r="H12" s="376">
        <v>8716292</v>
      </c>
      <c r="I12" s="376">
        <v>433921</v>
      </c>
      <c r="J12" s="376">
        <v>0</v>
      </c>
      <c r="L12" s="478"/>
    </row>
    <row r="13" spans="1:14">
      <c r="A13" s="125">
        <v>4</v>
      </c>
      <c r="B13" s="27">
        <f t="shared" si="0"/>
        <v>133349</v>
      </c>
      <c r="C13" s="375">
        <v>52312</v>
      </c>
      <c r="D13" s="375">
        <v>53119</v>
      </c>
      <c r="E13" s="375">
        <v>21561</v>
      </c>
      <c r="F13" s="375">
        <v>2379</v>
      </c>
      <c r="G13" s="375">
        <v>478</v>
      </c>
      <c r="H13" s="375">
        <v>3103</v>
      </c>
      <c r="I13" s="375">
        <v>397</v>
      </c>
      <c r="J13" s="376">
        <v>0</v>
      </c>
    </row>
    <row r="14" spans="1:14">
      <c r="A14" s="126"/>
      <c r="B14" s="27">
        <f t="shared" si="0"/>
        <v>126190344</v>
      </c>
      <c r="C14" s="374">
        <v>54180448</v>
      </c>
      <c r="D14" s="374">
        <v>43860514</v>
      </c>
      <c r="E14" s="374">
        <v>18514393</v>
      </c>
      <c r="F14" s="374">
        <v>3504834</v>
      </c>
      <c r="G14" s="374">
        <v>499801</v>
      </c>
      <c r="H14" s="374">
        <v>4716228</v>
      </c>
      <c r="I14" s="374">
        <v>914126</v>
      </c>
      <c r="J14" s="376">
        <v>0</v>
      </c>
    </row>
    <row r="15" spans="1:14">
      <c r="A15" s="127">
        <v>5</v>
      </c>
      <c r="B15" s="27">
        <f t="shared" si="0"/>
        <v>130700</v>
      </c>
      <c r="C15" s="374">
        <v>55331</v>
      </c>
      <c r="D15" s="374">
        <v>50458</v>
      </c>
      <c r="E15" s="374">
        <v>18326</v>
      </c>
      <c r="F15" s="374">
        <v>2465</v>
      </c>
      <c r="G15" s="374">
        <v>696</v>
      </c>
      <c r="H15" s="374">
        <v>2863</v>
      </c>
      <c r="I15" s="374">
        <v>561</v>
      </c>
      <c r="J15" s="376">
        <v>0</v>
      </c>
    </row>
    <row r="16" spans="1:14">
      <c r="A16" s="127"/>
      <c r="B16" s="27">
        <f t="shared" si="0"/>
        <v>124913855</v>
      </c>
      <c r="C16" s="374">
        <v>48648942</v>
      </c>
      <c r="D16" s="374">
        <v>43908704</v>
      </c>
      <c r="E16" s="374">
        <v>21393330</v>
      </c>
      <c r="F16" s="374">
        <v>4598569</v>
      </c>
      <c r="G16" s="374">
        <v>989028</v>
      </c>
      <c r="H16" s="374">
        <v>4465937</v>
      </c>
      <c r="I16" s="374">
        <v>909345</v>
      </c>
      <c r="J16" s="376">
        <v>0</v>
      </c>
    </row>
    <row r="17" spans="1:10">
      <c r="A17" s="125">
        <v>6</v>
      </c>
      <c r="B17" s="27">
        <f t="shared" si="0"/>
        <v>105847</v>
      </c>
      <c r="C17" s="374">
        <v>46071</v>
      </c>
      <c r="D17" s="374">
        <v>37241</v>
      </c>
      <c r="E17" s="374">
        <v>16344</v>
      </c>
      <c r="F17" s="374">
        <v>862</v>
      </c>
      <c r="G17" s="374">
        <v>149</v>
      </c>
      <c r="H17" s="374">
        <v>4462</v>
      </c>
      <c r="I17" s="374">
        <v>674</v>
      </c>
      <c r="J17" s="376">
        <v>44</v>
      </c>
    </row>
    <row r="18" spans="1:10">
      <c r="A18" s="126"/>
      <c r="B18" s="27">
        <f>SUM(C18:J18)</f>
        <v>117464564</v>
      </c>
      <c r="C18" s="374">
        <v>48748874</v>
      </c>
      <c r="D18" s="374">
        <v>39062607</v>
      </c>
      <c r="E18" s="374">
        <v>19430298</v>
      </c>
      <c r="F18" s="374">
        <v>1703615</v>
      </c>
      <c r="G18" s="374">
        <v>305336</v>
      </c>
      <c r="H18" s="374">
        <v>6757666</v>
      </c>
      <c r="I18" s="374">
        <v>1431338</v>
      </c>
      <c r="J18" s="376">
        <v>24830</v>
      </c>
    </row>
    <row r="19" spans="1:10">
      <c r="A19" s="125">
        <v>7</v>
      </c>
      <c r="B19" s="27">
        <f t="shared" si="0"/>
        <v>104885</v>
      </c>
      <c r="C19" s="374">
        <v>40991</v>
      </c>
      <c r="D19" s="374">
        <v>37758</v>
      </c>
      <c r="E19" s="374">
        <v>20200</v>
      </c>
      <c r="F19" s="374">
        <v>883</v>
      </c>
      <c r="G19" s="374">
        <v>472</v>
      </c>
      <c r="H19" s="374">
        <v>4155</v>
      </c>
      <c r="I19" s="374">
        <v>426</v>
      </c>
      <c r="J19" s="376">
        <v>0</v>
      </c>
    </row>
    <row r="20" spans="1:10">
      <c r="A20" s="126"/>
      <c r="B20" s="27">
        <f>SUM(C20:J20)</f>
        <v>119683695</v>
      </c>
      <c r="C20" s="374">
        <v>44847291</v>
      </c>
      <c r="D20" s="374">
        <v>39093833</v>
      </c>
      <c r="E20" s="374">
        <v>25504322</v>
      </c>
      <c r="F20" s="374">
        <v>1764461</v>
      </c>
      <c r="G20" s="374">
        <v>564750</v>
      </c>
      <c r="H20" s="374">
        <v>7032602</v>
      </c>
      <c r="I20" s="374">
        <v>876436</v>
      </c>
      <c r="J20" s="376">
        <v>0</v>
      </c>
    </row>
    <row r="21" spans="1:10">
      <c r="A21" s="125">
        <v>8</v>
      </c>
      <c r="B21" s="27"/>
      <c r="C21" s="374"/>
      <c r="D21" s="374"/>
      <c r="E21" s="374"/>
      <c r="F21" s="374"/>
      <c r="G21" s="374"/>
      <c r="H21" s="374"/>
      <c r="I21" s="374"/>
      <c r="J21" s="374"/>
    </row>
    <row r="22" spans="1:10">
      <c r="A22" s="126"/>
      <c r="B22" s="27"/>
      <c r="C22" s="374"/>
      <c r="D22" s="374"/>
      <c r="E22" s="374"/>
      <c r="F22" s="374"/>
      <c r="G22" s="374"/>
      <c r="H22" s="374"/>
      <c r="I22" s="374"/>
      <c r="J22" s="374"/>
    </row>
    <row r="23" spans="1:10">
      <c r="A23" s="125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6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5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6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5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6"/>
      <c r="B28" s="27"/>
      <c r="C28" s="27"/>
      <c r="D28" s="27"/>
      <c r="E28" s="27"/>
      <c r="F28" s="27"/>
      <c r="G28" s="27"/>
      <c r="H28" s="27"/>
      <c r="I28" s="505"/>
      <c r="J28" s="27"/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506"/>
      <c r="J29" s="27"/>
    </row>
    <row r="30" spans="1:10">
      <c r="A30" s="126"/>
      <c r="B30" s="27"/>
      <c r="C30" s="27"/>
      <c r="D30" s="27"/>
      <c r="E30" s="27"/>
      <c r="F30" s="27"/>
      <c r="G30" s="27"/>
      <c r="H30" s="27"/>
      <c r="I30" s="209"/>
      <c r="J30" s="27">
        <v>0</v>
      </c>
    </row>
    <row r="31" spans="1:10" s="114" customFormat="1">
      <c r="A31" s="550" t="s">
        <v>51</v>
      </c>
      <c r="B31" s="33">
        <f>SUM(B7,B9,B11,B13,B15,B17,B19,B21,B23,B25,B27,B29)</f>
        <v>886894</v>
      </c>
      <c r="C31" s="33">
        <f>SUM(C7+C9+C11+C13+C15+C17+C19+C21+C23+C25+C27+C29)</f>
        <v>340723</v>
      </c>
      <c r="D31" s="33">
        <f t="shared" ref="D31:J31" si="1">SUM(D7+D9+D11+D13+D15+D17+D19+D21+D23+D25+D27+D29)</f>
        <v>346332</v>
      </c>
      <c r="E31" s="33">
        <f t="shared" si="1"/>
        <v>144006</v>
      </c>
      <c r="F31" s="33">
        <f t="shared" si="1"/>
        <v>14804</v>
      </c>
      <c r="G31" s="33">
        <f t="shared" si="1"/>
        <v>4128</v>
      </c>
      <c r="H31" s="33">
        <f t="shared" si="1"/>
        <v>33541</v>
      </c>
      <c r="I31" s="33">
        <f t="shared" si="1"/>
        <v>3316</v>
      </c>
      <c r="J31" s="33">
        <f t="shared" si="1"/>
        <v>44</v>
      </c>
    </row>
    <row r="32" spans="1:10" s="114" customFormat="1">
      <c r="A32" s="546"/>
      <c r="B32" s="33">
        <f>SUM(B8,B10,B12,B14,B16,B18,B20,B22,B24,B26,B28,B30)</f>
        <v>871877139</v>
      </c>
      <c r="C32" s="33">
        <f t="shared" ref="C32:J32" si="2">SUM(C8,C10,C12,C14,C16,C18,C20,C22,C24,C26,C28,C30)</f>
        <v>346016909</v>
      </c>
      <c r="D32" s="33">
        <f t="shared" si="2"/>
        <v>298740409</v>
      </c>
      <c r="E32" s="33">
        <f t="shared" si="2"/>
        <v>140777384</v>
      </c>
      <c r="F32" s="33">
        <f t="shared" si="2"/>
        <v>24570857</v>
      </c>
      <c r="G32" s="33">
        <f t="shared" si="2"/>
        <v>4920680</v>
      </c>
      <c r="H32" s="33">
        <f t="shared" si="2"/>
        <v>50285316</v>
      </c>
      <c r="I32" s="33">
        <f t="shared" si="2"/>
        <v>6540754</v>
      </c>
      <c r="J32" s="33">
        <f t="shared" si="2"/>
        <v>24830</v>
      </c>
    </row>
    <row r="33" spans="1:10" s="114" customFormat="1" ht="6.75" customHeight="1">
      <c r="A33" s="487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 ht="15.75" customHeight="1">
      <c r="A34" s="54" t="s">
        <v>414</v>
      </c>
    </row>
    <row r="35" spans="1:10">
      <c r="D35" s="478"/>
      <c r="E35" s="478"/>
      <c r="F35" s="478"/>
      <c r="G35" s="478"/>
      <c r="H35" s="478"/>
    </row>
    <row r="36" spans="1:10">
      <c r="D36" s="478"/>
      <c r="E36" s="478"/>
      <c r="F36" s="478"/>
      <c r="G36" s="478"/>
      <c r="H36" s="478"/>
    </row>
    <row r="37" spans="1:10">
      <c r="D37" s="478"/>
      <c r="F37" s="478"/>
      <c r="G37" s="478"/>
    </row>
    <row r="38" spans="1:10">
      <c r="D38" s="478"/>
      <c r="E38" s="478"/>
      <c r="G38" s="478"/>
      <c r="H38" s="478"/>
    </row>
    <row r="39" spans="1:10">
      <c r="F39" s="478"/>
      <c r="G39" s="478"/>
      <c r="H39" s="478"/>
    </row>
    <row r="40" spans="1:10">
      <c r="F40" s="478"/>
      <c r="G40" s="478"/>
      <c r="H40" s="478"/>
    </row>
    <row r="41" spans="1:10">
      <c r="G41" s="478"/>
      <c r="H41" s="478"/>
    </row>
    <row r="42" spans="1:10">
      <c r="G42" s="478"/>
      <c r="H42" s="478"/>
    </row>
    <row r="43" spans="1:10">
      <c r="G43" s="478"/>
      <c r="H43" s="478"/>
    </row>
    <row r="44" spans="1:10">
      <c r="G44" s="478"/>
      <c r="H44" s="478"/>
    </row>
    <row r="45" spans="1:10">
      <c r="G45" s="478"/>
      <c r="H45" s="478"/>
    </row>
    <row r="46" spans="1:10">
      <c r="G46" s="478"/>
      <c r="H46" s="478"/>
    </row>
    <row r="47" spans="1:10">
      <c r="G47" s="478"/>
    </row>
    <row r="48" spans="1:10">
      <c r="G48" s="478"/>
      <c r="H48" s="478"/>
    </row>
    <row r="49" spans="7:8">
      <c r="G49" s="478"/>
    </row>
    <row r="50" spans="7:8">
      <c r="G50" s="478"/>
    </row>
    <row r="51" spans="7:8">
      <c r="G51" s="478"/>
    </row>
    <row r="52" spans="7:8">
      <c r="G52" s="478"/>
    </row>
    <row r="53" spans="7:8">
      <c r="G53" s="478"/>
    </row>
    <row r="54" spans="7:8">
      <c r="G54" s="478"/>
    </row>
    <row r="55" spans="7:8">
      <c r="G55" s="478"/>
    </row>
    <row r="56" spans="7:8">
      <c r="G56" s="478"/>
    </row>
    <row r="57" spans="7:8">
      <c r="G57" s="478"/>
    </row>
    <row r="58" spans="7:8">
      <c r="G58" s="478"/>
    </row>
    <row r="59" spans="7:8">
      <c r="G59" s="478"/>
    </row>
    <row r="60" spans="7:8">
      <c r="G60" s="478"/>
    </row>
    <row r="62" spans="7:8">
      <c r="G62" s="478"/>
      <c r="H62" s="478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5.1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2.125" style="5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49" t="s">
        <v>494</v>
      </c>
      <c r="B1" s="549"/>
      <c r="C1" s="549"/>
      <c r="D1" s="549"/>
      <c r="E1" s="549"/>
      <c r="F1" s="549"/>
      <c r="G1" s="549"/>
      <c r="H1" s="549"/>
      <c r="I1" s="549"/>
    </row>
    <row r="2" spans="1:9" ht="15" customHeight="1"/>
    <row r="3" spans="1:9">
      <c r="A3" s="62" t="s">
        <v>0</v>
      </c>
      <c r="B3" s="63"/>
      <c r="C3" s="63"/>
      <c r="D3" s="170"/>
      <c r="E3" s="63"/>
      <c r="F3" s="63"/>
      <c r="G3" s="63"/>
      <c r="H3" s="63"/>
      <c r="I3" s="170"/>
    </row>
    <row r="4" spans="1:9">
      <c r="A4" s="8" t="s">
        <v>484</v>
      </c>
      <c r="B4" s="8" t="s">
        <v>485</v>
      </c>
      <c r="C4" s="8" t="s">
        <v>489</v>
      </c>
      <c r="D4" s="9" t="s">
        <v>1</v>
      </c>
      <c r="E4" s="10" t="s">
        <v>487</v>
      </c>
      <c r="F4" s="11" t="s">
        <v>2</v>
      </c>
      <c r="G4" s="8" t="s">
        <v>488</v>
      </c>
      <c r="H4" s="11" t="s">
        <v>2</v>
      </c>
      <c r="I4" s="171" t="s">
        <v>55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56</v>
      </c>
      <c r="H5" s="8"/>
      <c r="I5" s="12" t="s">
        <v>4</v>
      </c>
    </row>
    <row r="6" spans="1:9">
      <c r="A6" s="172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3</v>
      </c>
      <c r="C7" s="22">
        <f>SUM(C8:C10)</f>
        <v>7843</v>
      </c>
      <c r="D7" s="23">
        <f>IF(B7,C7/B7,0)</f>
        <v>2614.3333333333335</v>
      </c>
      <c r="E7" s="22">
        <f>SUM(E8:E10)</f>
        <v>54</v>
      </c>
      <c r="F7" s="24">
        <f>E7/$E$66</f>
        <v>4.6575815076763843E-4</v>
      </c>
      <c r="G7" s="22">
        <f>SUM(G8:G10)</f>
        <v>212246</v>
      </c>
      <c r="H7" s="24">
        <f>G7/$G$66</f>
        <v>1.2632483622844365E-2</v>
      </c>
      <c r="I7" s="25">
        <f>IF(E7,G7/E7,0)</f>
        <v>3930.4814814814813</v>
      </c>
    </row>
    <row r="8" spans="1:9">
      <c r="A8" s="26" t="s">
        <v>387</v>
      </c>
      <c r="B8" s="27">
        <f>VLOOKUP(A8,[7]進出口值表查詢結果!$A$3:$C$14,3,0)</f>
        <v>3</v>
      </c>
      <c r="C8" s="28">
        <f>VLOOKUP(A8,[7]進出口值表查詢結果!$A$3:$C$14,2,0)</f>
        <v>7843</v>
      </c>
      <c r="D8" s="23">
        <f t="shared" ref="D8:D66" si="0">IF(B8,C8/B8,0)</f>
        <v>2614.3333333333335</v>
      </c>
      <c r="E8" s="28">
        <f>VLOOKUP(A8,[8]進出口值表查詢結果!$A$2:$C$22,3,0)</f>
        <v>54</v>
      </c>
      <c r="F8" s="24">
        <f>E8/$E$66</f>
        <v>4.6575815076763843E-4</v>
      </c>
      <c r="G8" s="28">
        <f>VLOOKUP(A8,[8]進出口值表查詢結果!$A$2:$C$22,2,0)</f>
        <v>212246</v>
      </c>
      <c r="H8" s="24">
        <f>G8/$G$66</f>
        <v>1.2632483622844365E-2</v>
      </c>
      <c r="I8" s="25">
        <f t="shared" ref="I8:I66" si="1">IF(E8,G8/E8,0)</f>
        <v>3930.4814814814813</v>
      </c>
    </row>
    <row r="9" spans="1:9">
      <c r="A9" s="30" t="s">
        <v>7</v>
      </c>
      <c r="B9" s="27">
        <v>0</v>
      </c>
      <c r="C9" s="27">
        <v>0</v>
      </c>
      <c r="D9" s="23">
        <f t="shared" si="0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8</v>
      </c>
      <c r="B10" s="27">
        <v>0</v>
      </c>
      <c r="C10" s="27">
        <v>0</v>
      </c>
      <c r="D10" s="23">
        <f t="shared" si="0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31</v>
      </c>
      <c r="C12" s="33">
        <f>SUM(C13:C39)</f>
        <v>126432</v>
      </c>
      <c r="D12" s="23">
        <f t="shared" si="0"/>
        <v>4078.4516129032259</v>
      </c>
      <c r="E12" s="33">
        <f>SUM(E13:E39)</f>
        <v>267</v>
      </c>
      <c r="F12" s="24">
        <f t="shared" ref="F12:F39" si="2">E12/$E$66</f>
        <v>2.302915301017768E-3</v>
      </c>
      <c r="G12" s="33">
        <f>SUM(G13:G39)</f>
        <v>660051</v>
      </c>
      <c r="H12" s="24">
        <f t="shared" ref="H12:H39" si="3">G12/$G$66</f>
        <v>3.9284996879762377E-2</v>
      </c>
      <c r="I12" s="25">
        <f t="shared" si="1"/>
        <v>2472.1011235955057</v>
      </c>
    </row>
    <row r="13" spans="1:9">
      <c r="A13" s="444" t="s">
        <v>201</v>
      </c>
      <c r="B13" s="27">
        <v>0</v>
      </c>
      <c r="C13" s="28">
        <v>0</v>
      </c>
      <c r="D13" s="23">
        <f t="shared" si="0"/>
        <v>0</v>
      </c>
      <c r="E13" s="28">
        <v>0</v>
      </c>
      <c r="F13" s="24">
        <f t="shared" si="2"/>
        <v>0</v>
      </c>
      <c r="G13" s="28">
        <v>0</v>
      </c>
      <c r="H13" s="24">
        <f t="shared" si="3"/>
        <v>0</v>
      </c>
      <c r="I13" s="25">
        <f t="shared" si="1"/>
        <v>0</v>
      </c>
    </row>
    <row r="14" spans="1:9">
      <c r="A14" s="444" t="s">
        <v>202</v>
      </c>
      <c r="B14" s="27">
        <f>VLOOKUP(A14,[7]進出口值表查詢結果!$A$3:$C$14,3,0)</f>
        <v>18</v>
      </c>
      <c r="C14" s="28">
        <f>VLOOKUP(A14,[7]進出口值表查詢結果!$A$3:$C$14,2,0)</f>
        <v>79694</v>
      </c>
      <c r="D14" s="23">
        <f t="shared" si="0"/>
        <v>4427.4444444444443</v>
      </c>
      <c r="E14" s="28">
        <f>VLOOKUP(A14,[8]進出口值表查詢結果!$A$2:$C$22,3,0)</f>
        <v>58</v>
      </c>
      <c r="F14" s="24">
        <f t="shared" si="2"/>
        <v>5.0025875452820419E-4</v>
      </c>
      <c r="G14" s="28">
        <f>VLOOKUP(A14,[8]進出口值表查詢結果!$A$2:$C$22,2,0)</f>
        <v>306565</v>
      </c>
      <c r="H14" s="24">
        <f t="shared" si="3"/>
        <v>1.8246173505447844E-2</v>
      </c>
      <c r="I14" s="25">
        <f t="shared" si="1"/>
        <v>5285.6034482758623</v>
      </c>
    </row>
    <row r="15" spans="1:9">
      <c r="A15" s="445" t="s">
        <v>10</v>
      </c>
      <c r="B15" s="27">
        <v>0</v>
      </c>
      <c r="C15" s="28">
        <v>0</v>
      </c>
      <c r="D15" s="23">
        <f t="shared" si="0"/>
        <v>0</v>
      </c>
      <c r="E15" s="28">
        <f>VLOOKUP(A15,[8]進出口值表查詢結果!$A$2:$C$22,3,0)</f>
        <v>4</v>
      </c>
      <c r="F15" s="24">
        <f t="shared" si="2"/>
        <v>3.4500603760565813E-5</v>
      </c>
      <c r="G15" s="28">
        <f>VLOOKUP(A15,[8]進出口值表查詢結果!$A$2:$C$22,2,0)</f>
        <v>10236</v>
      </c>
      <c r="H15" s="24">
        <f t="shared" si="3"/>
        <v>6.0922751130025967E-4</v>
      </c>
      <c r="I15" s="25">
        <f t="shared" si="1"/>
        <v>2559</v>
      </c>
    </row>
    <row r="16" spans="1:9">
      <c r="A16" s="444" t="s">
        <v>203</v>
      </c>
      <c r="B16" s="27">
        <f>VLOOKUP(A16,[7]進出口值表查詢結果!$A$3:$C$14,3,0)</f>
        <v>3</v>
      </c>
      <c r="C16" s="28">
        <f>VLOOKUP(A16,[7]進出口值表查詢結果!$A$3:$C$14,2,0)</f>
        <v>483</v>
      </c>
      <c r="D16" s="23">
        <f t="shared" si="0"/>
        <v>161</v>
      </c>
      <c r="E16" s="28">
        <f>VLOOKUP(A16,[8]進出口值表查詢結果!$A$2:$C$22,3,0)</f>
        <v>97</v>
      </c>
      <c r="F16" s="24">
        <f t="shared" si="2"/>
        <v>8.3663964119372086E-4</v>
      </c>
      <c r="G16" s="28">
        <f>VLOOKUP(A16,[8]進出口值表查詢結果!$A$2:$C$22,2,0)</f>
        <v>44675</v>
      </c>
      <c r="H16" s="24">
        <f t="shared" si="3"/>
        <v>2.6589721636712683E-3</v>
      </c>
      <c r="I16" s="25">
        <f t="shared" si="1"/>
        <v>460.56701030927837</v>
      </c>
    </row>
    <row r="17" spans="1:9">
      <c r="A17" s="445" t="s">
        <v>11</v>
      </c>
      <c r="B17" s="27">
        <f>VLOOKUP(A17,[7]進出口值表查詢結果!$A$3:$C$14,3,0)</f>
        <v>6</v>
      </c>
      <c r="C17" s="28">
        <f>VLOOKUP(A17,[7]進出口值表查詢結果!$A$3:$C$14,2,0)</f>
        <v>40477</v>
      </c>
      <c r="D17" s="23">
        <f t="shared" si="0"/>
        <v>6746.166666666667</v>
      </c>
      <c r="E17" s="28">
        <f>VLOOKUP(A17,[8]進出口值表查詢結果!$A$2:$C$22,3,0)</f>
        <v>33</v>
      </c>
      <c r="F17" s="24">
        <f t="shared" si="2"/>
        <v>2.8462998102466792E-4</v>
      </c>
      <c r="G17" s="28">
        <f>VLOOKUP(A17,[8]進出口值表查詢結果!$A$2:$C$22,2,0)</f>
        <v>184860</v>
      </c>
      <c r="H17" s="24">
        <f t="shared" si="3"/>
        <v>1.1002520294936109E-2</v>
      </c>
      <c r="I17" s="25">
        <f t="shared" si="1"/>
        <v>5601.818181818182</v>
      </c>
    </row>
    <row r="18" spans="1:9">
      <c r="A18" s="445" t="s">
        <v>12</v>
      </c>
      <c r="B18" s="27">
        <v>0</v>
      </c>
      <c r="C18" s="28">
        <v>0</v>
      </c>
      <c r="D18" s="23">
        <f t="shared" si="0"/>
        <v>0</v>
      </c>
      <c r="E18" s="28">
        <f>VLOOKUP(A18,[8]進出口值表查詢結果!$A$2:$C$22,3,0)</f>
        <v>69</v>
      </c>
      <c r="F18" s="24">
        <f t="shared" si="2"/>
        <v>5.9513541486976018E-4</v>
      </c>
      <c r="G18" s="28">
        <f>VLOOKUP(A18,[8]進出口值表查詢結果!$A$2:$C$22,2,0)</f>
        <v>105290</v>
      </c>
      <c r="H18" s="24">
        <f t="shared" si="3"/>
        <v>6.2666632146155081E-3</v>
      </c>
      <c r="I18" s="25">
        <f t="shared" si="1"/>
        <v>1525.9420289855072</v>
      </c>
    </row>
    <row r="19" spans="1:9">
      <c r="A19" s="444" t="s">
        <v>204</v>
      </c>
      <c r="B19" s="27">
        <v>0</v>
      </c>
      <c r="C19" s="28">
        <v>0</v>
      </c>
      <c r="D19" s="23">
        <f t="shared" si="0"/>
        <v>0</v>
      </c>
      <c r="E19" s="28">
        <v>0</v>
      </c>
      <c r="F19" s="24">
        <f t="shared" si="2"/>
        <v>0</v>
      </c>
      <c r="G19" s="28">
        <v>0</v>
      </c>
      <c r="H19" s="24">
        <f t="shared" si="3"/>
        <v>0</v>
      </c>
      <c r="I19" s="25">
        <f t="shared" si="1"/>
        <v>0</v>
      </c>
    </row>
    <row r="20" spans="1:9">
      <c r="A20" s="445" t="s">
        <v>205</v>
      </c>
      <c r="B20" s="27">
        <f>VLOOKUP(A20,[7]進出口值表查詢結果!$A$3:$C$14,3,0)</f>
        <v>1</v>
      </c>
      <c r="C20" s="28">
        <f>VLOOKUP(A20,[7]進出口值表查詢結果!$A$3:$C$14,2,0)</f>
        <v>3163</v>
      </c>
      <c r="D20" s="23">
        <f t="shared" si="0"/>
        <v>3163</v>
      </c>
      <c r="E20" s="28">
        <f>VLOOKUP(A20,[8]進出口值表查詢結果!$A$2:$C$22,3,0)</f>
        <v>1</v>
      </c>
      <c r="F20" s="24">
        <f t="shared" si="2"/>
        <v>8.6251509401414532E-6</v>
      </c>
      <c r="G20" s="28">
        <f>VLOOKUP(A20,[8]進出口值表查詢結果!$A$2:$C$22,2,0)</f>
        <v>3163</v>
      </c>
      <c r="H20" s="24">
        <f t="shared" si="3"/>
        <v>1.8825582436915998E-4</v>
      </c>
      <c r="I20" s="25">
        <f t="shared" si="1"/>
        <v>3163</v>
      </c>
    </row>
    <row r="21" spans="1:9">
      <c r="A21" s="444" t="s">
        <v>206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4">
        <f t="shared" si="2"/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45" t="s">
        <v>14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4">
        <f t="shared" si="2"/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45" t="s">
        <v>15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4">
        <f t="shared" si="2"/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45" t="s">
        <v>16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f t="shared" si="2"/>
        <v>0</v>
      </c>
      <c r="G24" s="28">
        <v>0</v>
      </c>
      <c r="H24" s="24">
        <f t="shared" si="3"/>
        <v>0</v>
      </c>
      <c r="I24" s="25">
        <f t="shared" si="1"/>
        <v>0</v>
      </c>
    </row>
    <row r="25" spans="1:9">
      <c r="A25" s="444" t="s">
        <v>207</v>
      </c>
      <c r="B25" s="27">
        <v>0</v>
      </c>
      <c r="C25" s="28">
        <v>0</v>
      </c>
      <c r="D25" s="23">
        <f t="shared" si="0"/>
        <v>0</v>
      </c>
      <c r="E25" s="28">
        <v>0</v>
      </c>
      <c r="F25" s="24">
        <f t="shared" si="2"/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44" t="s">
        <v>208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4">
        <f t="shared" si="2"/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46" t="s">
        <v>209</v>
      </c>
      <c r="B27" s="27">
        <v>0</v>
      </c>
      <c r="C27" s="28">
        <v>0</v>
      </c>
      <c r="D27" s="23">
        <f t="shared" si="0"/>
        <v>0</v>
      </c>
      <c r="E27" s="28">
        <v>0</v>
      </c>
      <c r="F27" s="24">
        <f t="shared" si="2"/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46" t="s">
        <v>210</v>
      </c>
      <c r="B28" s="27">
        <f>VLOOKUP(A28,[7]進出口值表查詢結果!$A$3:$C$14,3,0)</f>
        <v>3</v>
      </c>
      <c r="C28" s="28">
        <f>VLOOKUP(A28,[7]進出口值表查詢結果!$A$3:$C$14,2,0)</f>
        <v>2615</v>
      </c>
      <c r="D28" s="23">
        <f t="shared" si="0"/>
        <v>871.66666666666663</v>
      </c>
      <c r="E28" s="28">
        <f>VLOOKUP(A28,[8]進出口值表查詢結果!$A$2:$C$22,3,0)</f>
        <v>3</v>
      </c>
      <c r="F28" s="24">
        <f t="shared" si="2"/>
        <v>2.5875452820424358E-5</v>
      </c>
      <c r="G28" s="28">
        <f>VLOOKUP(A28,[8]進出口值表查詢結果!$A$2:$C$22,2,0)</f>
        <v>2615</v>
      </c>
      <c r="H28" s="24">
        <f t="shared" si="3"/>
        <v>1.5563989273643797E-4</v>
      </c>
      <c r="I28" s="25">
        <f t="shared" si="1"/>
        <v>871.66666666666663</v>
      </c>
    </row>
    <row r="29" spans="1:9">
      <c r="A29" s="445" t="s">
        <v>211</v>
      </c>
      <c r="B29" s="27">
        <v>0</v>
      </c>
      <c r="C29" s="28">
        <v>0</v>
      </c>
      <c r="D29" s="23">
        <f t="shared" si="0"/>
        <v>0</v>
      </c>
      <c r="E29" s="28">
        <v>0</v>
      </c>
      <c r="F29" s="24">
        <f t="shared" si="2"/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45" t="s">
        <v>212</v>
      </c>
      <c r="B30" s="27">
        <v>0</v>
      </c>
      <c r="C30" s="28">
        <v>0</v>
      </c>
      <c r="D30" s="23">
        <f t="shared" si="0"/>
        <v>0</v>
      </c>
      <c r="E30" s="28">
        <v>0</v>
      </c>
      <c r="F30" s="532">
        <f t="shared" si="2"/>
        <v>0</v>
      </c>
      <c r="G30" s="28">
        <v>0</v>
      </c>
      <c r="H30" s="532">
        <f t="shared" si="3"/>
        <v>0</v>
      </c>
      <c r="I30" s="533">
        <f t="shared" si="1"/>
        <v>0</v>
      </c>
    </row>
    <row r="31" spans="1:9">
      <c r="A31" s="445" t="s">
        <v>17</v>
      </c>
      <c r="B31" s="27">
        <v>0</v>
      </c>
      <c r="C31" s="28">
        <v>0</v>
      </c>
      <c r="D31" s="23">
        <f t="shared" si="0"/>
        <v>0</v>
      </c>
      <c r="E31" s="28">
        <v>0</v>
      </c>
      <c r="F31" s="532">
        <f t="shared" si="2"/>
        <v>0</v>
      </c>
      <c r="G31" s="28">
        <v>0</v>
      </c>
      <c r="H31" s="532">
        <f t="shared" si="3"/>
        <v>0</v>
      </c>
      <c r="I31" s="533">
        <f t="shared" si="1"/>
        <v>0</v>
      </c>
    </row>
    <row r="32" spans="1:9">
      <c r="A32" s="445" t="s">
        <v>18</v>
      </c>
      <c r="B32" s="27">
        <v>0</v>
      </c>
      <c r="C32" s="28">
        <v>0</v>
      </c>
      <c r="D32" s="23">
        <f t="shared" si="0"/>
        <v>0</v>
      </c>
      <c r="E32" s="28">
        <f>VLOOKUP(A32,[8]進出口值表查詢結果!$A$2:$C$22,3,0)</f>
        <v>2</v>
      </c>
      <c r="F32" s="532">
        <f t="shared" si="2"/>
        <v>1.7250301880282906E-5</v>
      </c>
      <c r="G32" s="28">
        <f>VLOOKUP(A32,[8]進出口值表查詢結果!$A$2:$C$22,2,0)</f>
        <v>2647</v>
      </c>
      <c r="H32" s="532">
        <f t="shared" si="3"/>
        <v>1.5754447268579401E-4</v>
      </c>
      <c r="I32" s="533">
        <f t="shared" si="1"/>
        <v>1323.5</v>
      </c>
    </row>
    <row r="33" spans="1:9">
      <c r="A33" s="445" t="s">
        <v>213</v>
      </c>
      <c r="B33" s="27">
        <v>0</v>
      </c>
      <c r="C33" s="28">
        <v>0</v>
      </c>
      <c r="D33" s="23">
        <f t="shared" si="0"/>
        <v>0</v>
      </c>
      <c r="E33" s="28">
        <v>0</v>
      </c>
      <c r="F33" s="532">
        <f t="shared" si="2"/>
        <v>0</v>
      </c>
      <c r="G33" s="28">
        <v>0</v>
      </c>
      <c r="H33" s="532">
        <f t="shared" si="3"/>
        <v>0</v>
      </c>
      <c r="I33" s="533">
        <f t="shared" si="1"/>
        <v>0</v>
      </c>
    </row>
    <row r="34" spans="1:9">
      <c r="A34" s="445" t="s">
        <v>214</v>
      </c>
      <c r="B34" s="27">
        <v>0</v>
      </c>
      <c r="C34" s="28">
        <v>0</v>
      </c>
      <c r="D34" s="23">
        <f t="shared" si="0"/>
        <v>0</v>
      </c>
      <c r="E34" s="28">
        <v>0</v>
      </c>
      <c r="F34" s="532">
        <f t="shared" si="2"/>
        <v>0</v>
      </c>
      <c r="G34" s="28">
        <v>0</v>
      </c>
      <c r="H34" s="532">
        <f t="shared" si="3"/>
        <v>0</v>
      </c>
      <c r="I34" s="533">
        <f t="shared" si="1"/>
        <v>0</v>
      </c>
    </row>
    <row r="35" spans="1:9">
      <c r="A35" s="445" t="s">
        <v>215</v>
      </c>
      <c r="B35" s="27">
        <v>0</v>
      </c>
      <c r="C35" s="28">
        <v>0</v>
      </c>
      <c r="D35" s="23">
        <f t="shared" si="0"/>
        <v>0</v>
      </c>
      <c r="E35" s="28">
        <v>0</v>
      </c>
      <c r="F35" s="532">
        <f t="shared" si="2"/>
        <v>0</v>
      </c>
      <c r="G35" s="28">
        <v>0</v>
      </c>
      <c r="H35" s="532">
        <f t="shared" si="3"/>
        <v>0</v>
      </c>
      <c r="I35" s="533">
        <f t="shared" si="1"/>
        <v>0</v>
      </c>
    </row>
    <row r="36" spans="1:9">
      <c r="A36" s="445" t="s">
        <v>216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4">
        <f t="shared" si="2"/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45" t="s">
        <v>217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4">
        <f t="shared" si="2"/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45" t="s">
        <v>218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4">
        <f t="shared" si="2"/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45" t="s">
        <v>19</v>
      </c>
      <c r="B39" s="27">
        <v>0</v>
      </c>
      <c r="C39" s="28">
        <v>0</v>
      </c>
      <c r="D39" s="23">
        <f t="shared" si="0"/>
        <v>0</v>
      </c>
      <c r="E39" s="28">
        <v>0</v>
      </c>
      <c r="F39" s="24">
        <f t="shared" si="2"/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1</v>
      </c>
      <c r="F41" s="24">
        <f>E41/$E$66</f>
        <v>8.6251509401414532E-6</v>
      </c>
      <c r="G41" s="28">
        <f>SUM(G42:G45)</f>
        <v>260</v>
      </c>
      <c r="H41" s="24">
        <f>G41/$G$66</f>
        <v>1.5474712088517734E-5</v>
      </c>
      <c r="I41" s="25">
        <f t="shared" si="1"/>
        <v>260</v>
      </c>
    </row>
    <row r="42" spans="1:9">
      <c r="A42" s="26" t="s">
        <v>219</v>
      </c>
      <c r="B42" s="27">
        <v>0</v>
      </c>
      <c r="C42" s="28">
        <v>0</v>
      </c>
      <c r="D42" s="23">
        <f t="shared" si="0"/>
        <v>0</v>
      </c>
      <c r="E42" s="28">
        <f>VLOOKUP(A42,[8]進出口值表查詢結果!$A$2:$C$22,3,0)</f>
        <v>1</v>
      </c>
      <c r="F42" s="24">
        <f>E42/$E$66</f>
        <v>8.6251509401414532E-6</v>
      </c>
      <c r="G42" s="28">
        <f>VLOOKUP(A42,[8]進出口值表查詢結果!$A$2:$C$22,2,0)</f>
        <v>260</v>
      </c>
      <c r="H42" s="24">
        <f>G42/$G$66</f>
        <v>1.5474712088517734E-5</v>
      </c>
      <c r="I42" s="25">
        <f t="shared" si="1"/>
        <v>260</v>
      </c>
    </row>
    <row r="43" spans="1:9">
      <c r="A43" s="26" t="s">
        <v>220</v>
      </c>
      <c r="B43" s="27">
        <v>0</v>
      </c>
      <c r="C43" s="28">
        <v>0</v>
      </c>
      <c r="D43" s="23">
        <f t="shared" si="0"/>
        <v>0</v>
      </c>
      <c r="E43" s="28">
        <v>0</v>
      </c>
      <c r="F43" s="24">
        <f>E43/$E$66</f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221</v>
      </c>
      <c r="B44" s="27">
        <v>0</v>
      </c>
      <c r="C44" s="28">
        <v>0</v>
      </c>
      <c r="D44" s="23">
        <f t="shared" si="0"/>
        <v>0</v>
      </c>
      <c r="E44" s="28">
        <v>0</v>
      </c>
      <c r="F44" s="24">
        <f>E44/$E$66</f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4">
        <f>E45/$E$66</f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8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17327</v>
      </c>
      <c r="C47" s="33">
        <f>SUM(C48:C64)</f>
        <v>2084899</v>
      </c>
      <c r="D47" s="23">
        <f t="shared" si="0"/>
        <v>120.32660010388412</v>
      </c>
      <c r="E47" s="33">
        <f>SUM(E48:E64)</f>
        <v>115065</v>
      </c>
      <c r="F47" s="24">
        <f>E47/$E$66</f>
        <v>0.99245299292737621</v>
      </c>
      <c r="G47" s="33">
        <f>SUM(G48:G64)</f>
        <v>15067248</v>
      </c>
      <c r="H47" s="24">
        <f t="shared" ref="H47:H66" si="4">G47/$G$66</f>
        <v>0.89677432602421014</v>
      </c>
      <c r="I47" s="25">
        <f t="shared" si="1"/>
        <v>130.94553513231651</v>
      </c>
    </row>
    <row r="48" spans="1:9" ht="16.899999999999999" customHeight="1">
      <c r="A48" s="476" t="s">
        <v>162</v>
      </c>
      <c r="B48" s="27">
        <f>VLOOKUP(A48,[7]進出口值表查詢結果!$A$3:$C$14,3,0)</f>
        <v>106</v>
      </c>
      <c r="C48" s="28">
        <f>VLOOKUP(A48,[7]進出口值表查詢結果!$A$3:$C$14,2,0)</f>
        <v>127566</v>
      </c>
      <c r="D48" s="23">
        <f t="shared" si="0"/>
        <v>1203.4528301886792</v>
      </c>
      <c r="E48" s="28">
        <f>VLOOKUP(A48,[8]進出口值表查詢結果!$A$2:$C$22,3,0)</f>
        <v>624</v>
      </c>
      <c r="F48" s="24">
        <f>E48/$E$66</f>
        <v>5.3820941866482667E-3</v>
      </c>
      <c r="G48" s="28">
        <f>VLOOKUP(A48,[8]進出口值表查詢結果!$A$2:$C$22,2,0)</f>
        <v>772784</v>
      </c>
      <c r="H48" s="24">
        <f t="shared" si="4"/>
        <v>4.5994653486973416E-2</v>
      </c>
      <c r="I48" s="25">
        <f t="shared" si="1"/>
        <v>1238.4358974358975</v>
      </c>
    </row>
    <row r="49" spans="1:9">
      <c r="A49" s="26" t="s">
        <v>222</v>
      </c>
      <c r="B49" s="27">
        <f>VLOOKUP(A49,[7]進出口值表查詢結果!$A$3:$C$14,3,0)</f>
        <v>22</v>
      </c>
      <c r="C49" s="28">
        <f>VLOOKUP(A49,[7]進出口值表查詢結果!$A$3:$C$14,2,0)</f>
        <v>4284</v>
      </c>
      <c r="D49" s="23">
        <f t="shared" si="0"/>
        <v>194.72727272727272</v>
      </c>
      <c r="E49" s="28">
        <f>VLOOKUP(A49,[8]進出口值表查詢結果!$A$2:$C$22,3,0)</f>
        <v>105</v>
      </c>
      <c r="F49" s="24">
        <f t="shared" ref="F49:F66" si="5">E49/$E$66</f>
        <v>9.056408487148525E-4</v>
      </c>
      <c r="G49" s="28">
        <f>VLOOKUP(A49,[8]進出口值表查詢結果!$A$2:$C$22,2,0)</f>
        <v>23657</v>
      </c>
      <c r="H49" s="24">
        <f t="shared" si="4"/>
        <v>1.4080202456848616E-3</v>
      </c>
      <c r="I49" s="25">
        <f t="shared" si="1"/>
        <v>225.3047619047619</v>
      </c>
    </row>
    <row r="50" spans="1:9">
      <c r="A50" s="457" t="s">
        <v>223</v>
      </c>
      <c r="B50" s="27">
        <v>0</v>
      </c>
      <c r="C50" s="28">
        <v>0</v>
      </c>
      <c r="D50" s="23">
        <f t="shared" si="0"/>
        <v>0</v>
      </c>
      <c r="E50" s="28">
        <v>0</v>
      </c>
      <c r="F50" s="24">
        <f t="shared" si="5"/>
        <v>0</v>
      </c>
      <c r="G50" s="28"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224</v>
      </c>
      <c r="B51" s="27">
        <v>0</v>
      </c>
      <c r="C51" s="28">
        <v>0</v>
      </c>
      <c r="D51" s="23">
        <f t="shared" si="0"/>
        <v>0</v>
      </c>
      <c r="E51" s="28">
        <v>0</v>
      </c>
      <c r="F51" s="24">
        <f t="shared" si="5"/>
        <v>0</v>
      </c>
      <c r="G51" s="28"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v>0</v>
      </c>
      <c r="C52" s="28">
        <v>0</v>
      </c>
      <c r="D52" s="23">
        <f t="shared" si="0"/>
        <v>0</v>
      </c>
      <c r="E52" s="28">
        <v>0</v>
      </c>
      <c r="F52" s="24">
        <f t="shared" si="5"/>
        <v>0</v>
      </c>
      <c r="G52" s="28"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225</v>
      </c>
      <c r="B53" s="27">
        <v>0</v>
      </c>
      <c r="C53" s="28">
        <v>0</v>
      </c>
      <c r="D53" s="23">
        <f t="shared" si="0"/>
        <v>0</v>
      </c>
      <c r="E53" s="28">
        <v>0</v>
      </c>
      <c r="F53" s="24">
        <f t="shared" si="5"/>
        <v>0</v>
      </c>
      <c r="G53" s="28"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111</v>
      </c>
      <c r="B54" s="27">
        <v>0</v>
      </c>
      <c r="C54" s="28">
        <v>0</v>
      </c>
      <c r="D54" s="23">
        <f t="shared" si="0"/>
        <v>0</v>
      </c>
      <c r="E54" s="28">
        <f>VLOOKUP(A54,[8]進出口值表查詢結果!$A$2:$C$22,3,0)</f>
        <v>1</v>
      </c>
      <c r="F54" s="24">
        <f t="shared" si="5"/>
        <v>8.6251509401414532E-6</v>
      </c>
      <c r="G54" s="28">
        <f>VLOOKUP(A54,[8]進出口值表查詢結果!$A$2:$C$22,2,0)</f>
        <v>3105</v>
      </c>
      <c r="H54" s="24">
        <f t="shared" si="4"/>
        <v>1.8480377321095217E-4</v>
      </c>
      <c r="I54" s="25">
        <f t="shared" si="1"/>
        <v>3105</v>
      </c>
    </row>
    <row r="55" spans="1:9">
      <c r="A55" s="30" t="s">
        <v>24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4">
        <f t="shared" si="5"/>
        <v>0</v>
      </c>
      <c r="G55" s="28">
        <v>0</v>
      </c>
      <c r="H55" s="24">
        <f t="shared" si="4"/>
        <v>0</v>
      </c>
      <c r="I55" s="25">
        <f t="shared" si="1"/>
        <v>0</v>
      </c>
    </row>
    <row r="56" spans="1:9">
      <c r="A56" s="292" t="s">
        <v>229</v>
      </c>
      <c r="B56" s="27">
        <v>0</v>
      </c>
      <c r="C56" s="28">
        <v>0</v>
      </c>
      <c r="D56" s="23">
        <f t="shared" si="0"/>
        <v>0</v>
      </c>
      <c r="E56" s="28">
        <f>VLOOKUP(A56,[8]進出口值表查詢結果!$A$2:$C$22,3,0)</f>
        <v>313</v>
      </c>
      <c r="F56" s="24">
        <f t="shared" si="5"/>
        <v>2.6996722442642748E-3</v>
      </c>
      <c r="G56" s="28">
        <f>VLOOKUP(A56,[8]進出口值表查詢結果!$A$2:$C$22,2,0)</f>
        <v>86137</v>
      </c>
      <c r="H56" s="24">
        <f t="shared" si="4"/>
        <v>5.1267125968025079E-3</v>
      </c>
      <c r="I56" s="25">
        <f t="shared" si="1"/>
        <v>275.19808306709263</v>
      </c>
    </row>
    <row r="57" spans="1:9">
      <c r="A57" s="37" t="s">
        <v>455</v>
      </c>
      <c r="B57" s="27">
        <v>0</v>
      </c>
      <c r="C57" s="28">
        <v>0</v>
      </c>
      <c r="D57" s="23">
        <f t="shared" si="0"/>
        <v>0</v>
      </c>
      <c r="E57" s="28">
        <v>0</v>
      </c>
      <c r="F57" s="24">
        <f t="shared" si="5"/>
        <v>0</v>
      </c>
      <c r="G57" s="28">
        <v>0</v>
      </c>
      <c r="H57" s="24">
        <f t="shared" si="4"/>
        <v>0</v>
      </c>
      <c r="I57" s="25">
        <f t="shared" si="1"/>
        <v>0</v>
      </c>
    </row>
    <row r="58" spans="1:9">
      <c r="A58" s="37" t="s">
        <v>388</v>
      </c>
      <c r="B58" s="27">
        <f>VLOOKUP(A58,[7]進出口值表查詢結果!$A$3:$C$14,3,0)</f>
        <v>589</v>
      </c>
      <c r="C58" s="28">
        <f>VLOOKUP(A58,[7]進出口值表查詢結果!$A$3:$C$14,2,0)</f>
        <v>465332</v>
      </c>
      <c r="D58" s="23">
        <f t="shared" si="0"/>
        <v>790.03735144312395</v>
      </c>
      <c r="E58" s="28">
        <f>VLOOKUP(A58,[8]進出口值表查詢結果!$A$2:$C$22,3,0)</f>
        <v>2873</v>
      </c>
      <c r="F58" s="24">
        <f t="shared" si="5"/>
        <v>2.4780058651026393E-2</v>
      </c>
      <c r="G58" s="28">
        <f>VLOOKUP(A58,[8]進出口值表查詢結果!$A$2:$C$22,2,0)</f>
        <v>2243055</v>
      </c>
      <c r="H58" s="24">
        <f t="shared" si="4"/>
        <v>0.1335024243219621</v>
      </c>
      <c r="I58" s="25">
        <f t="shared" si="1"/>
        <v>780.73616428820048</v>
      </c>
    </row>
    <row r="59" spans="1:9">
      <c r="A59" s="37" t="s">
        <v>112</v>
      </c>
      <c r="B59" s="27">
        <v>0</v>
      </c>
      <c r="C59" s="28">
        <v>0</v>
      </c>
      <c r="D59" s="23">
        <f t="shared" si="0"/>
        <v>0</v>
      </c>
      <c r="E59" s="28">
        <f>VLOOKUP(A59,[8]進出口值表查詢結果!$A$2:$C$22,3,0)</f>
        <v>1430</v>
      </c>
      <c r="F59" s="24">
        <f t="shared" si="5"/>
        <v>1.2333965844402278E-2</v>
      </c>
      <c r="G59" s="28">
        <f>VLOOKUP(A59,[8]進出口值表查詢結果!$A$2:$C$22,2,0)</f>
        <v>1222019</v>
      </c>
      <c r="H59" s="24">
        <f t="shared" si="4"/>
        <v>7.2732277660378278E-2</v>
      </c>
      <c r="I59" s="25">
        <f t="shared" si="1"/>
        <v>854.55874125874129</v>
      </c>
    </row>
    <row r="60" spans="1:9">
      <c r="A60" s="37" t="s">
        <v>113</v>
      </c>
      <c r="B60" s="27">
        <v>0</v>
      </c>
      <c r="C60" s="28">
        <v>0</v>
      </c>
      <c r="D60" s="23">
        <f t="shared" si="0"/>
        <v>0</v>
      </c>
      <c r="E60" s="28">
        <v>0</v>
      </c>
      <c r="F60" s="24">
        <f t="shared" si="5"/>
        <v>0</v>
      </c>
      <c r="G60" s="28">
        <v>0</v>
      </c>
      <c r="H60" s="24">
        <f t="shared" si="4"/>
        <v>0</v>
      </c>
      <c r="I60" s="25">
        <f t="shared" si="1"/>
        <v>0</v>
      </c>
    </row>
    <row r="61" spans="1:9">
      <c r="A61" s="37" t="s">
        <v>114</v>
      </c>
      <c r="B61" s="27">
        <f>VLOOKUP(A61,[7]進出口值表查詢結果!$A$3:$C$14,3,0)</f>
        <v>16610</v>
      </c>
      <c r="C61" s="28">
        <f>VLOOKUP(A61,[7]進出口值表查詢結果!$A$3:$C$14,2,0)</f>
        <v>1487717</v>
      </c>
      <c r="D61" s="23">
        <f t="shared" si="0"/>
        <v>89.567549668874179</v>
      </c>
      <c r="E61" s="28">
        <f>VLOOKUP(A61,[8]進出口值表查詢結果!$A$2:$C$22,3,0)</f>
        <v>109719</v>
      </c>
      <c r="F61" s="24">
        <f t="shared" si="5"/>
        <v>0.94634293600137998</v>
      </c>
      <c r="G61" s="28">
        <f>VLOOKUP(A61,[8]進出口值表查詢結果!$A$2:$C$22,2,0)</f>
        <v>10716491</v>
      </c>
      <c r="H61" s="24">
        <f t="shared" si="4"/>
        <v>0.63782543393919811</v>
      </c>
      <c r="I61" s="25">
        <f t="shared" si="1"/>
        <v>97.672153410074827</v>
      </c>
    </row>
    <row r="62" spans="1:9">
      <c r="A62" s="37" t="s">
        <v>389</v>
      </c>
      <c r="B62" s="27">
        <v>0</v>
      </c>
      <c r="C62" s="28">
        <v>0</v>
      </c>
      <c r="D62" s="23">
        <f t="shared" si="0"/>
        <v>0</v>
      </c>
      <c r="E62" s="28">
        <v>0</v>
      </c>
      <c r="F62" s="24">
        <f t="shared" si="5"/>
        <v>0</v>
      </c>
      <c r="G62" s="28"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390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4">
        <f t="shared" si="5"/>
        <v>0</v>
      </c>
      <c r="G63" s="28"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391</v>
      </c>
      <c r="B64" s="27">
        <v>0</v>
      </c>
      <c r="C64" s="28">
        <v>0</v>
      </c>
      <c r="D64" s="23">
        <f t="shared" si="0"/>
        <v>0</v>
      </c>
      <c r="E64" s="28">
        <v>0</v>
      </c>
      <c r="F64" s="532">
        <f t="shared" si="5"/>
        <v>0</v>
      </c>
      <c r="G64" s="28">
        <v>0</v>
      </c>
      <c r="H64" s="532">
        <f t="shared" si="4"/>
        <v>0</v>
      </c>
      <c r="I64" s="533">
        <f t="shared" si="1"/>
        <v>0</v>
      </c>
    </row>
    <row r="65" spans="1:9">
      <c r="A65" s="30" t="s">
        <v>30</v>
      </c>
      <c r="B65" s="27">
        <f>B66-B47-B41-B12-B7</f>
        <v>336</v>
      </c>
      <c r="C65" s="27">
        <f>C66-C47-C41-C12-C7</f>
        <v>618852</v>
      </c>
      <c r="D65" s="526">
        <f t="shared" si="0"/>
        <v>1841.8214285714287</v>
      </c>
      <c r="E65" s="27">
        <f>E66-E47-E41-E12-E7</f>
        <v>553</v>
      </c>
      <c r="F65" s="534">
        <f t="shared" si="5"/>
        <v>4.7697084698982229E-3</v>
      </c>
      <c r="G65" s="27">
        <f>G66-G47-G41-G12-G7</f>
        <v>861800</v>
      </c>
      <c r="H65" s="534">
        <f t="shared" si="4"/>
        <v>5.129271876109455E-2</v>
      </c>
      <c r="I65" s="507">
        <f t="shared" si="1"/>
        <v>1558.4086799276672</v>
      </c>
    </row>
    <row r="66" spans="1:9">
      <c r="A66" s="32" t="s">
        <v>400</v>
      </c>
      <c r="B66" s="27">
        <f>VLOOKUP(A66,[7]進出口值表查詢結果!$A$3:$C$14,3,0)</f>
        <v>17697</v>
      </c>
      <c r="C66" s="28">
        <f>VLOOKUP(A66,[7]進出口值表查詢結果!$A$3:$C$14,2,0)</f>
        <v>2838026</v>
      </c>
      <c r="D66" s="526">
        <f t="shared" si="0"/>
        <v>160.36763293213539</v>
      </c>
      <c r="E66" s="28">
        <f>VLOOKUP(A66,[8]進出口值表查詢結果!$A$2:$C$22,3,0)</f>
        <v>115940</v>
      </c>
      <c r="F66" s="534">
        <f t="shared" si="5"/>
        <v>1</v>
      </c>
      <c r="G66" s="28">
        <f>VLOOKUP(A66,[8]進出口值表查詢結果!$A$2:$C$22,2,0)</f>
        <v>16801605</v>
      </c>
      <c r="H66" s="534">
        <f t="shared" si="4"/>
        <v>1</v>
      </c>
      <c r="I66" s="507">
        <f t="shared" si="1"/>
        <v>144.91637916163532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153</v>
      </c>
      <c r="B68" s="102"/>
      <c r="C68" s="102"/>
      <c r="D68" s="173"/>
      <c r="E68" s="102"/>
      <c r="F68" s="174"/>
      <c r="G68" s="102"/>
      <c r="H68" s="175"/>
      <c r="I68" s="176"/>
    </row>
    <row r="69" spans="1:9">
      <c r="A69" s="8" t="s">
        <v>495</v>
      </c>
      <c r="B69" s="8" t="s">
        <v>485</v>
      </c>
      <c r="C69" s="8" t="s">
        <v>489</v>
      </c>
      <c r="D69" s="9" t="s">
        <v>1</v>
      </c>
      <c r="E69" s="10" t="s">
        <v>487</v>
      </c>
      <c r="F69" s="11" t="s">
        <v>2</v>
      </c>
      <c r="G69" s="73" t="s">
        <v>488</v>
      </c>
      <c r="H69" s="45" t="s">
        <v>2</v>
      </c>
      <c r="I69" s="497" t="s">
        <v>115</v>
      </c>
    </row>
    <row r="70" spans="1:9">
      <c r="A70" s="46"/>
      <c r="B70" s="47" t="s">
        <v>3</v>
      </c>
      <c r="C70" s="48" t="s">
        <v>4</v>
      </c>
      <c r="D70" s="43" t="s">
        <v>4</v>
      </c>
      <c r="E70" s="47" t="s">
        <v>3</v>
      </c>
      <c r="F70" s="44"/>
      <c r="G70" s="50" t="s">
        <v>4</v>
      </c>
      <c r="H70" s="51"/>
      <c r="I70" s="43" t="s">
        <v>4</v>
      </c>
    </row>
    <row r="71" spans="1:9">
      <c r="A71" s="32" t="s">
        <v>31</v>
      </c>
      <c r="B71" s="27">
        <v>29</v>
      </c>
      <c r="C71" s="27">
        <v>22434</v>
      </c>
      <c r="D71" s="526">
        <f t="shared" ref="D71" si="6">IF(B71,C71/B71,0)</f>
        <v>773.58620689655174</v>
      </c>
      <c r="E71" s="28">
        <v>928</v>
      </c>
      <c r="F71" s="508">
        <v>1</v>
      </c>
      <c r="G71" s="27">
        <v>266031</v>
      </c>
      <c r="H71" s="53">
        <v>1</v>
      </c>
      <c r="I71" s="52">
        <f t="shared" ref="I71" si="7">IF(E71,G71/E71,0)</f>
        <v>286.67133620689657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57</v>
      </c>
      <c r="B73" s="13"/>
      <c r="C73" s="168"/>
      <c r="D73" s="177"/>
      <c r="E73" s="13"/>
      <c r="F73" s="168"/>
      <c r="G73" s="169"/>
      <c r="H73" s="13"/>
      <c r="I73" s="178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7.5" style="5" customWidth="1"/>
    <col min="4" max="4" width="13.875" style="5" customWidth="1"/>
    <col min="5" max="5" width="15.25" style="5" customWidth="1"/>
    <col min="6" max="6" width="10.25" style="5" customWidth="1"/>
    <col min="7" max="7" width="18.25" style="5" customWidth="1"/>
    <col min="8" max="8" width="10.375" style="5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496</v>
      </c>
      <c r="B1" s="1"/>
      <c r="C1" s="1"/>
      <c r="D1" s="1"/>
      <c r="E1" s="2"/>
      <c r="F1" s="2"/>
      <c r="G1" s="2"/>
      <c r="H1" s="2"/>
      <c r="I1" s="2"/>
    </row>
    <row r="2" spans="1:9" ht="16.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6" customFormat="1" ht="17.25">
      <c r="A3" s="212" t="s">
        <v>157</v>
      </c>
      <c r="B3" s="213"/>
      <c r="C3" s="213"/>
      <c r="D3" s="213"/>
      <c r="E3" s="214"/>
      <c r="F3" s="214"/>
      <c r="G3" s="214"/>
      <c r="H3" s="214"/>
      <c r="I3" s="215"/>
    </row>
    <row r="4" spans="1:9" s="216" customFormat="1" ht="17.25">
      <c r="A4" s="217" t="s">
        <v>479</v>
      </c>
      <c r="B4" s="218"/>
      <c r="C4" s="218"/>
      <c r="D4" s="218"/>
      <c r="E4" s="219"/>
      <c r="F4" s="219"/>
      <c r="G4" s="219"/>
      <c r="H4" s="219"/>
      <c r="I4" s="220"/>
    </row>
    <row r="5" spans="1:9" s="224" customFormat="1">
      <c r="A5" s="8" t="s">
        <v>484</v>
      </c>
      <c r="B5" s="8" t="s">
        <v>485</v>
      </c>
      <c r="C5" s="8" t="s">
        <v>489</v>
      </c>
      <c r="D5" s="9" t="s">
        <v>1</v>
      </c>
      <c r="E5" s="10" t="s">
        <v>487</v>
      </c>
      <c r="F5" s="11" t="s">
        <v>2</v>
      </c>
      <c r="G5" s="8" t="s">
        <v>488</v>
      </c>
      <c r="H5" s="223" t="s">
        <v>2</v>
      </c>
      <c r="I5" s="222" t="s">
        <v>1</v>
      </c>
    </row>
    <row r="6" spans="1:9" s="224" customFormat="1">
      <c r="A6" s="225"/>
      <c r="B6" s="226" t="s">
        <v>3</v>
      </c>
      <c r="C6" s="227" t="s">
        <v>4</v>
      </c>
      <c r="D6" s="225" t="s">
        <v>4</v>
      </c>
      <c r="E6" s="223" t="s">
        <v>3</v>
      </c>
      <c r="F6" s="223"/>
      <c r="G6" s="221" t="s">
        <v>4</v>
      </c>
      <c r="H6" s="221"/>
      <c r="I6" s="222" t="s">
        <v>4</v>
      </c>
    </row>
    <row r="7" spans="1:9" s="224" customFormat="1">
      <c r="A7" s="228" t="s">
        <v>5</v>
      </c>
      <c r="B7" s="229"/>
      <c r="C7" s="230"/>
      <c r="D7" s="228"/>
      <c r="E7" s="231"/>
      <c r="F7" s="232"/>
      <c r="G7" s="232"/>
      <c r="H7" s="232"/>
      <c r="I7" s="233"/>
    </row>
    <row r="8" spans="1:9" s="224" customFormat="1">
      <c r="A8" s="234" t="s">
        <v>6</v>
      </c>
      <c r="B8" s="235">
        <f>SUM(B9:B11)</f>
        <v>7919</v>
      </c>
      <c r="C8" s="236">
        <f>SUM(C9:C11)</f>
        <v>16069495</v>
      </c>
      <c r="D8" s="237">
        <f>IF(B8,C8/B8,0)</f>
        <v>2029.2328576840509</v>
      </c>
      <c r="E8" s="238">
        <f xml:space="preserve"> SUM(E9:E11)</f>
        <v>104393</v>
      </c>
      <c r="F8" s="239">
        <f>E8/E64</f>
        <v>0.20974874674757135</v>
      </c>
      <c r="G8" s="240">
        <f>SUM(G9:G11)</f>
        <v>220949775</v>
      </c>
      <c r="H8" s="239">
        <f>G8/G64</f>
        <v>0.26658728370170764</v>
      </c>
      <c r="I8" s="241">
        <f>IF(E8,G8/E8,0)</f>
        <v>2116.5190673704174</v>
      </c>
    </row>
    <row r="9" spans="1:9" s="224" customFormat="1">
      <c r="A9" s="242" t="s">
        <v>163</v>
      </c>
      <c r="B9" s="243">
        <f>VLOOKUP(A9,[9]進出口值表查詢結果!$A$3:$C$37,3,0)</f>
        <v>6983</v>
      </c>
      <c r="C9" s="243">
        <f>VLOOKUP(A9,[9]進出口值表查詢結果!$A$3:$C$37,2,0)</f>
        <v>14277048</v>
      </c>
      <c r="D9" s="237">
        <f t="shared" ref="D9:D63" si="0">IF(B9,C9/B9,0)</f>
        <v>2044.5436059000428</v>
      </c>
      <c r="E9" s="244">
        <f>VLOOKUP(A9,[10]進出口值表查詢結果!$A$2:$C$55,3,0)</f>
        <v>92888</v>
      </c>
      <c r="F9" s="239">
        <f>E9/E64</f>
        <v>0.18663264383520359</v>
      </c>
      <c r="G9" s="244">
        <f>VLOOKUP(A9,[10]進出口值表查詢結果!$A$2:$C$55,2,0)</f>
        <v>197472964</v>
      </c>
      <c r="H9" s="239">
        <f>G9/G64</f>
        <v>0.23826130204153909</v>
      </c>
      <c r="I9" s="241">
        <f t="shared" ref="I9:I64" si="1">IF(E9,G9/E9,0)</f>
        <v>2125.925458616829</v>
      </c>
    </row>
    <row r="10" spans="1:9" s="224" customFormat="1">
      <c r="A10" s="37" t="s">
        <v>7</v>
      </c>
      <c r="B10" s="243">
        <f>VLOOKUP(A10,[9]進出口值表查詢結果!$A$3:$C$37,3,0)</f>
        <v>905</v>
      </c>
      <c r="C10" s="243">
        <f>VLOOKUP(A10,[9]進出口值表查詢結果!$A$3:$C$37,2,0)</f>
        <v>1694481</v>
      </c>
      <c r="D10" s="237">
        <f t="shared" si="0"/>
        <v>1872.3546961325967</v>
      </c>
      <c r="E10" s="244">
        <f>VLOOKUP(A10,[10]進出口值表查詢結果!$A$2:$C$55,3,0)</f>
        <v>10722</v>
      </c>
      <c r="F10" s="239">
        <f>E10/E64</f>
        <v>2.1542881827588633E-2</v>
      </c>
      <c r="G10" s="244">
        <f>VLOOKUP(A10,[10]進出口值表查詢結果!$A$2:$C$55,2,0)</f>
        <v>21836381</v>
      </c>
      <c r="H10" s="239">
        <f>G10/G64</f>
        <v>2.6346718373737102E-2</v>
      </c>
      <c r="I10" s="241">
        <f t="shared" si="1"/>
        <v>2036.5958776347695</v>
      </c>
    </row>
    <row r="11" spans="1:9" s="224" customFormat="1">
      <c r="A11" s="37" t="s">
        <v>8</v>
      </c>
      <c r="B11" s="243">
        <f>VLOOKUP(A11,[9]進出口值表查詢結果!$A$3:$C$37,3,0)</f>
        <v>31</v>
      </c>
      <c r="C11" s="243">
        <f>VLOOKUP(A11,[9]進出口值表查詢結果!$A$3:$C$37,2,0)</f>
        <v>97966</v>
      </c>
      <c r="D11" s="237">
        <f t="shared" si="0"/>
        <v>3160.1935483870966</v>
      </c>
      <c r="E11" s="244">
        <f>VLOOKUP(A11,[10]進出口值表查詢結果!$A$2:$C$55,3,0)</f>
        <v>783</v>
      </c>
      <c r="F11" s="239">
        <f>E11/E64</f>
        <v>1.5732210847791363E-3</v>
      </c>
      <c r="G11" s="244">
        <f>VLOOKUP(A11,[10]進出口值表查詢結果!$A$2:$C$55,2,0)</f>
        <v>1640430</v>
      </c>
      <c r="H11" s="239">
        <f>G11/G64</f>
        <v>1.979263286431463E-3</v>
      </c>
      <c r="I11" s="241">
        <f t="shared" si="1"/>
        <v>2095.0574712643679</v>
      </c>
    </row>
    <row r="12" spans="1:9" s="224" customFormat="1">
      <c r="A12" s="37"/>
      <c r="B12" s="34"/>
      <c r="C12" s="34"/>
      <c r="D12" s="237"/>
      <c r="E12" s="245"/>
      <c r="F12" s="246"/>
      <c r="G12" s="245"/>
      <c r="H12" s="246"/>
      <c r="I12" s="241"/>
    </row>
    <row r="13" spans="1:9" s="224" customFormat="1">
      <c r="A13" s="247" t="s">
        <v>9</v>
      </c>
      <c r="B13" s="248">
        <f>SUM(B14:B39)</f>
        <v>34646</v>
      </c>
      <c r="C13" s="248">
        <f>SUM(C14:C39)</f>
        <v>55860453</v>
      </c>
      <c r="D13" s="237">
        <f t="shared" si="0"/>
        <v>1612.3204121687929</v>
      </c>
      <c r="E13" s="249">
        <f>SUM(E14:E39)</f>
        <v>316178</v>
      </c>
      <c r="F13" s="239">
        <f>E13/E64</f>
        <v>0.63527189801187456</v>
      </c>
      <c r="G13" s="240">
        <f>SUM(G14:G39)</f>
        <v>473054136</v>
      </c>
      <c r="H13" s="239">
        <f>G13/G64</f>
        <v>0.57076418004996021</v>
      </c>
      <c r="I13" s="241">
        <f t="shared" si="1"/>
        <v>1496.1639835788701</v>
      </c>
    </row>
    <row r="14" spans="1:9" s="224" customFormat="1">
      <c r="A14" s="242" t="s">
        <v>246</v>
      </c>
      <c r="B14" s="243">
        <f>VLOOKUP(A14,[9]進出口值表查詢結果!$A$3:$C$37,3,0)</f>
        <v>19585</v>
      </c>
      <c r="C14" s="243">
        <f>VLOOKUP(A14,[9]進出口值表查詢結果!$A$3:$C$37,2,0)</f>
        <v>34677532</v>
      </c>
      <c r="D14" s="237">
        <f t="shared" si="0"/>
        <v>1770.6169006893031</v>
      </c>
      <c r="E14" s="244">
        <f>VLOOKUP(A14,[10]進出口值表查詢結果!$A$2:$C$55,3,0)</f>
        <v>189109</v>
      </c>
      <c r="F14" s="239">
        <f>E14/E64</f>
        <v>0.37996202569795362</v>
      </c>
      <c r="G14" s="244">
        <f>VLOOKUP(A14,[10]進出口值表查詢結果!$A$2:$C$55,2,0)</f>
        <v>299644484</v>
      </c>
      <c r="H14" s="239">
        <f>G14/G64</f>
        <v>0.36153650333321136</v>
      </c>
      <c r="I14" s="241">
        <f t="shared" si="1"/>
        <v>1584.5067342114864</v>
      </c>
    </row>
    <row r="15" spans="1:9" s="224" customFormat="1">
      <c r="A15" s="242" t="s">
        <v>247</v>
      </c>
      <c r="B15" s="243">
        <f>VLOOKUP(A15,[9]進出口值表查詢結果!$A$3:$C$37,3,0)</f>
        <v>6998</v>
      </c>
      <c r="C15" s="243">
        <f>VLOOKUP(A15,[9]進出口值表查詢結果!$A$3:$C$37,2,0)</f>
        <v>6169107</v>
      </c>
      <c r="D15" s="237">
        <f t="shared" si="0"/>
        <v>881.55287224921403</v>
      </c>
      <c r="E15" s="244">
        <f>VLOOKUP(A15,[10]進出口值表查詢結果!$A$2:$C$55,3,0)</f>
        <v>51120</v>
      </c>
      <c r="F15" s="239">
        <f>E15/E64</f>
        <v>0.10271144553500568</v>
      </c>
      <c r="G15" s="244">
        <f>VLOOKUP(A15,[10]進出口值表查詢結果!$A$2:$C$55,2,0)</f>
        <v>49584056</v>
      </c>
      <c r="H15" s="239">
        <f>G15/G64</f>
        <v>5.9825717423578999E-2</v>
      </c>
      <c r="I15" s="241">
        <f t="shared" si="1"/>
        <v>969.95414710485136</v>
      </c>
    </row>
    <row r="16" spans="1:9" s="224" customFormat="1">
      <c r="A16" s="37" t="s">
        <v>10</v>
      </c>
      <c r="B16" s="243">
        <f>VLOOKUP(A16,[9]進出口值表查詢結果!$A$3:$C$37,3,0)</f>
        <v>1125</v>
      </c>
      <c r="C16" s="243">
        <f>VLOOKUP(A16,[9]進出口值表查詢結果!$A$3:$C$37,2,0)</f>
        <v>2372401</v>
      </c>
      <c r="D16" s="237">
        <f t="shared" si="0"/>
        <v>2108.8008888888889</v>
      </c>
      <c r="E16" s="244">
        <f>VLOOKUP(A16,[10]進出口值表查詢結果!$A$2:$C$55,3,0)</f>
        <v>6767</v>
      </c>
      <c r="F16" s="239">
        <f>E16/E64</f>
        <v>1.3596407510473071E-2</v>
      </c>
      <c r="G16" s="244">
        <f>VLOOKUP(A16,[10]進出口值表查詢結果!$A$2:$C$55,2,0)</f>
        <v>11578841</v>
      </c>
      <c r="H16" s="239">
        <f>G16/G64</f>
        <v>1.3970468042359239E-2</v>
      </c>
      <c r="I16" s="241">
        <f t="shared" si="1"/>
        <v>1711.0744790896999</v>
      </c>
    </row>
    <row r="17" spans="1:9" s="224" customFormat="1">
      <c r="A17" s="242" t="s">
        <v>248</v>
      </c>
      <c r="B17" s="243">
        <f>VLOOKUP(A17,[9]進出口值表查詢結果!$A$3:$C$37,3,0)</f>
        <v>680</v>
      </c>
      <c r="C17" s="243">
        <f>VLOOKUP(A17,[9]進出口值表查詢結果!$A$3:$C$37,2,0)</f>
        <v>855357</v>
      </c>
      <c r="D17" s="237">
        <f t="shared" si="0"/>
        <v>1257.8779411764706</v>
      </c>
      <c r="E17" s="244">
        <f>VLOOKUP(A17,[10]進出口值表查詢結果!$A$2:$C$55,3,0)</f>
        <v>15343</v>
      </c>
      <c r="F17" s="239">
        <f>E17/E64</f>
        <v>3.0827498216815182E-2</v>
      </c>
      <c r="G17" s="244">
        <f>VLOOKUP(A17,[10]進出口值表查詢結果!$A$2:$C$55,2,0)</f>
        <v>20197486</v>
      </c>
      <c r="H17" s="239">
        <f>G17/G64</f>
        <v>2.4369307143866828E-2</v>
      </c>
      <c r="I17" s="241">
        <f t="shared" si="1"/>
        <v>1316.3974450889657</v>
      </c>
    </row>
    <row r="18" spans="1:9" s="224" customFormat="1">
      <c r="A18" s="37" t="s">
        <v>11</v>
      </c>
      <c r="B18" s="243">
        <f>VLOOKUP(A18,[9]進出口值表查詢結果!$A$3:$C$37,3,0)</f>
        <v>464</v>
      </c>
      <c r="C18" s="243">
        <f>VLOOKUP(A18,[9]進出口值表查詢結果!$A$3:$C$37,2,0)</f>
        <v>1220691</v>
      </c>
      <c r="D18" s="237">
        <f t="shared" si="0"/>
        <v>2630.7995689655172</v>
      </c>
      <c r="E18" s="244">
        <f>VLOOKUP(A18,[10]進出口值表查詢結果!$A$2:$C$55,3,0)</f>
        <v>7224</v>
      </c>
      <c r="F18" s="239">
        <f>E18/E64</f>
        <v>1.4514622115510191E-2</v>
      </c>
      <c r="G18" s="244">
        <f>VLOOKUP(A18,[10]進出口值表查詢結果!$A$2:$C$55,2,0)</f>
        <v>16186985</v>
      </c>
      <c r="H18" s="239">
        <f>G18/G64</f>
        <v>1.9530431123861911E-2</v>
      </c>
      <c r="I18" s="241">
        <f t="shared" si="1"/>
        <v>2240.7232834994461</v>
      </c>
    </row>
    <row r="19" spans="1:9" s="224" customFormat="1">
      <c r="A19" s="37" t="s">
        <v>12</v>
      </c>
      <c r="B19" s="243">
        <f>VLOOKUP(A19,[9]進出口值表查詢結果!$A$3:$C$37,3,0)</f>
        <v>142</v>
      </c>
      <c r="C19" s="243">
        <f>VLOOKUP(A19,[9]進出口值表查詢結果!$A$3:$C$37,2,0)</f>
        <v>456714</v>
      </c>
      <c r="D19" s="237">
        <f t="shared" si="0"/>
        <v>3216.2957746478874</v>
      </c>
      <c r="E19" s="244">
        <f>VLOOKUP(A19,[10]進出口值表查詢結果!$A$2:$C$55,3,0)</f>
        <v>7376</v>
      </c>
      <c r="F19" s="239">
        <f>E19/E64</f>
        <v>1.4820023909745733E-2</v>
      </c>
      <c r="G19" s="244">
        <f>VLOOKUP(A19,[10]進出口值表查詢結果!$A$2:$C$55,2,0)</f>
        <v>13131667</v>
      </c>
      <c r="H19" s="239">
        <f>G19/G64</f>
        <v>1.5844032590688777E-2</v>
      </c>
      <c r="I19" s="241">
        <f t="shared" si="1"/>
        <v>1780.3236171366593</v>
      </c>
    </row>
    <row r="20" spans="1:9" s="224" customFormat="1">
      <c r="A20" s="242" t="s">
        <v>250</v>
      </c>
      <c r="B20" s="243">
        <f>VLOOKUP(A20,[9]進出口值表查詢結果!$A$3:$C$37,3,0)</f>
        <v>732</v>
      </c>
      <c r="C20" s="243">
        <f>VLOOKUP(A20,[9]進出口值表查詢結果!$A$3:$C$37,2,0)</f>
        <v>695255</v>
      </c>
      <c r="D20" s="237">
        <f t="shared" si="0"/>
        <v>949.80191256830597</v>
      </c>
      <c r="E20" s="244">
        <f>VLOOKUP(A20,[10]進出口值表查詢結果!$A$2:$C$55,3,0)</f>
        <v>7028</v>
      </c>
      <c r="F20" s="239">
        <f>E20/E64</f>
        <v>1.4120814538732783E-2</v>
      </c>
      <c r="G20" s="244">
        <f>VLOOKUP(A20,[10]進出口值表查詢結果!$A$2:$C$55,2,0)</f>
        <v>9827937</v>
      </c>
      <c r="H20" s="239">
        <f>G20/G64</f>
        <v>1.1857912184891383E-2</v>
      </c>
      <c r="I20" s="241">
        <f t="shared" si="1"/>
        <v>1398.3974103585658</v>
      </c>
    </row>
    <row r="21" spans="1:9" s="224" customFormat="1">
      <c r="A21" s="37" t="s">
        <v>13</v>
      </c>
      <c r="B21" s="243">
        <v>0</v>
      </c>
      <c r="C21" s="243">
        <v>0</v>
      </c>
      <c r="D21" s="237">
        <f t="shared" si="0"/>
        <v>0</v>
      </c>
      <c r="E21" s="244">
        <f>VLOOKUP(A21,[10]進出口值表查詢結果!$A$2:$C$55,3,0)</f>
        <v>57</v>
      </c>
      <c r="F21" s="239">
        <f>E21/E64</f>
        <v>1.1452567283832792E-4</v>
      </c>
      <c r="G21" s="244">
        <f>VLOOKUP(A21,[10]進出口值表查詢結果!$A$2:$C$55,2,0)</f>
        <v>122172</v>
      </c>
      <c r="H21" s="239">
        <f>G21/G64</f>
        <v>1.4740681054961486E-4</v>
      </c>
      <c r="I21" s="241">
        <f t="shared" si="1"/>
        <v>2143.3684210526317</v>
      </c>
    </row>
    <row r="22" spans="1:9" s="224" customFormat="1">
      <c r="A22" s="242" t="s">
        <v>251</v>
      </c>
      <c r="B22" s="243">
        <f>VLOOKUP(A22,[9]進出口值表查詢結果!$A$3:$C$37,3,0)</f>
        <v>3173</v>
      </c>
      <c r="C22" s="243">
        <f>VLOOKUP(A22,[9]進出口值表查詢結果!$A$3:$C$37,2,0)</f>
        <v>7471885</v>
      </c>
      <c r="D22" s="237">
        <f t="shared" si="0"/>
        <v>2354.8329656476521</v>
      </c>
      <c r="E22" s="244">
        <f>VLOOKUP(A22,[10]進出口值表查詢結果!$A$2:$C$55,3,0)</f>
        <v>14439</v>
      </c>
      <c r="F22" s="239">
        <f>E22/E64</f>
        <v>2.901116123004591E-2</v>
      </c>
      <c r="G22" s="244">
        <f>VLOOKUP(A22,[10]進出口值表查詢結果!$A$2:$C$55,2,0)</f>
        <v>35659901</v>
      </c>
      <c r="H22" s="239">
        <f>G22/G64</f>
        <v>4.3025507243271956E-2</v>
      </c>
      <c r="I22" s="241">
        <f t="shared" si="1"/>
        <v>2469.6932613061845</v>
      </c>
    </row>
    <row r="23" spans="1:9" s="224" customFormat="1">
      <c r="A23" s="37" t="s">
        <v>14</v>
      </c>
      <c r="B23" s="243">
        <v>0</v>
      </c>
      <c r="C23" s="243">
        <v>0</v>
      </c>
      <c r="D23" s="237">
        <f t="shared" si="0"/>
        <v>0</v>
      </c>
      <c r="E23" s="244">
        <v>0</v>
      </c>
      <c r="F23" s="239">
        <f>E23/E64</f>
        <v>0</v>
      </c>
      <c r="G23" s="244">
        <v>0</v>
      </c>
      <c r="H23" s="239">
        <f>G23/G64</f>
        <v>0</v>
      </c>
      <c r="I23" s="241">
        <f t="shared" si="1"/>
        <v>0</v>
      </c>
    </row>
    <row r="24" spans="1:9" s="224" customFormat="1">
      <c r="A24" s="37" t="s">
        <v>15</v>
      </c>
      <c r="B24" s="243">
        <v>0</v>
      </c>
      <c r="C24" s="243">
        <v>0</v>
      </c>
      <c r="D24" s="237">
        <f t="shared" si="0"/>
        <v>0</v>
      </c>
      <c r="E24" s="244">
        <v>0</v>
      </c>
      <c r="F24" s="239">
        <f>E24/E64</f>
        <v>0</v>
      </c>
      <c r="G24" s="244">
        <v>0</v>
      </c>
      <c r="H24" s="239">
        <f>G24/G64</f>
        <v>0</v>
      </c>
      <c r="I24" s="241">
        <f t="shared" si="1"/>
        <v>0</v>
      </c>
    </row>
    <row r="25" spans="1:9" s="224" customFormat="1">
      <c r="A25" s="37" t="s">
        <v>16</v>
      </c>
      <c r="B25" s="243">
        <f>VLOOKUP(A25,[9]進出口值表查詢結果!$A$3:$C$37,3,0)</f>
        <v>304</v>
      </c>
      <c r="C25" s="243">
        <f>VLOOKUP(A25,[9]進出口值表查詢結果!$A$3:$C$37,2,0)</f>
        <v>763073</v>
      </c>
      <c r="D25" s="237">
        <f t="shared" si="0"/>
        <v>2510.1085526315787</v>
      </c>
      <c r="E25" s="244">
        <f>VLOOKUP(A25,[10]進出口值表查詢結果!$A$2:$C$55,3,0)</f>
        <v>2689</v>
      </c>
      <c r="F25" s="239">
        <f>E25/E64</f>
        <v>5.4027988467063824E-3</v>
      </c>
      <c r="G25" s="244">
        <f>VLOOKUP(A25,[10]進出口值表查詢結果!$A$2:$C$55,2,0)</f>
        <v>5525369</v>
      </c>
      <c r="H25" s="239">
        <f>G25/G64</f>
        <v>6.6666422862825753E-3</v>
      </c>
      <c r="I25" s="241">
        <f t="shared" si="1"/>
        <v>2054.8043882484194</v>
      </c>
    </row>
    <row r="26" spans="1:9" s="224" customFormat="1">
      <c r="A26" s="242" t="s">
        <v>254</v>
      </c>
      <c r="B26" s="243">
        <f>VLOOKUP(A26,[9]進出口值表查詢結果!$A$3:$C$37,3,0)</f>
        <v>19</v>
      </c>
      <c r="C26" s="243">
        <f>VLOOKUP(A26,[9]進出口值表查詢結果!$A$3:$C$37,2,0)</f>
        <v>64203</v>
      </c>
      <c r="D26" s="237">
        <f t="shared" si="0"/>
        <v>3379.1052631578946</v>
      </c>
      <c r="E26" s="244">
        <f>VLOOKUP(A26,[10]進出口值表查詢結果!$A$2:$C$55,3,0)</f>
        <v>5355</v>
      </c>
      <c r="F26" s="239">
        <f>E26/E64</f>
        <v>1.0759385579811334E-2</v>
      </c>
      <c r="G26" s="244">
        <f>VLOOKUP(A26,[10]進出口值表查詢結果!$A$2:$C$55,2,0)</f>
        <v>2595691</v>
      </c>
      <c r="H26" s="239">
        <f>G26/G64</f>
        <v>3.1318348842806886E-3</v>
      </c>
      <c r="I26" s="241">
        <f t="shared" si="1"/>
        <v>484.72287581699345</v>
      </c>
    </row>
    <row r="27" spans="1:9" s="224" customFormat="1">
      <c r="A27" s="242" t="s">
        <v>256</v>
      </c>
      <c r="B27" s="243">
        <f>VLOOKUP(A27,[9]進出口值表查詢結果!$A$3:$C$37,3,0)</f>
        <v>393</v>
      </c>
      <c r="C27" s="243">
        <f>VLOOKUP(A27,[9]進出口值表查詢結果!$A$3:$C$37,2,0)</f>
        <v>425371</v>
      </c>
      <c r="D27" s="237">
        <f t="shared" si="0"/>
        <v>1082.3689567430026</v>
      </c>
      <c r="E27" s="244">
        <f>VLOOKUP(A27,[10]進出口值表查詢結果!$A$2:$C$55,3,0)</f>
        <v>794</v>
      </c>
      <c r="F27" s="239">
        <f>E27/E64</f>
        <v>1.595322530414603E-3</v>
      </c>
      <c r="G27" s="244">
        <f>VLOOKUP(A27,[10]進出口值表查詢結果!$A$2:$C$55,2,0)</f>
        <v>1207201</v>
      </c>
      <c r="H27" s="239">
        <f>G27/G64</f>
        <v>1.4565501841854564E-3</v>
      </c>
      <c r="I27" s="241">
        <f t="shared" si="1"/>
        <v>1520.4042821158689</v>
      </c>
    </row>
    <row r="28" spans="1:9" s="224" customFormat="1">
      <c r="A28" s="251" t="s">
        <v>257</v>
      </c>
      <c r="B28" s="243">
        <f>VLOOKUP(A28,[9]進出口值表查詢結果!$A$3:$C$37,3,0)</f>
        <v>139</v>
      </c>
      <c r="C28" s="243">
        <f>VLOOKUP(A28,[9]進出口值表查詢結果!$A$3:$C$37,2,0)</f>
        <v>203487</v>
      </c>
      <c r="D28" s="237">
        <f t="shared" si="0"/>
        <v>1463.9352517985612</v>
      </c>
      <c r="E28" s="244">
        <f>VLOOKUP(A28,[10]進出口值表查詢結果!$A$2:$C$55,3,0)</f>
        <v>1871</v>
      </c>
      <c r="F28" s="239">
        <f>E28/E64</f>
        <v>3.7592549803598515E-3</v>
      </c>
      <c r="G28" s="244">
        <f>VLOOKUP(A28,[10]進出口值表查詢結果!$A$2:$C$55,2,0)</f>
        <v>3430458</v>
      </c>
      <c r="H28" s="239">
        <f>G28/G64</f>
        <v>4.1390242650067993E-3</v>
      </c>
      <c r="I28" s="241">
        <f t="shared" si="1"/>
        <v>1833.4890432923571</v>
      </c>
    </row>
    <row r="29" spans="1:9" s="224" customFormat="1">
      <c r="A29" s="251" t="s">
        <v>258</v>
      </c>
      <c r="B29" s="243">
        <f>VLOOKUP(A29,[9]進出口值表查詢結果!$A$3:$C$37,3,0)</f>
        <v>892</v>
      </c>
      <c r="C29" s="243">
        <f>VLOOKUP(A29,[9]進出口值表查詢結果!$A$3:$C$37,2,0)</f>
        <v>485377</v>
      </c>
      <c r="D29" s="237">
        <f t="shared" si="0"/>
        <v>544.14461883408069</v>
      </c>
      <c r="E29" s="244">
        <f>VLOOKUP(A29,[10]進出口值表查詢結果!$A$2:$C$55,3,0)</f>
        <v>6793</v>
      </c>
      <c r="F29" s="239">
        <f>E29/E64</f>
        <v>1.3648647291065992E-2</v>
      </c>
      <c r="G29" s="244">
        <f>VLOOKUP(A29,[10]進出口值表查詢結果!$A$2:$C$55,2,0)</f>
        <v>4043664</v>
      </c>
      <c r="H29" s="239">
        <f>G29/G64</f>
        <v>4.8788888875871536E-3</v>
      </c>
      <c r="I29" s="241">
        <f t="shared" si="1"/>
        <v>595.26924775504199</v>
      </c>
    </row>
    <row r="30" spans="1:9" s="224" customFormat="1">
      <c r="A30" s="251" t="s">
        <v>259</v>
      </c>
      <c r="B30" s="243">
        <v>0</v>
      </c>
      <c r="C30" s="243">
        <v>0</v>
      </c>
      <c r="D30" s="237">
        <f t="shared" si="0"/>
        <v>0</v>
      </c>
      <c r="E30" s="244">
        <f>VLOOKUP(A30,[10]進出口值表查詢結果!$A$2:$C$55,3,0)</f>
        <v>170</v>
      </c>
      <c r="F30" s="239">
        <f>E30/E64</f>
        <v>3.4156779618448681E-4</v>
      </c>
      <c r="G30" s="244">
        <f>VLOOKUP(A30,[10]進出口值表查詢結果!$A$2:$C$55,2,0)</f>
        <v>288806</v>
      </c>
      <c r="H30" s="239">
        <f>G30/G64</f>
        <v>3.4845931414392877E-4</v>
      </c>
      <c r="I30" s="241">
        <f t="shared" si="1"/>
        <v>1698.8588235294117</v>
      </c>
    </row>
    <row r="31" spans="1:9" s="224" customFormat="1">
      <c r="A31" s="251" t="s">
        <v>260</v>
      </c>
      <c r="B31" s="243">
        <v>0</v>
      </c>
      <c r="C31" s="243">
        <v>0</v>
      </c>
      <c r="D31" s="237">
        <f t="shared" si="0"/>
        <v>0</v>
      </c>
      <c r="E31" s="244">
        <v>0</v>
      </c>
      <c r="F31" s="239">
        <f>E31/E64</f>
        <v>0</v>
      </c>
      <c r="G31" s="244">
        <v>0</v>
      </c>
      <c r="H31" s="239">
        <f>G31/G64</f>
        <v>0</v>
      </c>
      <c r="I31" s="241">
        <f t="shared" si="1"/>
        <v>0</v>
      </c>
    </row>
    <row r="32" spans="1:9" s="224" customFormat="1">
      <c r="A32" s="30" t="s">
        <v>262</v>
      </c>
      <c r="B32" s="243">
        <v>0</v>
      </c>
      <c r="C32" s="243">
        <v>0</v>
      </c>
      <c r="D32" s="237">
        <f t="shared" si="0"/>
        <v>0</v>
      </c>
      <c r="E32" s="244">
        <f>VLOOKUP(A32,[10]進出口值表查詢結果!$A$2:$C$55,3,0)</f>
        <v>43</v>
      </c>
      <c r="F32" s="239">
        <f>E32/E64</f>
        <v>8.639656021137019E-5</v>
      </c>
      <c r="G32" s="244">
        <f>VLOOKUP(A32,[10]進出口值表查詢結果!$A$2:$C$55,2,0)</f>
        <v>29418</v>
      </c>
      <c r="H32" s="239">
        <f>G32/G64</f>
        <v>3.5494332193535093E-5</v>
      </c>
      <c r="I32" s="241">
        <f t="shared" si="1"/>
        <v>684.1395348837209</v>
      </c>
    </row>
    <row r="33" spans="1:9" s="224" customFormat="1">
      <c r="A33" s="251" t="s">
        <v>264</v>
      </c>
      <c r="B33" s="243">
        <v>0</v>
      </c>
      <c r="C33" s="243">
        <v>0</v>
      </c>
      <c r="D33" s="237">
        <f t="shared" si="0"/>
        <v>0</v>
      </c>
      <c r="E33" s="244">
        <v>0</v>
      </c>
      <c r="F33" s="239">
        <f>E33/E64</f>
        <v>0</v>
      </c>
      <c r="G33" s="244">
        <v>0</v>
      </c>
      <c r="H33" s="239">
        <f>G33/G64</f>
        <v>0</v>
      </c>
      <c r="I33" s="241">
        <f t="shared" si="1"/>
        <v>0</v>
      </c>
    </row>
    <row r="34" spans="1:9" s="224" customFormat="1">
      <c r="A34" s="251" t="s">
        <v>265</v>
      </c>
      <c r="B34" s="243">
        <v>0</v>
      </c>
      <c r="C34" s="243">
        <v>0</v>
      </c>
      <c r="D34" s="237">
        <f t="shared" si="0"/>
        <v>0</v>
      </c>
      <c r="E34" s="244">
        <v>0</v>
      </c>
      <c r="F34" s="239">
        <f>E34/E64</f>
        <v>0</v>
      </c>
      <c r="G34" s="244">
        <v>0</v>
      </c>
      <c r="H34" s="239">
        <f>G34/G64</f>
        <v>0</v>
      </c>
      <c r="I34" s="241">
        <f t="shared" si="1"/>
        <v>0</v>
      </c>
    </row>
    <row r="35" spans="1:9" s="224" customFormat="1">
      <c r="A35" s="252" t="s">
        <v>383</v>
      </c>
      <c r="B35" s="243">
        <v>0</v>
      </c>
      <c r="C35" s="243">
        <v>0</v>
      </c>
      <c r="D35" s="237">
        <f t="shared" si="0"/>
        <v>0</v>
      </c>
      <c r="E35" s="244">
        <v>0</v>
      </c>
      <c r="F35" s="239">
        <f>E35/E64</f>
        <v>0</v>
      </c>
      <c r="G35" s="244">
        <v>0</v>
      </c>
      <c r="H35" s="239">
        <f>G35/G64</f>
        <v>0</v>
      </c>
      <c r="I35" s="241">
        <f t="shared" si="1"/>
        <v>0</v>
      </c>
    </row>
    <row r="36" spans="1:9" s="224" customFormat="1">
      <c r="A36" s="251" t="s">
        <v>268</v>
      </c>
      <c r="B36" s="243">
        <v>0</v>
      </c>
      <c r="C36" s="243">
        <v>0</v>
      </c>
      <c r="D36" s="237">
        <f t="shared" si="0"/>
        <v>0</v>
      </c>
      <c r="E36" s="244">
        <v>0</v>
      </c>
      <c r="F36" s="239">
        <f>E36/E64</f>
        <v>0</v>
      </c>
      <c r="G36" s="244">
        <v>0</v>
      </c>
      <c r="H36" s="239">
        <f>G36/G64</f>
        <v>0</v>
      </c>
      <c r="I36" s="241">
        <f t="shared" si="1"/>
        <v>0</v>
      </c>
    </row>
    <row r="37" spans="1:9" s="224" customFormat="1">
      <c r="A37" s="251" t="s">
        <v>384</v>
      </c>
      <c r="B37" s="243">
        <v>0</v>
      </c>
      <c r="C37" s="243">
        <v>0</v>
      </c>
      <c r="D37" s="237">
        <f t="shared" si="0"/>
        <v>0</v>
      </c>
      <c r="E37" s="244">
        <v>0</v>
      </c>
      <c r="F37" s="239">
        <f>E37/E64</f>
        <v>0</v>
      </c>
      <c r="G37" s="244">
        <v>0</v>
      </c>
      <c r="H37" s="239">
        <f>G37/G64</f>
        <v>0</v>
      </c>
      <c r="I37" s="241">
        <f t="shared" si="1"/>
        <v>0</v>
      </c>
    </row>
    <row r="38" spans="1:9" s="224" customFormat="1">
      <c r="A38" s="251" t="s">
        <v>270</v>
      </c>
      <c r="B38" s="243">
        <v>0</v>
      </c>
      <c r="C38" s="243">
        <v>0</v>
      </c>
      <c r="D38" s="237">
        <f t="shared" si="0"/>
        <v>0</v>
      </c>
      <c r="E38" s="244">
        <v>0</v>
      </c>
      <c r="F38" s="239">
        <f>E38/E64</f>
        <v>0</v>
      </c>
      <c r="G38" s="244">
        <v>0</v>
      </c>
      <c r="H38" s="239">
        <f>G38/G64</f>
        <v>0</v>
      </c>
      <c r="I38" s="241">
        <f t="shared" si="1"/>
        <v>0</v>
      </c>
    </row>
    <row r="39" spans="1:9" s="224" customFormat="1">
      <c r="A39" s="251" t="s">
        <v>271</v>
      </c>
      <c r="B39" s="243">
        <v>0</v>
      </c>
      <c r="C39" s="243">
        <v>0</v>
      </c>
      <c r="D39" s="237">
        <f t="shared" si="0"/>
        <v>0</v>
      </c>
      <c r="E39" s="244">
        <v>0</v>
      </c>
      <c r="F39" s="239">
        <f>E39/E64</f>
        <v>0</v>
      </c>
      <c r="G39" s="244">
        <v>0</v>
      </c>
      <c r="H39" s="239">
        <f>G39/G64</f>
        <v>0</v>
      </c>
      <c r="I39" s="241">
        <f t="shared" si="1"/>
        <v>0</v>
      </c>
    </row>
    <row r="40" spans="1:9" s="224" customFormat="1">
      <c r="A40" s="30" t="s">
        <v>272</v>
      </c>
      <c r="B40" s="243">
        <v>0</v>
      </c>
      <c r="C40" s="243">
        <v>0</v>
      </c>
      <c r="D40" s="237">
        <f t="shared" si="0"/>
        <v>0</v>
      </c>
      <c r="E40" s="244">
        <v>0</v>
      </c>
      <c r="F40" s="239">
        <f>E40/E64</f>
        <v>0</v>
      </c>
      <c r="G40" s="244">
        <v>0</v>
      </c>
      <c r="H40" s="239">
        <f>G40/G64</f>
        <v>0</v>
      </c>
      <c r="I40" s="241">
        <f t="shared" si="1"/>
        <v>0</v>
      </c>
    </row>
    <row r="41" spans="1:9" s="224" customFormat="1">
      <c r="A41" s="30"/>
      <c r="B41" s="34"/>
      <c r="C41" s="35"/>
      <c r="D41" s="237"/>
      <c r="E41" s="245"/>
      <c r="F41" s="246"/>
      <c r="G41" s="245"/>
      <c r="H41" s="246"/>
      <c r="I41" s="241"/>
    </row>
    <row r="42" spans="1:9" s="224" customFormat="1">
      <c r="A42" s="250" t="s">
        <v>20</v>
      </c>
      <c r="B42" s="248">
        <f>SUM(B43:B46)</f>
        <v>967</v>
      </c>
      <c r="C42" s="248">
        <f>SUM(C43:C46)</f>
        <v>1704004</v>
      </c>
      <c r="D42" s="237">
        <f t="shared" si="0"/>
        <v>1762.1551189245088</v>
      </c>
      <c r="E42" s="248">
        <f>SUM(E43:E46)</f>
        <v>11107</v>
      </c>
      <c r="F42" s="239">
        <f>E42/E64</f>
        <v>2.231643242482997E-2</v>
      </c>
      <c r="G42" s="248">
        <f>SUM(G43:G46)</f>
        <v>19173855</v>
      </c>
      <c r="H42" s="239">
        <f>G42/G64</f>
        <v>2.313424361957556E-2</v>
      </c>
      <c r="I42" s="241">
        <f t="shared" si="1"/>
        <v>1726.2856757000091</v>
      </c>
    </row>
    <row r="43" spans="1:9" s="224" customFormat="1">
      <c r="A43" s="242" t="s">
        <v>183</v>
      </c>
      <c r="B43" s="243">
        <f>VLOOKUP(A43,[9]進出口值表查詢結果!$A$3:$C$37,3,0)</f>
        <v>614</v>
      </c>
      <c r="C43" s="243">
        <f>VLOOKUP(A43,[9]進出口值表查詢結果!$A$3:$C$37,2,0)</f>
        <v>1071886</v>
      </c>
      <c r="D43" s="237">
        <f t="shared" si="0"/>
        <v>1745.742671009772</v>
      </c>
      <c r="E43" s="244">
        <f>VLOOKUP(A43,[10]進出口值表查詢結果!$A$2:$C$55,3,0)</f>
        <v>6972</v>
      </c>
      <c r="F43" s="239">
        <f>E43/E64</f>
        <v>1.4008298088224952E-2</v>
      </c>
      <c r="G43" s="244">
        <f>VLOOKUP(A43,[10]進出口值表查詢結果!$A$2:$C$55,2,0)</f>
        <v>12362346</v>
      </c>
      <c r="H43" s="239">
        <f>G43/G64</f>
        <v>1.4915807179802155E-2</v>
      </c>
      <c r="I43" s="241">
        <f t="shared" si="1"/>
        <v>1773.1419965576592</v>
      </c>
    </row>
    <row r="44" spans="1:9" s="224" customFormat="1">
      <c r="A44" s="242" t="s">
        <v>274</v>
      </c>
      <c r="B44" s="243">
        <f>VLOOKUP(A44,[9]進出口值表查詢結果!$A$3:$C$37,3,0)</f>
        <v>350</v>
      </c>
      <c r="C44" s="243">
        <f>VLOOKUP(A44,[9]進出口值表查詢結果!$A$3:$C$37,2,0)</f>
        <v>623693</v>
      </c>
      <c r="D44" s="237">
        <f t="shared" si="0"/>
        <v>1781.98</v>
      </c>
      <c r="E44" s="244">
        <f>VLOOKUP(A44,[10]進出口值表查詢結果!$A$2:$C$55,3,0)</f>
        <v>4100</v>
      </c>
      <c r="F44" s="239">
        <f>E44/E64</f>
        <v>8.2378115550376229E-3</v>
      </c>
      <c r="G44" s="244">
        <f>VLOOKUP(A44,[10]進出口值表查詢結果!$A$2:$C$55,2,0)</f>
        <v>6742796</v>
      </c>
      <c r="H44" s="239">
        <f>G44/G64</f>
        <v>8.135530666164922E-3</v>
      </c>
      <c r="I44" s="241">
        <f t="shared" si="1"/>
        <v>1644.5843902439024</v>
      </c>
    </row>
    <row r="45" spans="1:9" s="224" customFormat="1">
      <c r="A45" s="242" t="s">
        <v>275</v>
      </c>
      <c r="B45" s="243">
        <f>VLOOKUP(A45,[9]進出口值表查詢結果!$A$3:$C$37,3,0)</f>
        <v>3</v>
      </c>
      <c r="C45" s="243">
        <f>VLOOKUP(A45,[9]進出口值表查詢結果!$A$3:$C$37,2,0)</f>
        <v>8425</v>
      </c>
      <c r="D45" s="237">
        <f t="shared" si="0"/>
        <v>2808.3333333333335</v>
      </c>
      <c r="E45" s="244">
        <f>VLOOKUP(A45,[10]進出口值表查詢結果!$A$2:$C$55,3,0)</f>
        <v>35</v>
      </c>
      <c r="F45" s="239">
        <f>E45/E64</f>
        <v>7.0322781567394335E-5</v>
      </c>
      <c r="G45" s="244">
        <f>VLOOKUP(A45,[10]進出口值表查詢結果!$A$2:$C$55,2,0)</f>
        <v>68713</v>
      </c>
      <c r="H45" s="239">
        <f>G45/G64</f>
        <v>8.2905773608483812E-5</v>
      </c>
      <c r="I45" s="241">
        <f t="shared" si="1"/>
        <v>1963.2285714285715</v>
      </c>
    </row>
    <row r="46" spans="1:9" s="224" customFormat="1">
      <c r="A46" s="37" t="s">
        <v>21</v>
      </c>
      <c r="B46" s="243">
        <v>0</v>
      </c>
      <c r="C46" s="243">
        <v>0</v>
      </c>
      <c r="D46" s="237">
        <f t="shared" si="0"/>
        <v>0</v>
      </c>
      <c r="E46" s="244">
        <v>0</v>
      </c>
      <c r="F46" s="239">
        <f>E46/E64</f>
        <v>0</v>
      </c>
      <c r="G46" s="244">
        <v>0</v>
      </c>
      <c r="H46" s="239">
        <f>G46/G64</f>
        <v>0</v>
      </c>
      <c r="I46" s="241">
        <f t="shared" si="1"/>
        <v>0</v>
      </c>
    </row>
    <row r="47" spans="1:9" s="224" customFormat="1">
      <c r="A47" s="37"/>
      <c r="B47" s="243"/>
      <c r="C47" s="35"/>
      <c r="D47" s="237"/>
      <c r="E47" s="245"/>
      <c r="F47" s="246"/>
      <c r="G47" s="245"/>
      <c r="H47" s="246"/>
      <c r="I47" s="241"/>
    </row>
    <row r="48" spans="1:9" s="224" customFormat="1">
      <c r="A48" s="250" t="s">
        <v>22</v>
      </c>
      <c r="B48" s="248">
        <f>SUM(B49:B62)</f>
        <v>6937</v>
      </c>
      <c r="C48" s="248">
        <f>SUM(C49:C62)</f>
        <v>13832052</v>
      </c>
      <c r="D48" s="237">
        <f t="shared" si="0"/>
        <v>1993.9530056220269</v>
      </c>
      <c r="E48" s="248">
        <f>SUM(E49:E62)</f>
        <v>63703</v>
      </c>
      <c r="F48" s="239">
        <f>E48/E64</f>
        <v>0.12799349011964919</v>
      </c>
      <c r="G48" s="248">
        <f>SUM(G49:G62)</f>
        <v>109192685</v>
      </c>
      <c r="H48" s="239">
        <f>G48/G64</f>
        <v>0.13174659849391654</v>
      </c>
      <c r="I48" s="241">
        <f t="shared" si="1"/>
        <v>1714.0901527400592</v>
      </c>
    </row>
    <row r="49" spans="1:9" s="224" customFormat="1">
      <c r="A49" s="250" t="s">
        <v>162</v>
      </c>
      <c r="B49" s="243">
        <f>VLOOKUP(A49,[9]進出口值表查詢結果!$A$3:$C$37,3,0)</f>
        <v>3613</v>
      </c>
      <c r="C49" s="243">
        <f>VLOOKUP(A49,[9]進出口值表查詢結果!$A$3:$C$37,2,0)</f>
        <v>6173660</v>
      </c>
      <c r="D49" s="237">
        <f t="shared" si="0"/>
        <v>1708.7351231663438</v>
      </c>
      <c r="E49" s="244">
        <f>VLOOKUP(A49,[10]進出口值表查詢結果!$A$2:$C$55,3,0)</f>
        <v>33550</v>
      </c>
      <c r="F49" s="239">
        <f>E49/E64</f>
        <v>6.7409409188173716E-2</v>
      </c>
      <c r="G49" s="244">
        <f>VLOOKUP(A49,[10]進出口值表查詢結果!$A$2:$C$55,2,0)</f>
        <v>46577061</v>
      </c>
      <c r="H49" s="239">
        <f>G49/G64</f>
        <v>5.6197623078813923E-2</v>
      </c>
      <c r="I49" s="241">
        <f t="shared" si="1"/>
        <v>1388.2879582712369</v>
      </c>
    </row>
    <row r="50" spans="1:9" s="224" customFormat="1">
      <c r="A50" s="242" t="s">
        <v>385</v>
      </c>
      <c r="B50" s="243">
        <f>VLOOKUP(A50,[9]進出口值表查詢結果!$A$3:$C$37,3,0)</f>
        <v>724</v>
      </c>
      <c r="C50" s="243">
        <f>VLOOKUP(A50,[9]進出口值表查詢結果!$A$3:$C$37,2,0)</f>
        <v>892092</v>
      </c>
      <c r="D50" s="237">
        <f t="shared" si="0"/>
        <v>1232.1712707182321</v>
      </c>
      <c r="E50" s="244">
        <f>VLOOKUP(A50,[10]進出口值表查詢結果!$A$2:$C$55,3,0)</f>
        <v>6573</v>
      </c>
      <c r="F50" s="239">
        <f>E50/E64</f>
        <v>1.3206618378356657E-2</v>
      </c>
      <c r="G50" s="244">
        <f>VLOOKUP(A50,[10]進出口值表查詢結果!$A$2:$C$55,2,0)</f>
        <v>7806961</v>
      </c>
      <c r="H50" s="239">
        <f>G50/G64</f>
        <v>9.4195005491866518E-3</v>
      </c>
      <c r="I50" s="241">
        <f t="shared" si="1"/>
        <v>1187.7317815305037</v>
      </c>
    </row>
    <row r="51" spans="1:9" s="224" customFormat="1">
      <c r="A51" s="242" t="s">
        <v>454</v>
      </c>
      <c r="B51" s="243">
        <v>0</v>
      </c>
      <c r="C51" s="243">
        <v>0</v>
      </c>
      <c r="D51" s="237">
        <f t="shared" si="0"/>
        <v>0</v>
      </c>
      <c r="E51" s="244">
        <f>VLOOKUP(A51,[10]進出口值表查詢結果!$A$2:$C$55,3,0)</f>
        <v>304</v>
      </c>
      <c r="F51" s="239">
        <f>E51/E64</f>
        <v>6.1080358847108223E-4</v>
      </c>
      <c r="G51" s="244">
        <f>VLOOKUP(A51,[10]進出口值表查詢結果!$A$2:$C$55,2,0)</f>
        <v>342593</v>
      </c>
      <c r="H51" s="239">
        <f>G51/G64</f>
        <v>4.1335609997891662E-4</v>
      </c>
      <c r="I51" s="241">
        <f t="shared" si="1"/>
        <v>1126.9506578947369</v>
      </c>
    </row>
    <row r="52" spans="1:9" s="224" customFormat="1">
      <c r="A52" s="242" t="s">
        <v>298</v>
      </c>
      <c r="B52" s="243">
        <f>VLOOKUP(A52,[9]進出口值表查詢結果!$A$3:$C$37,3,0)</f>
        <v>1</v>
      </c>
      <c r="C52" s="243">
        <f>VLOOKUP(A52,[9]進出口值表查詢結果!$A$3:$C$37,2,0)</f>
        <v>2324</v>
      </c>
      <c r="D52" s="237">
        <f t="shared" si="0"/>
        <v>2324</v>
      </c>
      <c r="E52" s="244">
        <f>VLOOKUP(A52,[10]進出口值表查詢結果!$A$2:$C$55,3,0)</f>
        <v>423</v>
      </c>
      <c r="F52" s="239">
        <f>E52/E64</f>
        <v>8.4990104580022301E-4</v>
      </c>
      <c r="G52" s="244">
        <f>VLOOKUP(A52,[10]進出口值表查詢結果!$A$2:$C$55,2,0)</f>
        <v>1114433</v>
      </c>
      <c r="H52" s="239">
        <f>G52/G64</f>
        <v>1.3446208141082974E-3</v>
      </c>
      <c r="I52" s="241">
        <f t="shared" si="1"/>
        <v>2634.5933806146572</v>
      </c>
    </row>
    <row r="53" spans="1:9" s="224" customFormat="1">
      <c r="A53" s="37" t="s">
        <v>23</v>
      </c>
      <c r="B53" s="243">
        <v>0</v>
      </c>
      <c r="C53" s="243">
        <v>0</v>
      </c>
      <c r="D53" s="237">
        <f t="shared" si="0"/>
        <v>0</v>
      </c>
      <c r="E53" s="244">
        <f>VLOOKUP(A53,[10]進出口值表查詢結果!$A$2:$C$55,3,0)</f>
        <v>31</v>
      </c>
      <c r="F53" s="239">
        <f>E53/E64</f>
        <v>6.2285892245406415E-5</v>
      </c>
      <c r="G53" s="244">
        <f>VLOOKUP(A53,[10]進出口值表查詢結果!$A$2:$C$55,2,0)</f>
        <v>89805</v>
      </c>
      <c r="H53" s="239">
        <f>G53/G64</f>
        <v>1.0835435796588548E-4</v>
      </c>
      <c r="I53" s="241">
        <f t="shared" si="1"/>
        <v>2896.9354838709678</v>
      </c>
    </row>
    <row r="54" spans="1:9" s="224" customFormat="1">
      <c r="A54" s="242" t="s">
        <v>304</v>
      </c>
      <c r="B54" s="243">
        <f>VLOOKUP(A54,[9]進出口值表查詢結果!$A$3:$C$37,3,0)</f>
        <v>85</v>
      </c>
      <c r="C54" s="243">
        <f>VLOOKUP(A54,[9]進出口值表查詢結果!$A$3:$C$37,2,0)</f>
        <v>218335</v>
      </c>
      <c r="D54" s="237">
        <f t="shared" si="0"/>
        <v>2568.6470588235293</v>
      </c>
      <c r="E54" s="244">
        <f>VLOOKUP(A54,[10]進出口值表查詢結果!$A$2:$C$55,3,0)</f>
        <v>818</v>
      </c>
      <c r="F54" s="239">
        <f>E54/E64</f>
        <v>1.6435438663465307E-3</v>
      </c>
      <c r="G54" s="244">
        <f>VLOOKUP(A54,[10]進出口值表查詢結果!$A$2:$C$55,2,0)</f>
        <v>2147770</v>
      </c>
      <c r="H54" s="239">
        <f>G54/G64</f>
        <v>2.5913951273135111E-3</v>
      </c>
      <c r="I54" s="241">
        <f t="shared" si="1"/>
        <v>2625.6356968215159</v>
      </c>
    </row>
    <row r="55" spans="1:9" s="224" customFormat="1">
      <c r="A55" s="26" t="s">
        <v>386</v>
      </c>
      <c r="B55" s="243">
        <f>VLOOKUP(A55,[9]進出口值表查詢結果!$A$3:$C$37,3,0)</f>
        <v>1141</v>
      </c>
      <c r="C55" s="243">
        <f>VLOOKUP(A55,[9]進出口值表查詢結果!$A$3:$C$37,2,0)</f>
        <v>2923110</v>
      </c>
      <c r="D55" s="237">
        <f t="shared" si="0"/>
        <v>2561.8843120070114</v>
      </c>
      <c r="E55" s="244">
        <f>VLOOKUP(A55,[10]進出口值表查詢結果!$A$2:$C$55,3,0)</f>
        <v>9719</v>
      </c>
      <c r="F55" s="239">
        <f>E55/E64</f>
        <v>1.9527631830100159E-2</v>
      </c>
      <c r="G55" s="244">
        <f>VLOOKUP(A55,[10]進出口值表查詢結果!$A$2:$C$55,2,0)</f>
        <v>21949349</v>
      </c>
      <c r="H55" s="239">
        <f>G55/G64</f>
        <v>2.6483020084228613E-2</v>
      </c>
      <c r="I55" s="241">
        <f t="shared" si="1"/>
        <v>2258.3958226154955</v>
      </c>
    </row>
    <row r="56" spans="1:9" s="224" customFormat="1">
      <c r="A56" s="37" t="s">
        <v>24</v>
      </c>
      <c r="B56" s="243">
        <f>VLOOKUP(A56,[9]進出口值表查詢結果!$A$3:$C$37,3,0)</f>
        <v>65</v>
      </c>
      <c r="C56" s="243">
        <f>VLOOKUP(A56,[9]進出口值表查詢結果!$A$3:$C$37,2,0)</f>
        <v>242672</v>
      </c>
      <c r="D56" s="237">
        <f t="shared" si="0"/>
        <v>3733.4153846153845</v>
      </c>
      <c r="E56" s="244">
        <f>VLOOKUP(A56,[10]進出口值表查詢結果!$A$2:$C$55,3,0)</f>
        <v>141</v>
      </c>
      <c r="F56" s="239">
        <f>E56/E64</f>
        <v>2.8330034860007432E-4</v>
      </c>
      <c r="G56" s="244">
        <f>VLOOKUP(A56,[10]進出口值表查詢結果!$A$2:$C$55,2,0)</f>
        <v>461798</v>
      </c>
      <c r="H56" s="239">
        <f>G56/G64</f>
        <v>5.571830722112353E-4</v>
      </c>
      <c r="I56" s="241">
        <f t="shared" si="1"/>
        <v>3275.1631205673757</v>
      </c>
    </row>
    <row r="57" spans="1:9" s="224" customFormat="1">
      <c r="A57" s="37" t="s">
        <v>240</v>
      </c>
      <c r="B57" s="243">
        <f>VLOOKUP(A57,[9]進出口值表查詢結果!$A$3:$C$37,3,0)</f>
        <v>40</v>
      </c>
      <c r="C57" s="243">
        <f>VLOOKUP(A57,[9]進出口值表查詢結果!$A$3:$C$37,2,0)</f>
        <v>115623</v>
      </c>
      <c r="D57" s="237">
        <f t="shared" si="0"/>
        <v>2890.5749999999998</v>
      </c>
      <c r="E57" s="244">
        <f>VLOOKUP(A57,[10]進出口值表查詢結果!$A$2:$C$55,3,0)</f>
        <v>258</v>
      </c>
      <c r="F57" s="239">
        <f>E57/E64</f>
        <v>5.1837936126822109E-4</v>
      </c>
      <c r="G57" s="244">
        <f>VLOOKUP(A57,[10]進出口值表查詢結果!$A$2:$C$55,2,0)</f>
        <v>421116</v>
      </c>
      <c r="H57" s="239">
        <f>G57/G64</f>
        <v>5.080981438579348E-4</v>
      </c>
      <c r="I57" s="241">
        <f t="shared" si="1"/>
        <v>1632.2325581395348</v>
      </c>
    </row>
    <row r="58" spans="1:9" s="224" customFormat="1">
      <c r="A58" s="37" t="s">
        <v>459</v>
      </c>
      <c r="B58" s="243">
        <f>VLOOKUP(A58,[9]進出口值表查詢結果!$A$3:$C$37,3,0)</f>
        <v>44</v>
      </c>
      <c r="C58" s="243">
        <f>VLOOKUP(A58,[9]進出口值表查詢結果!$A$3:$C$37,2,0)</f>
        <v>127792</v>
      </c>
      <c r="D58" s="237">
        <f t="shared" si="0"/>
        <v>2904.3636363636365</v>
      </c>
      <c r="E58" s="244">
        <f>VLOOKUP(A58,[10]進出口值表查詢結果!$A$2:$C$55,3,0)</f>
        <v>1741</v>
      </c>
      <c r="F58" s="239">
        <f>E58/E64</f>
        <v>3.4980560773952441E-3</v>
      </c>
      <c r="G58" s="244">
        <f>VLOOKUP(A58,[10]進出口值表查詢結果!$A$2:$C$55,2,0)</f>
        <v>3903845</v>
      </c>
      <c r="H58" s="239">
        <f>G58/G64</f>
        <v>4.7101900626171393E-3</v>
      </c>
      <c r="I58" s="241">
        <f t="shared" si="1"/>
        <v>2242.3004020677772</v>
      </c>
    </row>
    <row r="59" spans="1:9" s="224" customFormat="1">
      <c r="A59" s="37" t="s">
        <v>278</v>
      </c>
      <c r="B59" s="243">
        <v>0</v>
      </c>
      <c r="C59" s="243">
        <v>0</v>
      </c>
      <c r="D59" s="237">
        <f t="shared" si="0"/>
        <v>0</v>
      </c>
      <c r="E59" s="244">
        <f>VLOOKUP(A59,[10]進出口值表查詢結果!$A$2:$C$55,3,0)</f>
        <v>88</v>
      </c>
      <c r="F59" s="239">
        <f>E59/E64</f>
        <v>1.7681156508373433E-4</v>
      </c>
      <c r="G59" s="244">
        <f>VLOOKUP(A59,[10]進出口值表查詢結果!$A$2:$C$55,2,0)</f>
        <v>129938</v>
      </c>
      <c r="H59" s="239">
        <f>G59/G64</f>
        <v>1.5677688954257812E-4</v>
      </c>
      <c r="I59" s="241">
        <f t="shared" si="1"/>
        <v>1476.5681818181818</v>
      </c>
    </row>
    <row r="60" spans="1:9" s="224" customFormat="1">
      <c r="A60" s="37" t="s">
        <v>283</v>
      </c>
      <c r="B60" s="243">
        <v>0</v>
      </c>
      <c r="C60" s="243">
        <v>0</v>
      </c>
      <c r="D60" s="237">
        <f t="shared" si="0"/>
        <v>0</v>
      </c>
      <c r="E60" s="244">
        <v>0</v>
      </c>
      <c r="F60" s="239">
        <f>E60/E64</f>
        <v>0</v>
      </c>
      <c r="G60" s="244">
        <v>0</v>
      </c>
      <c r="H60" s="239">
        <f>G60/G64</f>
        <v>0</v>
      </c>
      <c r="I60" s="241">
        <f t="shared" si="1"/>
        <v>0</v>
      </c>
    </row>
    <row r="61" spans="1:9" s="224" customFormat="1">
      <c r="A61" s="37" t="s">
        <v>289</v>
      </c>
      <c r="B61" s="243">
        <f>VLOOKUP(A61,[9]進出口值表查詢結果!$A$3:$C$37,3,0)</f>
        <v>1084</v>
      </c>
      <c r="C61" s="243">
        <f>VLOOKUP(A61,[9]進出口值表查詢結果!$A$3:$C$37,2,0)</f>
        <v>2760459</v>
      </c>
      <c r="D61" s="237">
        <f t="shared" si="0"/>
        <v>2546.5488929889298</v>
      </c>
      <c r="E61" s="244">
        <f>VLOOKUP(A61,[10]進出口值表查詢結果!$A$2:$C$55,3,0)</f>
        <v>8258</v>
      </c>
      <c r="F61" s="239">
        <f>E61/E64</f>
        <v>1.6592158005244072E-2</v>
      </c>
      <c r="G61" s="244">
        <f>VLOOKUP(A61,[10]進出口值表查詢結果!$A$2:$C$55,2,0)</f>
        <v>19503982</v>
      </c>
      <c r="H61" s="239">
        <f>G61/G64</f>
        <v>2.3532558848484906E-2</v>
      </c>
      <c r="I61" s="241">
        <f t="shared" si="1"/>
        <v>2361.8287720997819</v>
      </c>
    </row>
    <row r="62" spans="1:9" s="224" customFormat="1">
      <c r="A62" s="37" t="s">
        <v>337</v>
      </c>
      <c r="B62" s="243">
        <f>VLOOKUP(A62,[9]進出口值表查詢結果!$A$3:$C$37,3,0)</f>
        <v>140</v>
      </c>
      <c r="C62" s="243">
        <f>VLOOKUP(A62,[9]進出口值表查詢結果!$A$3:$C$37,2,0)</f>
        <v>375985</v>
      </c>
      <c r="D62" s="237">
        <f t="shared" si="0"/>
        <v>2685.6071428571427</v>
      </c>
      <c r="E62" s="244">
        <f>VLOOKUP(A62,[10]進出口值表查詢結果!$A$2:$C$55,3,0)</f>
        <v>1799</v>
      </c>
      <c r="F62" s="239">
        <f>E62/E64</f>
        <v>3.6145909725640692E-3</v>
      </c>
      <c r="G62" s="244">
        <f>VLOOKUP(A62,[10]進出口值表查詢結果!$A$2:$C$55,2,0)</f>
        <v>4744034</v>
      </c>
      <c r="H62" s="239">
        <f>G62/G64</f>
        <v>5.7239213656069439E-3</v>
      </c>
      <c r="I62" s="241">
        <f t="shared" si="1"/>
        <v>2637.0394663702054</v>
      </c>
    </row>
    <row r="63" spans="1:9" s="224" customFormat="1">
      <c r="A63" s="37" t="s">
        <v>30</v>
      </c>
      <c r="B63" s="34">
        <f>B64-B48-B42-B13-B8</f>
        <v>458</v>
      </c>
      <c r="C63" s="34">
        <f>C64-C48-C42-C13-C8</f>
        <v>1326502</v>
      </c>
      <c r="D63" s="241">
        <f t="shared" si="0"/>
        <v>2896.2925764192141</v>
      </c>
      <c r="E63" s="245">
        <f>E64-E48-E42-E13-E8</f>
        <v>2324</v>
      </c>
      <c r="F63" s="510">
        <f>E63/$E$64</f>
        <v>4.6694326960749844E-3</v>
      </c>
      <c r="G63" s="245">
        <f>G64-G48-G42-G13-G8</f>
        <v>6437930</v>
      </c>
      <c r="H63" s="510">
        <f>G63/$G$64</f>
        <v>7.7676941348400769E-3</v>
      </c>
      <c r="I63" s="241">
        <f t="shared" si="1"/>
        <v>2770.1936316695351</v>
      </c>
    </row>
    <row r="64" spans="1:9" s="224" customFormat="1">
      <c r="A64" s="247" t="s">
        <v>401</v>
      </c>
      <c r="B64" s="243">
        <f>VLOOKUP(A64,[9]進出口值表查詢結果!$A$3:$C$37,3,0)</f>
        <v>50927</v>
      </c>
      <c r="C64" s="243">
        <f>VLOOKUP(A64,[9]進出口值表查詢結果!$A$3:$C$37,2,0)</f>
        <v>88792506</v>
      </c>
      <c r="D64" s="541">
        <f t="shared" ref="D64" si="2">C64/B64</f>
        <v>1743.5251634692795</v>
      </c>
      <c r="E64" s="244">
        <f>VLOOKUP(A64,[10]進出口值表查詢結果!$A$2:$C$55,3,0)</f>
        <v>497705</v>
      </c>
      <c r="F64" s="510">
        <f>E64/$E$64</f>
        <v>1</v>
      </c>
      <c r="G64" s="244">
        <f>VLOOKUP(A64,[10]進出口值表查詢結果!$A$2:$C$55,2,0)</f>
        <v>828808381</v>
      </c>
      <c r="H64" s="510">
        <f>G64/$G$64</f>
        <v>1</v>
      </c>
      <c r="I64" s="241">
        <f t="shared" si="1"/>
        <v>1665.2603068082499</v>
      </c>
    </row>
    <row r="65" spans="1:9" s="224" customFormat="1" ht="6" customHeight="1">
      <c r="A65" s="253"/>
      <c r="B65" s="254"/>
      <c r="C65" s="255"/>
      <c r="D65" s="256"/>
      <c r="E65" s="257"/>
      <c r="F65" s="258"/>
      <c r="G65" s="255"/>
      <c r="H65" s="258"/>
      <c r="I65" s="259"/>
    </row>
    <row r="66" spans="1:9" s="224" customFormat="1" ht="15" customHeight="1">
      <c r="A66" s="260" t="s">
        <v>120</v>
      </c>
      <c r="B66" s="261"/>
      <c r="C66" s="261"/>
      <c r="D66" s="261"/>
    </row>
    <row r="67" spans="1:9" s="224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7" customWidth="1"/>
    <col min="2" max="2" width="12.125" style="267" customWidth="1"/>
    <col min="3" max="3" width="12.5" style="268" customWidth="1"/>
    <col min="4" max="4" width="13.75" style="269" customWidth="1"/>
    <col min="5" max="5" width="14.625" style="267" customWidth="1"/>
    <col min="6" max="6" width="15.125" style="268" customWidth="1"/>
    <col min="7" max="7" width="12.25" style="301" customWidth="1"/>
    <col min="8" max="8" width="12.5" style="267" customWidth="1"/>
    <col min="9" max="9" width="12.25" style="267" customWidth="1"/>
    <col min="10" max="10" width="11.625" style="267" customWidth="1"/>
    <col min="11" max="256" width="8.875" style="267"/>
    <col min="257" max="257" width="19.5" style="267" customWidth="1"/>
    <col min="258" max="259" width="12.125" style="267" customWidth="1"/>
    <col min="260" max="260" width="13.75" style="267" customWidth="1"/>
    <col min="261" max="261" width="14.625" style="267" customWidth="1"/>
    <col min="262" max="262" width="15.125" style="267" customWidth="1"/>
    <col min="263" max="263" width="12.25" style="267" customWidth="1"/>
    <col min="264" max="264" width="12.5" style="267" customWidth="1"/>
    <col min="265" max="265" width="12.25" style="267" customWidth="1"/>
    <col min="266" max="266" width="11.625" style="267" customWidth="1"/>
    <col min="267" max="512" width="8.875" style="267"/>
    <col min="513" max="513" width="19.5" style="267" customWidth="1"/>
    <col min="514" max="515" width="12.125" style="267" customWidth="1"/>
    <col min="516" max="516" width="13.75" style="267" customWidth="1"/>
    <col min="517" max="517" width="14.625" style="267" customWidth="1"/>
    <col min="518" max="518" width="15.125" style="267" customWidth="1"/>
    <col min="519" max="519" width="12.25" style="267" customWidth="1"/>
    <col min="520" max="520" width="12.5" style="267" customWidth="1"/>
    <col min="521" max="521" width="12.25" style="267" customWidth="1"/>
    <col min="522" max="522" width="11.625" style="267" customWidth="1"/>
    <col min="523" max="768" width="8.875" style="267"/>
    <col min="769" max="769" width="19.5" style="267" customWidth="1"/>
    <col min="770" max="771" width="12.125" style="267" customWidth="1"/>
    <col min="772" max="772" width="13.75" style="267" customWidth="1"/>
    <col min="773" max="773" width="14.625" style="267" customWidth="1"/>
    <col min="774" max="774" width="15.125" style="267" customWidth="1"/>
    <col min="775" max="775" width="12.25" style="267" customWidth="1"/>
    <col min="776" max="776" width="12.5" style="267" customWidth="1"/>
    <col min="777" max="777" width="12.25" style="267" customWidth="1"/>
    <col min="778" max="778" width="11.625" style="267" customWidth="1"/>
    <col min="779" max="1024" width="8.875" style="267"/>
    <col min="1025" max="1025" width="19.5" style="267" customWidth="1"/>
    <col min="1026" max="1027" width="12.125" style="267" customWidth="1"/>
    <col min="1028" max="1028" width="13.75" style="267" customWidth="1"/>
    <col min="1029" max="1029" width="14.625" style="267" customWidth="1"/>
    <col min="1030" max="1030" width="15.125" style="267" customWidth="1"/>
    <col min="1031" max="1031" width="12.25" style="267" customWidth="1"/>
    <col min="1032" max="1032" width="12.5" style="267" customWidth="1"/>
    <col min="1033" max="1033" width="12.25" style="267" customWidth="1"/>
    <col min="1034" max="1034" width="11.625" style="267" customWidth="1"/>
    <col min="1035" max="1280" width="8.875" style="267"/>
    <col min="1281" max="1281" width="19.5" style="267" customWidth="1"/>
    <col min="1282" max="1283" width="12.125" style="267" customWidth="1"/>
    <col min="1284" max="1284" width="13.75" style="267" customWidth="1"/>
    <col min="1285" max="1285" width="14.625" style="267" customWidth="1"/>
    <col min="1286" max="1286" width="15.125" style="267" customWidth="1"/>
    <col min="1287" max="1287" width="12.25" style="267" customWidth="1"/>
    <col min="1288" max="1288" width="12.5" style="267" customWidth="1"/>
    <col min="1289" max="1289" width="12.25" style="267" customWidth="1"/>
    <col min="1290" max="1290" width="11.625" style="267" customWidth="1"/>
    <col min="1291" max="1536" width="8.875" style="267"/>
    <col min="1537" max="1537" width="19.5" style="267" customWidth="1"/>
    <col min="1538" max="1539" width="12.125" style="267" customWidth="1"/>
    <col min="1540" max="1540" width="13.75" style="267" customWidth="1"/>
    <col min="1541" max="1541" width="14.625" style="267" customWidth="1"/>
    <col min="1542" max="1542" width="15.125" style="267" customWidth="1"/>
    <col min="1543" max="1543" width="12.25" style="267" customWidth="1"/>
    <col min="1544" max="1544" width="12.5" style="267" customWidth="1"/>
    <col min="1545" max="1545" width="12.25" style="267" customWidth="1"/>
    <col min="1546" max="1546" width="11.625" style="267" customWidth="1"/>
    <col min="1547" max="1792" width="8.875" style="267"/>
    <col min="1793" max="1793" width="19.5" style="267" customWidth="1"/>
    <col min="1794" max="1795" width="12.125" style="267" customWidth="1"/>
    <col min="1796" max="1796" width="13.75" style="267" customWidth="1"/>
    <col min="1797" max="1797" width="14.625" style="267" customWidth="1"/>
    <col min="1798" max="1798" width="15.125" style="267" customWidth="1"/>
    <col min="1799" max="1799" width="12.25" style="267" customWidth="1"/>
    <col min="1800" max="1800" width="12.5" style="267" customWidth="1"/>
    <col min="1801" max="1801" width="12.25" style="267" customWidth="1"/>
    <col min="1802" max="1802" width="11.625" style="267" customWidth="1"/>
    <col min="1803" max="2048" width="8.875" style="267"/>
    <col min="2049" max="2049" width="19.5" style="267" customWidth="1"/>
    <col min="2050" max="2051" width="12.125" style="267" customWidth="1"/>
    <col min="2052" max="2052" width="13.75" style="267" customWidth="1"/>
    <col min="2053" max="2053" width="14.625" style="267" customWidth="1"/>
    <col min="2054" max="2054" width="15.125" style="267" customWidth="1"/>
    <col min="2055" max="2055" width="12.25" style="267" customWidth="1"/>
    <col min="2056" max="2056" width="12.5" style="267" customWidth="1"/>
    <col min="2057" max="2057" width="12.25" style="267" customWidth="1"/>
    <col min="2058" max="2058" width="11.625" style="267" customWidth="1"/>
    <col min="2059" max="2304" width="8.875" style="267"/>
    <col min="2305" max="2305" width="19.5" style="267" customWidth="1"/>
    <col min="2306" max="2307" width="12.125" style="267" customWidth="1"/>
    <col min="2308" max="2308" width="13.75" style="267" customWidth="1"/>
    <col min="2309" max="2309" width="14.625" style="267" customWidth="1"/>
    <col min="2310" max="2310" width="15.125" style="267" customWidth="1"/>
    <col min="2311" max="2311" width="12.25" style="267" customWidth="1"/>
    <col min="2312" max="2312" width="12.5" style="267" customWidth="1"/>
    <col min="2313" max="2313" width="12.25" style="267" customWidth="1"/>
    <col min="2314" max="2314" width="11.625" style="267" customWidth="1"/>
    <col min="2315" max="2560" width="8.875" style="267"/>
    <col min="2561" max="2561" width="19.5" style="267" customWidth="1"/>
    <col min="2562" max="2563" width="12.125" style="267" customWidth="1"/>
    <col min="2564" max="2564" width="13.75" style="267" customWidth="1"/>
    <col min="2565" max="2565" width="14.625" style="267" customWidth="1"/>
    <col min="2566" max="2566" width="15.125" style="267" customWidth="1"/>
    <col min="2567" max="2567" width="12.25" style="267" customWidth="1"/>
    <col min="2568" max="2568" width="12.5" style="267" customWidth="1"/>
    <col min="2569" max="2569" width="12.25" style="267" customWidth="1"/>
    <col min="2570" max="2570" width="11.625" style="267" customWidth="1"/>
    <col min="2571" max="2816" width="8.875" style="267"/>
    <col min="2817" max="2817" width="19.5" style="267" customWidth="1"/>
    <col min="2818" max="2819" width="12.125" style="267" customWidth="1"/>
    <col min="2820" max="2820" width="13.75" style="267" customWidth="1"/>
    <col min="2821" max="2821" width="14.625" style="267" customWidth="1"/>
    <col min="2822" max="2822" width="15.125" style="267" customWidth="1"/>
    <col min="2823" max="2823" width="12.25" style="267" customWidth="1"/>
    <col min="2824" max="2824" width="12.5" style="267" customWidth="1"/>
    <col min="2825" max="2825" width="12.25" style="267" customWidth="1"/>
    <col min="2826" max="2826" width="11.625" style="267" customWidth="1"/>
    <col min="2827" max="3072" width="8.875" style="267"/>
    <col min="3073" max="3073" width="19.5" style="267" customWidth="1"/>
    <col min="3074" max="3075" width="12.125" style="267" customWidth="1"/>
    <col min="3076" max="3076" width="13.75" style="267" customWidth="1"/>
    <col min="3077" max="3077" width="14.625" style="267" customWidth="1"/>
    <col min="3078" max="3078" width="15.125" style="267" customWidth="1"/>
    <col min="3079" max="3079" width="12.25" style="267" customWidth="1"/>
    <col min="3080" max="3080" width="12.5" style="267" customWidth="1"/>
    <col min="3081" max="3081" width="12.25" style="267" customWidth="1"/>
    <col min="3082" max="3082" width="11.625" style="267" customWidth="1"/>
    <col min="3083" max="3328" width="8.875" style="267"/>
    <col min="3329" max="3329" width="19.5" style="267" customWidth="1"/>
    <col min="3330" max="3331" width="12.125" style="267" customWidth="1"/>
    <col min="3332" max="3332" width="13.75" style="267" customWidth="1"/>
    <col min="3333" max="3333" width="14.625" style="267" customWidth="1"/>
    <col min="3334" max="3334" width="15.125" style="267" customWidth="1"/>
    <col min="3335" max="3335" width="12.25" style="267" customWidth="1"/>
    <col min="3336" max="3336" width="12.5" style="267" customWidth="1"/>
    <col min="3337" max="3337" width="12.25" style="267" customWidth="1"/>
    <col min="3338" max="3338" width="11.625" style="267" customWidth="1"/>
    <col min="3339" max="3584" width="8.875" style="267"/>
    <col min="3585" max="3585" width="19.5" style="267" customWidth="1"/>
    <col min="3586" max="3587" width="12.125" style="267" customWidth="1"/>
    <col min="3588" max="3588" width="13.75" style="267" customWidth="1"/>
    <col min="3589" max="3589" width="14.625" style="267" customWidth="1"/>
    <col min="3590" max="3590" width="15.125" style="267" customWidth="1"/>
    <col min="3591" max="3591" width="12.25" style="267" customWidth="1"/>
    <col min="3592" max="3592" width="12.5" style="267" customWidth="1"/>
    <col min="3593" max="3593" width="12.25" style="267" customWidth="1"/>
    <col min="3594" max="3594" width="11.625" style="267" customWidth="1"/>
    <col min="3595" max="3840" width="8.875" style="267"/>
    <col min="3841" max="3841" width="19.5" style="267" customWidth="1"/>
    <col min="3842" max="3843" width="12.125" style="267" customWidth="1"/>
    <col min="3844" max="3844" width="13.75" style="267" customWidth="1"/>
    <col min="3845" max="3845" width="14.625" style="267" customWidth="1"/>
    <col min="3846" max="3846" width="15.125" style="267" customWidth="1"/>
    <col min="3847" max="3847" width="12.25" style="267" customWidth="1"/>
    <col min="3848" max="3848" width="12.5" style="267" customWidth="1"/>
    <col min="3849" max="3849" width="12.25" style="267" customWidth="1"/>
    <col min="3850" max="3850" width="11.625" style="267" customWidth="1"/>
    <col min="3851" max="4096" width="8.875" style="267"/>
    <col min="4097" max="4097" width="19.5" style="267" customWidth="1"/>
    <col min="4098" max="4099" width="12.125" style="267" customWidth="1"/>
    <col min="4100" max="4100" width="13.75" style="267" customWidth="1"/>
    <col min="4101" max="4101" width="14.625" style="267" customWidth="1"/>
    <col min="4102" max="4102" width="15.125" style="267" customWidth="1"/>
    <col min="4103" max="4103" width="12.25" style="267" customWidth="1"/>
    <col min="4104" max="4104" width="12.5" style="267" customWidth="1"/>
    <col min="4105" max="4105" width="12.25" style="267" customWidth="1"/>
    <col min="4106" max="4106" width="11.625" style="267" customWidth="1"/>
    <col min="4107" max="4352" width="8.875" style="267"/>
    <col min="4353" max="4353" width="19.5" style="267" customWidth="1"/>
    <col min="4354" max="4355" width="12.125" style="267" customWidth="1"/>
    <col min="4356" max="4356" width="13.75" style="267" customWidth="1"/>
    <col min="4357" max="4357" width="14.625" style="267" customWidth="1"/>
    <col min="4358" max="4358" width="15.125" style="267" customWidth="1"/>
    <col min="4359" max="4359" width="12.25" style="267" customWidth="1"/>
    <col min="4360" max="4360" width="12.5" style="267" customWidth="1"/>
    <col min="4361" max="4361" width="12.25" style="267" customWidth="1"/>
    <col min="4362" max="4362" width="11.625" style="267" customWidth="1"/>
    <col min="4363" max="4608" width="8.875" style="267"/>
    <col min="4609" max="4609" width="19.5" style="267" customWidth="1"/>
    <col min="4610" max="4611" width="12.125" style="267" customWidth="1"/>
    <col min="4612" max="4612" width="13.75" style="267" customWidth="1"/>
    <col min="4613" max="4613" width="14.625" style="267" customWidth="1"/>
    <col min="4614" max="4614" width="15.125" style="267" customWidth="1"/>
    <col min="4615" max="4615" width="12.25" style="267" customWidth="1"/>
    <col min="4616" max="4616" width="12.5" style="267" customWidth="1"/>
    <col min="4617" max="4617" width="12.25" style="267" customWidth="1"/>
    <col min="4618" max="4618" width="11.625" style="267" customWidth="1"/>
    <col min="4619" max="4864" width="8.875" style="267"/>
    <col min="4865" max="4865" width="19.5" style="267" customWidth="1"/>
    <col min="4866" max="4867" width="12.125" style="267" customWidth="1"/>
    <col min="4868" max="4868" width="13.75" style="267" customWidth="1"/>
    <col min="4869" max="4869" width="14.625" style="267" customWidth="1"/>
    <col min="4870" max="4870" width="15.125" style="267" customWidth="1"/>
    <col min="4871" max="4871" width="12.25" style="267" customWidth="1"/>
    <col min="4872" max="4872" width="12.5" style="267" customWidth="1"/>
    <col min="4873" max="4873" width="12.25" style="267" customWidth="1"/>
    <col min="4874" max="4874" width="11.625" style="267" customWidth="1"/>
    <col min="4875" max="5120" width="8.875" style="267"/>
    <col min="5121" max="5121" width="19.5" style="267" customWidth="1"/>
    <col min="5122" max="5123" width="12.125" style="267" customWidth="1"/>
    <col min="5124" max="5124" width="13.75" style="267" customWidth="1"/>
    <col min="5125" max="5125" width="14.625" style="267" customWidth="1"/>
    <col min="5126" max="5126" width="15.125" style="267" customWidth="1"/>
    <col min="5127" max="5127" width="12.25" style="267" customWidth="1"/>
    <col min="5128" max="5128" width="12.5" style="267" customWidth="1"/>
    <col min="5129" max="5129" width="12.25" style="267" customWidth="1"/>
    <col min="5130" max="5130" width="11.625" style="267" customWidth="1"/>
    <col min="5131" max="5376" width="8.875" style="267"/>
    <col min="5377" max="5377" width="19.5" style="267" customWidth="1"/>
    <col min="5378" max="5379" width="12.125" style="267" customWidth="1"/>
    <col min="5380" max="5380" width="13.75" style="267" customWidth="1"/>
    <col min="5381" max="5381" width="14.625" style="267" customWidth="1"/>
    <col min="5382" max="5382" width="15.125" style="267" customWidth="1"/>
    <col min="5383" max="5383" width="12.25" style="267" customWidth="1"/>
    <col min="5384" max="5384" width="12.5" style="267" customWidth="1"/>
    <col min="5385" max="5385" width="12.25" style="267" customWidth="1"/>
    <col min="5386" max="5386" width="11.625" style="267" customWidth="1"/>
    <col min="5387" max="5632" width="8.875" style="267"/>
    <col min="5633" max="5633" width="19.5" style="267" customWidth="1"/>
    <col min="5634" max="5635" width="12.125" style="267" customWidth="1"/>
    <col min="5636" max="5636" width="13.75" style="267" customWidth="1"/>
    <col min="5637" max="5637" width="14.625" style="267" customWidth="1"/>
    <col min="5638" max="5638" width="15.125" style="267" customWidth="1"/>
    <col min="5639" max="5639" width="12.25" style="267" customWidth="1"/>
    <col min="5640" max="5640" width="12.5" style="267" customWidth="1"/>
    <col min="5641" max="5641" width="12.25" style="267" customWidth="1"/>
    <col min="5642" max="5642" width="11.625" style="267" customWidth="1"/>
    <col min="5643" max="5888" width="8.875" style="267"/>
    <col min="5889" max="5889" width="19.5" style="267" customWidth="1"/>
    <col min="5890" max="5891" width="12.125" style="267" customWidth="1"/>
    <col min="5892" max="5892" width="13.75" style="267" customWidth="1"/>
    <col min="5893" max="5893" width="14.625" style="267" customWidth="1"/>
    <col min="5894" max="5894" width="15.125" style="267" customWidth="1"/>
    <col min="5895" max="5895" width="12.25" style="267" customWidth="1"/>
    <col min="5896" max="5896" width="12.5" style="267" customWidth="1"/>
    <col min="5897" max="5897" width="12.25" style="267" customWidth="1"/>
    <col min="5898" max="5898" width="11.625" style="267" customWidth="1"/>
    <col min="5899" max="6144" width="8.875" style="267"/>
    <col min="6145" max="6145" width="19.5" style="267" customWidth="1"/>
    <col min="6146" max="6147" width="12.125" style="267" customWidth="1"/>
    <col min="6148" max="6148" width="13.75" style="267" customWidth="1"/>
    <col min="6149" max="6149" width="14.625" style="267" customWidth="1"/>
    <col min="6150" max="6150" width="15.125" style="267" customWidth="1"/>
    <col min="6151" max="6151" width="12.25" style="267" customWidth="1"/>
    <col min="6152" max="6152" width="12.5" style="267" customWidth="1"/>
    <col min="6153" max="6153" width="12.25" style="267" customWidth="1"/>
    <col min="6154" max="6154" width="11.625" style="267" customWidth="1"/>
    <col min="6155" max="6400" width="8.875" style="267"/>
    <col min="6401" max="6401" width="19.5" style="267" customWidth="1"/>
    <col min="6402" max="6403" width="12.125" style="267" customWidth="1"/>
    <col min="6404" max="6404" width="13.75" style="267" customWidth="1"/>
    <col min="6405" max="6405" width="14.625" style="267" customWidth="1"/>
    <col min="6406" max="6406" width="15.125" style="267" customWidth="1"/>
    <col min="6407" max="6407" width="12.25" style="267" customWidth="1"/>
    <col min="6408" max="6408" width="12.5" style="267" customWidth="1"/>
    <col min="6409" max="6409" width="12.25" style="267" customWidth="1"/>
    <col min="6410" max="6410" width="11.625" style="267" customWidth="1"/>
    <col min="6411" max="6656" width="8.875" style="267"/>
    <col min="6657" max="6657" width="19.5" style="267" customWidth="1"/>
    <col min="6658" max="6659" width="12.125" style="267" customWidth="1"/>
    <col min="6660" max="6660" width="13.75" style="267" customWidth="1"/>
    <col min="6661" max="6661" width="14.625" style="267" customWidth="1"/>
    <col min="6662" max="6662" width="15.125" style="267" customWidth="1"/>
    <col min="6663" max="6663" width="12.25" style="267" customWidth="1"/>
    <col min="6664" max="6664" width="12.5" style="267" customWidth="1"/>
    <col min="6665" max="6665" width="12.25" style="267" customWidth="1"/>
    <col min="6666" max="6666" width="11.625" style="267" customWidth="1"/>
    <col min="6667" max="6912" width="8.875" style="267"/>
    <col min="6913" max="6913" width="19.5" style="267" customWidth="1"/>
    <col min="6914" max="6915" width="12.125" style="267" customWidth="1"/>
    <col min="6916" max="6916" width="13.75" style="267" customWidth="1"/>
    <col min="6917" max="6917" width="14.625" style="267" customWidth="1"/>
    <col min="6918" max="6918" width="15.125" style="267" customWidth="1"/>
    <col min="6919" max="6919" width="12.25" style="267" customWidth="1"/>
    <col min="6920" max="6920" width="12.5" style="267" customWidth="1"/>
    <col min="6921" max="6921" width="12.25" style="267" customWidth="1"/>
    <col min="6922" max="6922" width="11.625" style="267" customWidth="1"/>
    <col min="6923" max="7168" width="8.875" style="267"/>
    <col min="7169" max="7169" width="19.5" style="267" customWidth="1"/>
    <col min="7170" max="7171" width="12.125" style="267" customWidth="1"/>
    <col min="7172" max="7172" width="13.75" style="267" customWidth="1"/>
    <col min="7173" max="7173" width="14.625" style="267" customWidth="1"/>
    <col min="7174" max="7174" width="15.125" style="267" customWidth="1"/>
    <col min="7175" max="7175" width="12.25" style="267" customWidth="1"/>
    <col min="7176" max="7176" width="12.5" style="267" customWidth="1"/>
    <col min="7177" max="7177" width="12.25" style="267" customWidth="1"/>
    <col min="7178" max="7178" width="11.625" style="267" customWidth="1"/>
    <col min="7179" max="7424" width="8.875" style="267"/>
    <col min="7425" max="7425" width="19.5" style="267" customWidth="1"/>
    <col min="7426" max="7427" width="12.125" style="267" customWidth="1"/>
    <col min="7428" max="7428" width="13.75" style="267" customWidth="1"/>
    <col min="7429" max="7429" width="14.625" style="267" customWidth="1"/>
    <col min="7430" max="7430" width="15.125" style="267" customWidth="1"/>
    <col min="7431" max="7431" width="12.25" style="267" customWidth="1"/>
    <col min="7432" max="7432" width="12.5" style="267" customWidth="1"/>
    <col min="7433" max="7433" width="12.25" style="267" customWidth="1"/>
    <col min="7434" max="7434" width="11.625" style="267" customWidth="1"/>
    <col min="7435" max="7680" width="8.875" style="267"/>
    <col min="7681" max="7681" width="19.5" style="267" customWidth="1"/>
    <col min="7682" max="7683" width="12.125" style="267" customWidth="1"/>
    <col min="7684" max="7684" width="13.75" style="267" customWidth="1"/>
    <col min="7685" max="7685" width="14.625" style="267" customWidth="1"/>
    <col min="7686" max="7686" width="15.125" style="267" customWidth="1"/>
    <col min="7687" max="7687" width="12.25" style="267" customWidth="1"/>
    <col min="7688" max="7688" width="12.5" style="267" customWidth="1"/>
    <col min="7689" max="7689" width="12.25" style="267" customWidth="1"/>
    <col min="7690" max="7690" width="11.625" style="267" customWidth="1"/>
    <col min="7691" max="7936" width="8.875" style="267"/>
    <col min="7937" max="7937" width="19.5" style="267" customWidth="1"/>
    <col min="7938" max="7939" width="12.125" style="267" customWidth="1"/>
    <col min="7940" max="7940" width="13.75" style="267" customWidth="1"/>
    <col min="7941" max="7941" width="14.625" style="267" customWidth="1"/>
    <col min="7942" max="7942" width="15.125" style="267" customWidth="1"/>
    <col min="7943" max="7943" width="12.25" style="267" customWidth="1"/>
    <col min="7944" max="7944" width="12.5" style="267" customWidth="1"/>
    <col min="7945" max="7945" width="12.25" style="267" customWidth="1"/>
    <col min="7946" max="7946" width="11.625" style="267" customWidth="1"/>
    <col min="7947" max="8192" width="8.875" style="267"/>
    <col min="8193" max="8193" width="19.5" style="267" customWidth="1"/>
    <col min="8194" max="8195" width="12.125" style="267" customWidth="1"/>
    <col min="8196" max="8196" width="13.75" style="267" customWidth="1"/>
    <col min="8197" max="8197" width="14.625" style="267" customWidth="1"/>
    <col min="8198" max="8198" width="15.125" style="267" customWidth="1"/>
    <col min="8199" max="8199" width="12.25" style="267" customWidth="1"/>
    <col min="8200" max="8200" width="12.5" style="267" customWidth="1"/>
    <col min="8201" max="8201" width="12.25" style="267" customWidth="1"/>
    <col min="8202" max="8202" width="11.625" style="267" customWidth="1"/>
    <col min="8203" max="8448" width="8.875" style="267"/>
    <col min="8449" max="8449" width="19.5" style="267" customWidth="1"/>
    <col min="8450" max="8451" width="12.125" style="267" customWidth="1"/>
    <col min="8452" max="8452" width="13.75" style="267" customWidth="1"/>
    <col min="8453" max="8453" width="14.625" style="267" customWidth="1"/>
    <col min="8454" max="8454" width="15.125" style="267" customWidth="1"/>
    <col min="8455" max="8455" width="12.25" style="267" customWidth="1"/>
    <col min="8456" max="8456" width="12.5" style="267" customWidth="1"/>
    <col min="8457" max="8457" width="12.25" style="267" customWidth="1"/>
    <col min="8458" max="8458" width="11.625" style="267" customWidth="1"/>
    <col min="8459" max="8704" width="8.875" style="267"/>
    <col min="8705" max="8705" width="19.5" style="267" customWidth="1"/>
    <col min="8706" max="8707" width="12.125" style="267" customWidth="1"/>
    <col min="8708" max="8708" width="13.75" style="267" customWidth="1"/>
    <col min="8709" max="8709" width="14.625" style="267" customWidth="1"/>
    <col min="8710" max="8710" width="15.125" style="267" customWidth="1"/>
    <col min="8711" max="8711" width="12.25" style="267" customWidth="1"/>
    <col min="8712" max="8712" width="12.5" style="267" customWidth="1"/>
    <col min="8713" max="8713" width="12.25" style="267" customWidth="1"/>
    <col min="8714" max="8714" width="11.625" style="267" customWidth="1"/>
    <col min="8715" max="8960" width="8.875" style="267"/>
    <col min="8961" max="8961" width="19.5" style="267" customWidth="1"/>
    <col min="8962" max="8963" width="12.125" style="267" customWidth="1"/>
    <col min="8964" max="8964" width="13.75" style="267" customWidth="1"/>
    <col min="8965" max="8965" width="14.625" style="267" customWidth="1"/>
    <col min="8966" max="8966" width="15.125" style="267" customWidth="1"/>
    <col min="8967" max="8967" width="12.25" style="267" customWidth="1"/>
    <col min="8968" max="8968" width="12.5" style="267" customWidth="1"/>
    <col min="8969" max="8969" width="12.25" style="267" customWidth="1"/>
    <col min="8970" max="8970" width="11.625" style="267" customWidth="1"/>
    <col min="8971" max="9216" width="8.875" style="267"/>
    <col min="9217" max="9217" width="19.5" style="267" customWidth="1"/>
    <col min="9218" max="9219" width="12.125" style="267" customWidth="1"/>
    <col min="9220" max="9220" width="13.75" style="267" customWidth="1"/>
    <col min="9221" max="9221" width="14.625" style="267" customWidth="1"/>
    <col min="9222" max="9222" width="15.125" style="267" customWidth="1"/>
    <col min="9223" max="9223" width="12.25" style="267" customWidth="1"/>
    <col min="9224" max="9224" width="12.5" style="267" customWidth="1"/>
    <col min="9225" max="9225" width="12.25" style="267" customWidth="1"/>
    <col min="9226" max="9226" width="11.625" style="267" customWidth="1"/>
    <col min="9227" max="9472" width="8.875" style="267"/>
    <col min="9473" max="9473" width="19.5" style="267" customWidth="1"/>
    <col min="9474" max="9475" width="12.125" style="267" customWidth="1"/>
    <col min="9476" max="9476" width="13.75" style="267" customWidth="1"/>
    <col min="9477" max="9477" width="14.625" style="267" customWidth="1"/>
    <col min="9478" max="9478" width="15.125" style="267" customWidth="1"/>
    <col min="9479" max="9479" width="12.25" style="267" customWidth="1"/>
    <col min="9480" max="9480" width="12.5" style="267" customWidth="1"/>
    <col min="9481" max="9481" width="12.25" style="267" customWidth="1"/>
    <col min="9482" max="9482" width="11.625" style="267" customWidth="1"/>
    <col min="9483" max="9728" width="8.875" style="267"/>
    <col min="9729" max="9729" width="19.5" style="267" customWidth="1"/>
    <col min="9730" max="9731" width="12.125" style="267" customWidth="1"/>
    <col min="9732" max="9732" width="13.75" style="267" customWidth="1"/>
    <col min="9733" max="9733" width="14.625" style="267" customWidth="1"/>
    <col min="9734" max="9734" width="15.125" style="267" customWidth="1"/>
    <col min="9735" max="9735" width="12.25" style="267" customWidth="1"/>
    <col min="9736" max="9736" width="12.5" style="267" customWidth="1"/>
    <col min="9737" max="9737" width="12.25" style="267" customWidth="1"/>
    <col min="9738" max="9738" width="11.625" style="267" customWidth="1"/>
    <col min="9739" max="9984" width="8.875" style="267"/>
    <col min="9985" max="9985" width="19.5" style="267" customWidth="1"/>
    <col min="9986" max="9987" width="12.125" style="267" customWidth="1"/>
    <col min="9988" max="9988" width="13.75" style="267" customWidth="1"/>
    <col min="9989" max="9989" width="14.625" style="267" customWidth="1"/>
    <col min="9990" max="9990" width="15.125" style="267" customWidth="1"/>
    <col min="9991" max="9991" width="12.25" style="267" customWidth="1"/>
    <col min="9992" max="9992" width="12.5" style="267" customWidth="1"/>
    <col min="9993" max="9993" width="12.25" style="267" customWidth="1"/>
    <col min="9994" max="9994" width="11.625" style="267" customWidth="1"/>
    <col min="9995" max="10240" width="8.875" style="267"/>
    <col min="10241" max="10241" width="19.5" style="267" customWidth="1"/>
    <col min="10242" max="10243" width="12.125" style="267" customWidth="1"/>
    <col min="10244" max="10244" width="13.75" style="267" customWidth="1"/>
    <col min="10245" max="10245" width="14.625" style="267" customWidth="1"/>
    <col min="10246" max="10246" width="15.125" style="267" customWidth="1"/>
    <col min="10247" max="10247" width="12.25" style="267" customWidth="1"/>
    <col min="10248" max="10248" width="12.5" style="267" customWidth="1"/>
    <col min="10249" max="10249" width="12.25" style="267" customWidth="1"/>
    <col min="10250" max="10250" width="11.625" style="267" customWidth="1"/>
    <col min="10251" max="10496" width="8.875" style="267"/>
    <col min="10497" max="10497" width="19.5" style="267" customWidth="1"/>
    <col min="10498" max="10499" width="12.125" style="267" customWidth="1"/>
    <col min="10500" max="10500" width="13.75" style="267" customWidth="1"/>
    <col min="10501" max="10501" width="14.625" style="267" customWidth="1"/>
    <col min="10502" max="10502" width="15.125" style="267" customWidth="1"/>
    <col min="10503" max="10503" width="12.25" style="267" customWidth="1"/>
    <col min="10504" max="10504" width="12.5" style="267" customWidth="1"/>
    <col min="10505" max="10505" width="12.25" style="267" customWidth="1"/>
    <col min="10506" max="10506" width="11.625" style="267" customWidth="1"/>
    <col min="10507" max="10752" width="8.875" style="267"/>
    <col min="10753" max="10753" width="19.5" style="267" customWidth="1"/>
    <col min="10754" max="10755" width="12.125" style="267" customWidth="1"/>
    <col min="10756" max="10756" width="13.75" style="267" customWidth="1"/>
    <col min="10757" max="10757" width="14.625" style="267" customWidth="1"/>
    <col min="10758" max="10758" width="15.125" style="267" customWidth="1"/>
    <col min="10759" max="10759" width="12.25" style="267" customWidth="1"/>
    <col min="10760" max="10760" width="12.5" style="267" customWidth="1"/>
    <col min="10761" max="10761" width="12.25" style="267" customWidth="1"/>
    <col min="10762" max="10762" width="11.625" style="267" customWidth="1"/>
    <col min="10763" max="11008" width="8.875" style="267"/>
    <col min="11009" max="11009" width="19.5" style="267" customWidth="1"/>
    <col min="11010" max="11011" width="12.125" style="267" customWidth="1"/>
    <col min="11012" max="11012" width="13.75" style="267" customWidth="1"/>
    <col min="11013" max="11013" width="14.625" style="267" customWidth="1"/>
    <col min="11014" max="11014" width="15.125" style="267" customWidth="1"/>
    <col min="11015" max="11015" width="12.25" style="267" customWidth="1"/>
    <col min="11016" max="11016" width="12.5" style="267" customWidth="1"/>
    <col min="11017" max="11017" width="12.25" style="267" customWidth="1"/>
    <col min="11018" max="11018" width="11.625" style="267" customWidth="1"/>
    <col min="11019" max="11264" width="8.875" style="267"/>
    <col min="11265" max="11265" width="19.5" style="267" customWidth="1"/>
    <col min="11266" max="11267" width="12.125" style="267" customWidth="1"/>
    <col min="11268" max="11268" width="13.75" style="267" customWidth="1"/>
    <col min="11269" max="11269" width="14.625" style="267" customWidth="1"/>
    <col min="11270" max="11270" width="15.125" style="267" customWidth="1"/>
    <col min="11271" max="11271" width="12.25" style="267" customWidth="1"/>
    <col min="11272" max="11272" width="12.5" style="267" customWidth="1"/>
    <col min="11273" max="11273" width="12.25" style="267" customWidth="1"/>
    <col min="11274" max="11274" width="11.625" style="267" customWidth="1"/>
    <col min="11275" max="11520" width="8.875" style="267"/>
    <col min="11521" max="11521" width="19.5" style="267" customWidth="1"/>
    <col min="11522" max="11523" width="12.125" style="267" customWidth="1"/>
    <col min="11524" max="11524" width="13.75" style="267" customWidth="1"/>
    <col min="11525" max="11525" width="14.625" style="267" customWidth="1"/>
    <col min="11526" max="11526" width="15.125" style="267" customWidth="1"/>
    <col min="11527" max="11527" width="12.25" style="267" customWidth="1"/>
    <col min="11528" max="11528" width="12.5" style="267" customWidth="1"/>
    <col min="11529" max="11529" width="12.25" style="267" customWidth="1"/>
    <col min="11530" max="11530" width="11.625" style="267" customWidth="1"/>
    <col min="11531" max="11776" width="8.875" style="267"/>
    <col min="11777" max="11777" width="19.5" style="267" customWidth="1"/>
    <col min="11778" max="11779" width="12.125" style="267" customWidth="1"/>
    <col min="11780" max="11780" width="13.75" style="267" customWidth="1"/>
    <col min="11781" max="11781" width="14.625" style="267" customWidth="1"/>
    <col min="11782" max="11782" width="15.125" style="267" customWidth="1"/>
    <col min="11783" max="11783" width="12.25" style="267" customWidth="1"/>
    <col min="11784" max="11784" width="12.5" style="267" customWidth="1"/>
    <col min="11785" max="11785" width="12.25" style="267" customWidth="1"/>
    <col min="11786" max="11786" width="11.625" style="267" customWidth="1"/>
    <col min="11787" max="12032" width="8.875" style="267"/>
    <col min="12033" max="12033" width="19.5" style="267" customWidth="1"/>
    <col min="12034" max="12035" width="12.125" style="267" customWidth="1"/>
    <col min="12036" max="12036" width="13.75" style="267" customWidth="1"/>
    <col min="12037" max="12037" width="14.625" style="267" customWidth="1"/>
    <col min="12038" max="12038" width="15.125" style="267" customWidth="1"/>
    <col min="12039" max="12039" width="12.25" style="267" customWidth="1"/>
    <col min="12040" max="12040" width="12.5" style="267" customWidth="1"/>
    <col min="12041" max="12041" width="12.25" style="267" customWidth="1"/>
    <col min="12042" max="12042" width="11.625" style="267" customWidth="1"/>
    <col min="12043" max="12288" width="8.875" style="267"/>
    <col min="12289" max="12289" width="19.5" style="267" customWidth="1"/>
    <col min="12290" max="12291" width="12.125" style="267" customWidth="1"/>
    <col min="12292" max="12292" width="13.75" style="267" customWidth="1"/>
    <col min="12293" max="12293" width="14.625" style="267" customWidth="1"/>
    <col min="12294" max="12294" width="15.125" style="267" customWidth="1"/>
    <col min="12295" max="12295" width="12.25" style="267" customWidth="1"/>
    <col min="12296" max="12296" width="12.5" style="267" customWidth="1"/>
    <col min="12297" max="12297" width="12.25" style="267" customWidth="1"/>
    <col min="12298" max="12298" width="11.625" style="267" customWidth="1"/>
    <col min="12299" max="12544" width="8.875" style="267"/>
    <col min="12545" max="12545" width="19.5" style="267" customWidth="1"/>
    <col min="12546" max="12547" width="12.125" style="267" customWidth="1"/>
    <col min="12548" max="12548" width="13.75" style="267" customWidth="1"/>
    <col min="12549" max="12549" width="14.625" style="267" customWidth="1"/>
    <col min="12550" max="12550" width="15.125" style="267" customWidth="1"/>
    <col min="12551" max="12551" width="12.25" style="267" customWidth="1"/>
    <col min="12552" max="12552" width="12.5" style="267" customWidth="1"/>
    <col min="12553" max="12553" width="12.25" style="267" customWidth="1"/>
    <col min="12554" max="12554" width="11.625" style="267" customWidth="1"/>
    <col min="12555" max="12800" width="8.875" style="267"/>
    <col min="12801" max="12801" width="19.5" style="267" customWidth="1"/>
    <col min="12802" max="12803" width="12.125" style="267" customWidth="1"/>
    <col min="12804" max="12804" width="13.75" style="267" customWidth="1"/>
    <col min="12805" max="12805" width="14.625" style="267" customWidth="1"/>
    <col min="12806" max="12806" width="15.125" style="267" customWidth="1"/>
    <col min="12807" max="12807" width="12.25" style="267" customWidth="1"/>
    <col min="12808" max="12808" width="12.5" style="267" customWidth="1"/>
    <col min="12809" max="12809" width="12.25" style="267" customWidth="1"/>
    <col min="12810" max="12810" width="11.625" style="267" customWidth="1"/>
    <col min="12811" max="13056" width="8.875" style="267"/>
    <col min="13057" max="13057" width="19.5" style="267" customWidth="1"/>
    <col min="13058" max="13059" width="12.125" style="267" customWidth="1"/>
    <col min="13060" max="13060" width="13.75" style="267" customWidth="1"/>
    <col min="13061" max="13061" width="14.625" style="267" customWidth="1"/>
    <col min="13062" max="13062" width="15.125" style="267" customWidth="1"/>
    <col min="13063" max="13063" width="12.25" style="267" customWidth="1"/>
    <col min="13064" max="13064" width="12.5" style="267" customWidth="1"/>
    <col min="13065" max="13065" width="12.25" style="267" customWidth="1"/>
    <col min="13066" max="13066" width="11.625" style="267" customWidth="1"/>
    <col min="13067" max="13312" width="8.875" style="267"/>
    <col min="13313" max="13313" width="19.5" style="267" customWidth="1"/>
    <col min="13314" max="13315" width="12.125" style="267" customWidth="1"/>
    <col min="13316" max="13316" width="13.75" style="267" customWidth="1"/>
    <col min="13317" max="13317" width="14.625" style="267" customWidth="1"/>
    <col min="13318" max="13318" width="15.125" style="267" customWidth="1"/>
    <col min="13319" max="13319" width="12.25" style="267" customWidth="1"/>
    <col min="13320" max="13320" width="12.5" style="267" customWidth="1"/>
    <col min="13321" max="13321" width="12.25" style="267" customWidth="1"/>
    <col min="13322" max="13322" width="11.625" style="267" customWidth="1"/>
    <col min="13323" max="13568" width="8.875" style="267"/>
    <col min="13569" max="13569" width="19.5" style="267" customWidth="1"/>
    <col min="13570" max="13571" width="12.125" style="267" customWidth="1"/>
    <col min="13572" max="13572" width="13.75" style="267" customWidth="1"/>
    <col min="13573" max="13573" width="14.625" style="267" customWidth="1"/>
    <col min="13574" max="13574" width="15.125" style="267" customWidth="1"/>
    <col min="13575" max="13575" width="12.25" style="267" customWidth="1"/>
    <col min="13576" max="13576" width="12.5" style="267" customWidth="1"/>
    <col min="13577" max="13577" width="12.25" style="267" customWidth="1"/>
    <col min="13578" max="13578" width="11.625" style="267" customWidth="1"/>
    <col min="13579" max="13824" width="8.875" style="267"/>
    <col min="13825" max="13825" width="19.5" style="267" customWidth="1"/>
    <col min="13826" max="13827" width="12.125" style="267" customWidth="1"/>
    <col min="13828" max="13828" width="13.75" style="267" customWidth="1"/>
    <col min="13829" max="13829" width="14.625" style="267" customWidth="1"/>
    <col min="13830" max="13830" width="15.125" style="267" customWidth="1"/>
    <col min="13831" max="13831" width="12.25" style="267" customWidth="1"/>
    <col min="13832" max="13832" width="12.5" style="267" customWidth="1"/>
    <col min="13833" max="13833" width="12.25" style="267" customWidth="1"/>
    <col min="13834" max="13834" width="11.625" style="267" customWidth="1"/>
    <col min="13835" max="14080" width="8.875" style="267"/>
    <col min="14081" max="14081" width="19.5" style="267" customWidth="1"/>
    <col min="14082" max="14083" width="12.125" style="267" customWidth="1"/>
    <col min="14084" max="14084" width="13.75" style="267" customWidth="1"/>
    <col min="14085" max="14085" width="14.625" style="267" customWidth="1"/>
    <col min="14086" max="14086" width="15.125" style="267" customWidth="1"/>
    <col min="14087" max="14087" width="12.25" style="267" customWidth="1"/>
    <col min="14088" max="14088" width="12.5" style="267" customWidth="1"/>
    <col min="14089" max="14089" width="12.25" style="267" customWidth="1"/>
    <col min="14090" max="14090" width="11.625" style="267" customWidth="1"/>
    <col min="14091" max="14336" width="8.875" style="267"/>
    <col min="14337" max="14337" width="19.5" style="267" customWidth="1"/>
    <col min="14338" max="14339" width="12.125" style="267" customWidth="1"/>
    <col min="14340" max="14340" width="13.75" style="267" customWidth="1"/>
    <col min="14341" max="14341" width="14.625" style="267" customWidth="1"/>
    <col min="14342" max="14342" width="15.125" style="267" customWidth="1"/>
    <col min="14343" max="14343" width="12.25" style="267" customWidth="1"/>
    <col min="14344" max="14344" width="12.5" style="267" customWidth="1"/>
    <col min="14345" max="14345" width="12.25" style="267" customWidth="1"/>
    <col min="14346" max="14346" width="11.625" style="267" customWidth="1"/>
    <col min="14347" max="14592" width="8.875" style="267"/>
    <col min="14593" max="14593" width="19.5" style="267" customWidth="1"/>
    <col min="14594" max="14595" width="12.125" style="267" customWidth="1"/>
    <col min="14596" max="14596" width="13.75" style="267" customWidth="1"/>
    <col min="14597" max="14597" width="14.625" style="267" customWidth="1"/>
    <col min="14598" max="14598" width="15.125" style="267" customWidth="1"/>
    <col min="14599" max="14599" width="12.25" style="267" customWidth="1"/>
    <col min="14600" max="14600" width="12.5" style="267" customWidth="1"/>
    <col min="14601" max="14601" width="12.25" style="267" customWidth="1"/>
    <col min="14602" max="14602" width="11.625" style="267" customWidth="1"/>
    <col min="14603" max="14848" width="8.875" style="267"/>
    <col min="14849" max="14849" width="19.5" style="267" customWidth="1"/>
    <col min="14850" max="14851" width="12.125" style="267" customWidth="1"/>
    <col min="14852" max="14852" width="13.75" style="267" customWidth="1"/>
    <col min="14853" max="14853" width="14.625" style="267" customWidth="1"/>
    <col min="14854" max="14854" width="15.125" style="267" customWidth="1"/>
    <col min="14855" max="14855" width="12.25" style="267" customWidth="1"/>
    <col min="14856" max="14856" width="12.5" style="267" customWidth="1"/>
    <col min="14857" max="14857" width="12.25" style="267" customWidth="1"/>
    <col min="14858" max="14858" width="11.625" style="267" customWidth="1"/>
    <col min="14859" max="15104" width="8.875" style="267"/>
    <col min="15105" max="15105" width="19.5" style="267" customWidth="1"/>
    <col min="15106" max="15107" width="12.125" style="267" customWidth="1"/>
    <col min="15108" max="15108" width="13.75" style="267" customWidth="1"/>
    <col min="15109" max="15109" width="14.625" style="267" customWidth="1"/>
    <col min="15110" max="15110" width="15.125" style="267" customWidth="1"/>
    <col min="15111" max="15111" width="12.25" style="267" customWidth="1"/>
    <col min="15112" max="15112" width="12.5" style="267" customWidth="1"/>
    <col min="15113" max="15113" width="12.25" style="267" customWidth="1"/>
    <col min="15114" max="15114" width="11.625" style="267" customWidth="1"/>
    <col min="15115" max="15360" width="8.875" style="267"/>
    <col min="15361" max="15361" width="19.5" style="267" customWidth="1"/>
    <col min="15362" max="15363" width="12.125" style="267" customWidth="1"/>
    <col min="15364" max="15364" width="13.75" style="267" customWidth="1"/>
    <col min="15365" max="15365" width="14.625" style="267" customWidth="1"/>
    <col min="15366" max="15366" width="15.125" style="267" customWidth="1"/>
    <col min="15367" max="15367" width="12.25" style="267" customWidth="1"/>
    <col min="15368" max="15368" width="12.5" style="267" customWidth="1"/>
    <col min="15369" max="15369" width="12.25" style="267" customWidth="1"/>
    <col min="15370" max="15370" width="11.625" style="267" customWidth="1"/>
    <col min="15371" max="15616" width="8.875" style="267"/>
    <col min="15617" max="15617" width="19.5" style="267" customWidth="1"/>
    <col min="15618" max="15619" width="12.125" style="267" customWidth="1"/>
    <col min="15620" max="15620" width="13.75" style="267" customWidth="1"/>
    <col min="15621" max="15621" width="14.625" style="267" customWidth="1"/>
    <col min="15622" max="15622" width="15.125" style="267" customWidth="1"/>
    <col min="15623" max="15623" width="12.25" style="267" customWidth="1"/>
    <col min="15624" max="15624" width="12.5" style="267" customWidth="1"/>
    <col min="15625" max="15625" width="12.25" style="267" customWidth="1"/>
    <col min="15626" max="15626" width="11.625" style="267" customWidth="1"/>
    <col min="15627" max="15872" width="8.875" style="267"/>
    <col min="15873" max="15873" width="19.5" style="267" customWidth="1"/>
    <col min="15874" max="15875" width="12.125" style="267" customWidth="1"/>
    <col min="15876" max="15876" width="13.75" style="267" customWidth="1"/>
    <col min="15877" max="15877" width="14.625" style="267" customWidth="1"/>
    <col min="15878" max="15878" width="15.125" style="267" customWidth="1"/>
    <col min="15879" max="15879" width="12.25" style="267" customWidth="1"/>
    <col min="15880" max="15880" width="12.5" style="267" customWidth="1"/>
    <col min="15881" max="15881" width="12.25" style="267" customWidth="1"/>
    <col min="15882" max="15882" width="11.625" style="267" customWidth="1"/>
    <col min="15883" max="16128" width="8.875" style="267"/>
    <col min="16129" max="16129" width="19.5" style="267" customWidth="1"/>
    <col min="16130" max="16131" width="12.125" style="267" customWidth="1"/>
    <col min="16132" max="16132" width="13.75" style="267" customWidth="1"/>
    <col min="16133" max="16133" width="14.625" style="267" customWidth="1"/>
    <col min="16134" max="16134" width="15.125" style="267" customWidth="1"/>
    <col min="16135" max="16135" width="12.25" style="267" customWidth="1"/>
    <col min="16136" max="16136" width="12.5" style="267" customWidth="1"/>
    <col min="16137" max="16137" width="12.25" style="267" customWidth="1"/>
    <col min="16138" max="16138" width="11.625" style="267" customWidth="1"/>
    <col min="16139" max="16384" width="8.875" style="267"/>
  </cols>
  <sheetData>
    <row r="1" spans="1:10" ht="19.5">
      <c r="A1" s="262" t="s">
        <v>497</v>
      </c>
      <c r="B1" s="263"/>
      <c r="C1" s="264"/>
      <c r="D1" s="265"/>
      <c r="E1" s="263"/>
      <c r="F1" s="264"/>
      <c r="G1" s="266"/>
    </row>
    <row r="2" spans="1:10" ht="16.5" customHeight="1">
      <c r="G2" s="270"/>
    </row>
    <row r="3" spans="1:10" ht="17.25">
      <c r="A3" s="271" t="s">
        <v>157</v>
      </c>
      <c r="B3" s="272"/>
      <c r="C3" s="272"/>
      <c r="D3" s="272"/>
      <c r="E3" s="273"/>
      <c r="F3" s="273"/>
      <c r="G3" s="273"/>
      <c r="H3" s="273"/>
      <c r="I3" s="273"/>
      <c r="J3" s="274"/>
    </row>
    <row r="4" spans="1:10" ht="17.25">
      <c r="A4" s="275" t="s">
        <v>158</v>
      </c>
      <c r="B4" s="276"/>
      <c r="C4" s="276"/>
      <c r="D4" s="276"/>
      <c r="E4" s="277"/>
      <c r="F4" s="277"/>
      <c r="G4" s="277"/>
      <c r="H4" s="277"/>
      <c r="I4" s="277"/>
      <c r="J4" s="278"/>
    </row>
    <row r="5" spans="1:10">
      <c r="A5" s="70" t="s">
        <v>493</v>
      </c>
      <c r="B5" s="8" t="s">
        <v>420</v>
      </c>
      <c r="C5" s="71" t="s">
        <v>421</v>
      </c>
      <c r="D5" s="72" t="s">
        <v>159</v>
      </c>
      <c r="E5" s="8" t="s">
        <v>420</v>
      </c>
      <c r="F5" s="71" t="s">
        <v>421</v>
      </c>
      <c r="G5" s="74" t="s">
        <v>160</v>
      </c>
      <c r="H5" s="8" t="s">
        <v>420</v>
      </c>
      <c r="I5" s="71" t="s">
        <v>421</v>
      </c>
      <c r="J5" s="202" t="s">
        <v>37</v>
      </c>
    </row>
    <row r="6" spans="1:10">
      <c r="A6" s="280"/>
      <c r="B6" s="279" t="s">
        <v>33</v>
      </c>
      <c r="C6" s="489" t="s">
        <v>416</v>
      </c>
      <c r="D6" s="493" t="s">
        <v>2</v>
      </c>
      <c r="E6" s="281" t="s">
        <v>34</v>
      </c>
      <c r="F6" s="494" t="s">
        <v>417</v>
      </c>
      <c r="G6" s="493" t="s">
        <v>2</v>
      </c>
      <c r="H6" s="282" t="s">
        <v>36</v>
      </c>
      <c r="I6" s="496" t="s">
        <v>418</v>
      </c>
      <c r="J6" s="493" t="s">
        <v>2</v>
      </c>
    </row>
    <row r="7" spans="1:10">
      <c r="A7" s="283" t="s">
        <v>5</v>
      </c>
      <c r="B7" s="284"/>
      <c r="C7" s="81"/>
      <c r="D7" s="205"/>
      <c r="E7" s="285"/>
      <c r="F7" s="81"/>
      <c r="G7" s="495"/>
      <c r="H7" s="286"/>
      <c r="I7" s="84"/>
      <c r="J7" s="206"/>
    </row>
    <row r="8" spans="1:10">
      <c r="A8" s="283" t="s">
        <v>6</v>
      </c>
      <c r="B8" s="287">
        <f>SUM(B9:B11)</f>
        <v>104393</v>
      </c>
      <c r="C8" s="490">
        <v>168119</v>
      </c>
      <c r="D8" s="499">
        <f>IF(C8,(B8-C8)/C8,0)</f>
        <v>-0.37905293274406821</v>
      </c>
      <c r="E8" s="288">
        <f>SUM(E9:E11)</f>
        <v>220949775</v>
      </c>
      <c r="F8" s="85">
        <v>294824268</v>
      </c>
      <c r="G8" s="498">
        <f>IF(F8,(E8-F8)/F8,0)</f>
        <v>-0.25057127590324418</v>
      </c>
      <c r="H8" s="87">
        <f>IF(B8,E8/B8,0)</f>
        <v>2116.5190673704174</v>
      </c>
      <c r="I8" s="88">
        <f>IF(C8,F8/C8,0)</f>
        <v>1753.6641783498594</v>
      </c>
      <c r="J8" s="500">
        <f t="shared" ref="J8:J64" si="0">IF(I8,(H8-I8)/I8,0)</f>
        <v>0.20691241430385635</v>
      </c>
    </row>
    <row r="9" spans="1:10">
      <c r="A9" s="289" t="s">
        <v>163</v>
      </c>
      <c r="B9" s="290">
        <f>電動輔助自行車!E9</f>
        <v>92888</v>
      </c>
      <c r="C9" s="89">
        <v>155640</v>
      </c>
      <c r="D9" s="499">
        <f t="shared" ref="D9:D64" si="1">IF(C9,(B9-C9)/C9,0)</f>
        <v>-0.40318684142893857</v>
      </c>
      <c r="E9" s="291">
        <f>電動輔助自行車!G9</f>
        <v>197472964</v>
      </c>
      <c r="F9" s="90">
        <v>268191687</v>
      </c>
      <c r="G9" s="498">
        <f t="shared" ref="G9:G64" si="2">IF(F9,(E9-F9)/F9,0)</f>
        <v>-0.26368722979843889</v>
      </c>
      <c r="H9" s="87">
        <f t="shared" ref="H9:H11" si="3">IF(B9,E9/B9,0)</f>
        <v>2125.925458616829</v>
      </c>
      <c r="I9" s="88">
        <f t="shared" ref="I9:I11" si="4">IF(C9,F9/C9,0)</f>
        <v>1723.1539899768698</v>
      </c>
      <c r="J9" s="500">
        <f t="shared" si="0"/>
        <v>0.23374084439508841</v>
      </c>
    </row>
    <row r="10" spans="1:10">
      <c r="A10" s="292" t="s">
        <v>7</v>
      </c>
      <c r="B10" s="290">
        <f>電動輔助自行車!E10</f>
        <v>10722</v>
      </c>
      <c r="C10" s="89">
        <v>10540</v>
      </c>
      <c r="D10" s="499">
        <f t="shared" si="1"/>
        <v>1.7267552182163189E-2</v>
      </c>
      <c r="E10" s="291">
        <f>電動輔助自行車!G10</f>
        <v>21836381</v>
      </c>
      <c r="F10" s="90">
        <v>22054075</v>
      </c>
      <c r="G10" s="498">
        <f t="shared" si="2"/>
        <v>-9.8709195466144019E-3</v>
      </c>
      <c r="H10" s="87">
        <f t="shared" si="3"/>
        <v>2036.5958776347695</v>
      </c>
      <c r="I10" s="88">
        <f t="shared" si="4"/>
        <v>2092.416982922201</v>
      </c>
      <c r="J10" s="500">
        <f t="shared" si="0"/>
        <v>-2.66778112312363E-2</v>
      </c>
    </row>
    <row r="11" spans="1:10">
      <c r="A11" s="292" t="s">
        <v>8</v>
      </c>
      <c r="B11" s="290">
        <f>電動輔助自行車!E11</f>
        <v>783</v>
      </c>
      <c r="C11" s="89">
        <v>1939</v>
      </c>
      <c r="D11" s="499">
        <f t="shared" si="1"/>
        <v>-0.59618359979370805</v>
      </c>
      <c r="E11" s="291">
        <f>電動輔助自行車!G11</f>
        <v>1640430</v>
      </c>
      <c r="F11" s="90">
        <v>4578506</v>
      </c>
      <c r="G11" s="498">
        <f t="shared" si="2"/>
        <v>-0.64171063661377747</v>
      </c>
      <c r="H11" s="87">
        <f t="shared" si="3"/>
        <v>2095.0574712643679</v>
      </c>
      <c r="I11" s="88">
        <f t="shared" si="4"/>
        <v>2361.2717895822589</v>
      </c>
      <c r="J11" s="500">
        <f t="shared" si="0"/>
        <v>-0.11274192132070823</v>
      </c>
    </row>
    <row r="12" spans="1:10">
      <c r="A12" s="292"/>
      <c r="B12" s="290"/>
      <c r="C12" s="491"/>
      <c r="D12" s="499"/>
      <c r="E12" s="291"/>
      <c r="F12" s="90"/>
      <c r="G12" s="498"/>
      <c r="H12" s="87"/>
      <c r="I12" s="88"/>
      <c r="J12" s="500"/>
    </row>
    <row r="13" spans="1:10">
      <c r="A13" s="293" t="s">
        <v>9</v>
      </c>
      <c r="B13" s="294">
        <f>SUM(B14:B40)</f>
        <v>316178</v>
      </c>
      <c r="C13" s="492">
        <v>344856</v>
      </c>
      <c r="D13" s="499">
        <f t="shared" si="1"/>
        <v>-8.3159347669752012E-2</v>
      </c>
      <c r="E13" s="294">
        <f>SUM(E14:E40)</f>
        <v>473054136</v>
      </c>
      <c r="F13" s="91">
        <v>433701420</v>
      </c>
      <c r="G13" s="498">
        <f t="shared" si="2"/>
        <v>9.0736885297723946E-2</v>
      </c>
      <c r="H13" s="87">
        <f t="shared" ref="H13:H18" si="5">IF(B13,E13/B13,0)</f>
        <v>1496.1639835788701</v>
      </c>
      <c r="I13" s="88">
        <f t="shared" ref="I13:I18" si="6">IF(C13,F13/C13,0)</f>
        <v>1257.630489247686</v>
      </c>
      <c r="J13" s="500">
        <f t="shared" si="0"/>
        <v>0.18966898176417044</v>
      </c>
    </row>
    <row r="14" spans="1:10">
      <c r="A14" s="444" t="s">
        <v>246</v>
      </c>
      <c r="B14" s="291">
        <f>電動輔助自行車!E14</f>
        <v>189109</v>
      </c>
      <c r="C14" s="89">
        <v>208300</v>
      </c>
      <c r="D14" s="499">
        <f t="shared" si="1"/>
        <v>-9.2131541046567456E-2</v>
      </c>
      <c r="E14" s="291">
        <f>電動輔助自行車!G14</f>
        <v>299644484</v>
      </c>
      <c r="F14" s="90">
        <v>283479520</v>
      </c>
      <c r="G14" s="498">
        <f t="shared" si="2"/>
        <v>5.702339273045192E-2</v>
      </c>
      <c r="H14" s="87">
        <f t="shared" si="5"/>
        <v>1584.5067342114864</v>
      </c>
      <c r="I14" s="88">
        <f t="shared" si="6"/>
        <v>1360.9194431108976</v>
      </c>
      <c r="J14" s="500">
        <f t="shared" si="0"/>
        <v>0.16429134893502237</v>
      </c>
    </row>
    <row r="15" spans="1:10">
      <c r="A15" s="444" t="s">
        <v>247</v>
      </c>
      <c r="B15" s="291">
        <f>電動輔助自行車!E15</f>
        <v>51120</v>
      </c>
      <c r="C15" s="89">
        <v>64545</v>
      </c>
      <c r="D15" s="499">
        <f t="shared" si="1"/>
        <v>-0.20799442249593306</v>
      </c>
      <c r="E15" s="291">
        <f>電動輔助自行車!G15</f>
        <v>49584056</v>
      </c>
      <c r="F15" s="90">
        <v>59944773</v>
      </c>
      <c r="G15" s="498">
        <f t="shared" si="2"/>
        <v>-0.17283770513235575</v>
      </c>
      <c r="H15" s="87">
        <f t="shared" si="5"/>
        <v>969.95414710485136</v>
      </c>
      <c r="I15" s="88">
        <f t="shared" si="6"/>
        <v>928.72837555194053</v>
      </c>
      <c r="J15" s="500">
        <f t="shared" si="0"/>
        <v>4.4389482046793792E-2</v>
      </c>
    </row>
    <row r="16" spans="1:10">
      <c r="A16" s="445" t="s">
        <v>10</v>
      </c>
      <c r="B16" s="291">
        <f>電動輔助自行車!E16</f>
        <v>6767</v>
      </c>
      <c r="C16" s="89">
        <v>4610</v>
      </c>
      <c r="D16" s="499">
        <f t="shared" si="1"/>
        <v>0.4678958785249458</v>
      </c>
      <c r="E16" s="291">
        <f>電動輔助自行車!G16</f>
        <v>11578841</v>
      </c>
      <c r="F16" s="90">
        <v>6928832</v>
      </c>
      <c r="G16" s="498">
        <f t="shared" si="2"/>
        <v>0.67111008031368058</v>
      </c>
      <c r="H16" s="87">
        <f t="shared" si="5"/>
        <v>1711.0744790896999</v>
      </c>
      <c r="I16" s="88">
        <f t="shared" si="6"/>
        <v>1503.0004338394795</v>
      </c>
      <c r="J16" s="500">
        <f t="shared" si="0"/>
        <v>0.13843911190277328</v>
      </c>
    </row>
    <row r="17" spans="1:10">
      <c r="A17" s="444" t="s">
        <v>248</v>
      </c>
      <c r="B17" s="291">
        <f>電動輔助自行車!E17</f>
        <v>15343</v>
      </c>
      <c r="C17" s="89">
        <v>16689</v>
      </c>
      <c r="D17" s="499">
        <f t="shared" si="1"/>
        <v>-8.0651926418599071E-2</v>
      </c>
      <c r="E17" s="291">
        <f>電動輔助自行車!G17</f>
        <v>20197486</v>
      </c>
      <c r="F17" s="90">
        <v>18900876</v>
      </c>
      <c r="G17" s="498">
        <f t="shared" si="2"/>
        <v>6.8600524123855422E-2</v>
      </c>
      <c r="H17" s="87">
        <f t="shared" si="5"/>
        <v>1316.3974450889657</v>
      </c>
      <c r="I17" s="88">
        <f t="shared" si="6"/>
        <v>1132.5349631493798</v>
      </c>
      <c r="J17" s="500">
        <f t="shared" si="0"/>
        <v>0.16234596539809845</v>
      </c>
    </row>
    <row r="18" spans="1:10">
      <c r="A18" s="445" t="s">
        <v>11</v>
      </c>
      <c r="B18" s="291">
        <f>電動輔助自行車!E18</f>
        <v>7224</v>
      </c>
      <c r="C18" s="89">
        <v>18716</v>
      </c>
      <c r="D18" s="499">
        <f t="shared" si="1"/>
        <v>-0.61402008976276978</v>
      </c>
      <c r="E18" s="291">
        <f>電動輔助自行車!G18</f>
        <v>16186985</v>
      </c>
      <c r="F18" s="90">
        <v>38733381</v>
      </c>
      <c r="G18" s="498">
        <f t="shared" si="2"/>
        <v>-0.58209212358714568</v>
      </c>
      <c r="H18" s="87">
        <f t="shared" si="5"/>
        <v>2240.7232834994461</v>
      </c>
      <c r="I18" s="88">
        <f t="shared" si="6"/>
        <v>2069.5330733062619</v>
      </c>
      <c r="J18" s="500">
        <f t="shared" si="0"/>
        <v>8.2719243486016225E-2</v>
      </c>
    </row>
    <row r="19" spans="1:10">
      <c r="A19" s="445" t="s">
        <v>12</v>
      </c>
      <c r="B19" s="291">
        <f>電動輔助自行車!E19</f>
        <v>7376</v>
      </c>
      <c r="C19" s="89">
        <v>1972</v>
      </c>
      <c r="D19" s="499">
        <f t="shared" si="1"/>
        <v>2.7403651115618661</v>
      </c>
      <c r="E19" s="291">
        <f>電動輔助自行車!G19</f>
        <v>13131667</v>
      </c>
      <c r="F19" s="90">
        <v>3431902</v>
      </c>
      <c r="G19" s="498">
        <f t="shared" si="2"/>
        <v>2.8263525590182939</v>
      </c>
      <c r="H19" s="87">
        <f>IF(B19,E19/B19,0)</f>
        <v>1780.3236171366593</v>
      </c>
      <c r="I19" s="88">
        <f>IF(C19,F19/C19,0)</f>
        <v>1740.3154158215011</v>
      </c>
      <c r="J19" s="500">
        <f t="shared" si="0"/>
        <v>2.2989051841658642E-2</v>
      </c>
    </row>
    <row r="20" spans="1:10">
      <c r="A20" s="444" t="s">
        <v>250</v>
      </c>
      <c r="B20" s="291">
        <f>電動輔助自行車!E20</f>
        <v>7028</v>
      </c>
      <c r="C20" s="89">
        <v>5518</v>
      </c>
      <c r="D20" s="499">
        <f t="shared" si="1"/>
        <v>0.27364987314244293</v>
      </c>
      <c r="E20" s="291">
        <f>電動輔助自行車!G20</f>
        <v>9827937</v>
      </c>
      <c r="F20" s="90">
        <v>7810262</v>
      </c>
      <c r="G20" s="498">
        <f t="shared" si="2"/>
        <v>0.2583364040796583</v>
      </c>
      <c r="H20" s="87">
        <f t="shared" ref="H20:H33" si="7">IF(B20,E20/B20,0)</f>
        <v>1398.3974103585658</v>
      </c>
      <c r="I20" s="88">
        <f t="shared" ref="I20:I33" si="8">IF(C20,F20/C20,0)</f>
        <v>1415.4153678869156</v>
      </c>
      <c r="J20" s="500">
        <f t="shared" si="0"/>
        <v>-1.2023295715487435E-2</v>
      </c>
    </row>
    <row r="21" spans="1:10">
      <c r="A21" s="445" t="s">
        <v>13</v>
      </c>
      <c r="B21" s="291">
        <f>電動輔助自行車!E21</f>
        <v>57</v>
      </c>
      <c r="C21" s="89">
        <v>0</v>
      </c>
      <c r="D21" s="499">
        <f t="shared" si="1"/>
        <v>0</v>
      </c>
      <c r="E21" s="291">
        <f>電動輔助自行車!G21</f>
        <v>122172</v>
      </c>
      <c r="F21" s="90">
        <v>0</v>
      </c>
      <c r="G21" s="498">
        <f t="shared" si="2"/>
        <v>0</v>
      </c>
      <c r="H21" s="87">
        <f t="shared" si="7"/>
        <v>2143.3684210526317</v>
      </c>
      <c r="I21" s="88">
        <f t="shared" si="8"/>
        <v>0</v>
      </c>
      <c r="J21" s="500">
        <f t="shared" si="0"/>
        <v>0</v>
      </c>
    </row>
    <row r="22" spans="1:10">
      <c r="A22" s="444" t="s">
        <v>251</v>
      </c>
      <c r="B22" s="291">
        <f>電動輔助自行車!E22</f>
        <v>14439</v>
      </c>
      <c r="C22" s="89">
        <v>0</v>
      </c>
      <c r="D22" s="499">
        <f t="shared" si="1"/>
        <v>0</v>
      </c>
      <c r="E22" s="291">
        <f>電動輔助自行車!G22</f>
        <v>35659901</v>
      </c>
      <c r="F22" s="90">
        <v>0</v>
      </c>
      <c r="G22" s="498">
        <f t="shared" si="2"/>
        <v>0</v>
      </c>
      <c r="H22" s="87">
        <f t="shared" si="7"/>
        <v>2469.6932613061845</v>
      </c>
      <c r="I22" s="88">
        <f t="shared" si="8"/>
        <v>0</v>
      </c>
      <c r="J22" s="500">
        <f t="shared" si="0"/>
        <v>0</v>
      </c>
    </row>
    <row r="23" spans="1:10">
      <c r="A23" s="445" t="s">
        <v>14</v>
      </c>
      <c r="B23" s="291">
        <f>電動輔助自行車!E23</f>
        <v>0</v>
      </c>
      <c r="C23" s="89">
        <v>0</v>
      </c>
      <c r="D23" s="499">
        <f t="shared" si="1"/>
        <v>0</v>
      </c>
      <c r="E23" s="291">
        <f>電動輔助自行車!G23</f>
        <v>0</v>
      </c>
      <c r="F23" s="90">
        <v>0</v>
      </c>
      <c r="G23" s="498">
        <f t="shared" si="2"/>
        <v>0</v>
      </c>
      <c r="H23" s="87">
        <f t="shared" si="7"/>
        <v>0</v>
      </c>
      <c r="I23" s="88">
        <f t="shared" si="8"/>
        <v>0</v>
      </c>
      <c r="J23" s="500">
        <f t="shared" si="0"/>
        <v>0</v>
      </c>
    </row>
    <row r="24" spans="1:10">
      <c r="A24" s="445" t="s">
        <v>15</v>
      </c>
      <c r="B24" s="291">
        <f>電動輔助自行車!E24</f>
        <v>0</v>
      </c>
      <c r="C24" s="89">
        <v>0</v>
      </c>
      <c r="D24" s="499">
        <f t="shared" si="1"/>
        <v>0</v>
      </c>
      <c r="E24" s="291">
        <f>電動輔助自行車!G24</f>
        <v>0</v>
      </c>
      <c r="F24" s="90">
        <v>0</v>
      </c>
      <c r="G24" s="498">
        <f t="shared" si="2"/>
        <v>0</v>
      </c>
      <c r="H24" s="87">
        <f t="shared" si="7"/>
        <v>0</v>
      </c>
      <c r="I24" s="88">
        <f t="shared" si="8"/>
        <v>0</v>
      </c>
      <c r="J24" s="500">
        <f t="shared" si="0"/>
        <v>0</v>
      </c>
    </row>
    <row r="25" spans="1:10">
      <c r="A25" s="445" t="s">
        <v>16</v>
      </c>
      <c r="B25" s="291">
        <f>電動輔助自行車!E25</f>
        <v>2689</v>
      </c>
      <c r="C25" s="89">
        <v>364</v>
      </c>
      <c r="D25" s="499">
        <f t="shared" si="1"/>
        <v>6.3873626373626378</v>
      </c>
      <c r="E25" s="291">
        <f>電動輔助自行車!G25</f>
        <v>5525369</v>
      </c>
      <c r="F25" s="90">
        <v>800137</v>
      </c>
      <c r="G25" s="498">
        <f t="shared" si="2"/>
        <v>5.9055286782138561</v>
      </c>
      <c r="H25" s="87">
        <f t="shared" si="7"/>
        <v>2054.8043882484194</v>
      </c>
      <c r="I25" s="88">
        <f t="shared" si="8"/>
        <v>2198.1785714285716</v>
      </c>
      <c r="J25" s="500">
        <f t="shared" si="0"/>
        <v>-6.5224083722631734E-2</v>
      </c>
    </row>
    <row r="26" spans="1:10">
      <c r="A26" s="444" t="s">
        <v>254</v>
      </c>
      <c r="B26" s="291">
        <f>電動輔助自行車!E26</f>
        <v>5355</v>
      </c>
      <c r="C26" s="89">
        <v>5943</v>
      </c>
      <c r="D26" s="499">
        <f t="shared" si="1"/>
        <v>-9.8939929328621903E-2</v>
      </c>
      <c r="E26" s="291">
        <f>電動輔助自行車!G26</f>
        <v>2595691</v>
      </c>
      <c r="F26" s="90">
        <v>3352917</v>
      </c>
      <c r="G26" s="498">
        <f t="shared" si="2"/>
        <v>-0.22584096176553134</v>
      </c>
      <c r="H26" s="87">
        <f t="shared" si="7"/>
        <v>484.72287581699345</v>
      </c>
      <c r="I26" s="88">
        <f t="shared" si="8"/>
        <v>564.17920242301864</v>
      </c>
      <c r="J26" s="500">
        <f t="shared" si="0"/>
        <v>-0.14083526344958963</v>
      </c>
    </row>
    <row r="27" spans="1:10">
      <c r="A27" s="444" t="s">
        <v>256</v>
      </c>
      <c r="B27" s="291">
        <f>電動輔助自行車!E27</f>
        <v>794</v>
      </c>
      <c r="C27" s="89">
        <v>1442</v>
      </c>
      <c r="D27" s="499">
        <f t="shared" si="1"/>
        <v>-0.44937586685159503</v>
      </c>
      <c r="E27" s="291">
        <f>電動輔助自行車!G27</f>
        <v>1207201</v>
      </c>
      <c r="F27" s="90">
        <v>1096608</v>
      </c>
      <c r="G27" s="498">
        <f t="shared" si="2"/>
        <v>0.10085007587032012</v>
      </c>
      <c r="H27" s="87">
        <f t="shared" si="7"/>
        <v>1520.4042821158689</v>
      </c>
      <c r="I27" s="88">
        <f t="shared" si="8"/>
        <v>760.4771151178918</v>
      </c>
      <c r="J27" s="500">
        <f t="shared" si="0"/>
        <v>0.99927683804156364</v>
      </c>
    </row>
    <row r="28" spans="1:10">
      <c r="A28" s="445" t="s">
        <v>257</v>
      </c>
      <c r="B28" s="291">
        <f>電動輔助自行車!E28</f>
        <v>1871</v>
      </c>
      <c r="C28" s="89">
        <v>2436</v>
      </c>
      <c r="D28" s="499">
        <f t="shared" si="1"/>
        <v>-0.23193760262725779</v>
      </c>
      <c r="E28" s="291">
        <f>電動輔助自行車!G28</f>
        <v>3430458</v>
      </c>
      <c r="F28" s="90">
        <v>3323611</v>
      </c>
      <c r="G28" s="498">
        <f t="shared" si="2"/>
        <v>3.2147865679828358E-2</v>
      </c>
      <c r="H28" s="87">
        <f t="shared" si="7"/>
        <v>1833.4890432923571</v>
      </c>
      <c r="I28" s="88">
        <f t="shared" si="8"/>
        <v>1364.3723316912972</v>
      </c>
      <c r="J28" s="500">
        <f t="shared" si="0"/>
        <v>0.34383335157459222</v>
      </c>
    </row>
    <row r="29" spans="1:10">
      <c r="A29" s="455" t="s">
        <v>258</v>
      </c>
      <c r="B29" s="291">
        <f>電動輔助自行車!E29</f>
        <v>6793</v>
      </c>
      <c r="C29" s="89">
        <v>12903</v>
      </c>
      <c r="D29" s="499">
        <f t="shared" si="1"/>
        <v>-0.47353328683251955</v>
      </c>
      <c r="E29" s="291">
        <f>電動輔助自行車!G29</f>
        <v>4043664</v>
      </c>
      <c r="F29" s="90">
        <v>4770713</v>
      </c>
      <c r="G29" s="498">
        <f t="shared" si="2"/>
        <v>-0.15239839411844727</v>
      </c>
      <c r="H29" s="87">
        <f t="shared" si="7"/>
        <v>595.26924775504199</v>
      </c>
      <c r="I29" s="88">
        <f t="shared" si="8"/>
        <v>369.73672789273814</v>
      </c>
      <c r="J29" s="500">
        <f t="shared" si="0"/>
        <v>0.60998138093473786</v>
      </c>
    </row>
    <row r="30" spans="1:10">
      <c r="A30" s="455" t="s">
        <v>259</v>
      </c>
      <c r="B30" s="291">
        <f>電動輔助自行車!E30</f>
        <v>170</v>
      </c>
      <c r="C30" s="89">
        <v>53</v>
      </c>
      <c r="D30" s="499">
        <f t="shared" si="1"/>
        <v>2.2075471698113209</v>
      </c>
      <c r="E30" s="291">
        <f>電動輔助自行車!G30</f>
        <v>288806</v>
      </c>
      <c r="F30" s="90">
        <v>94010</v>
      </c>
      <c r="G30" s="498">
        <f t="shared" si="2"/>
        <v>2.0720774385703646</v>
      </c>
      <c r="H30" s="87">
        <f t="shared" si="7"/>
        <v>1698.8588235294117</v>
      </c>
      <c r="I30" s="88">
        <f t="shared" si="8"/>
        <v>1773.7735849056603</v>
      </c>
      <c r="J30" s="500">
        <f t="shared" si="0"/>
        <v>-4.2234680916298027E-2</v>
      </c>
    </row>
    <row r="31" spans="1:10">
      <c r="A31" s="455" t="s">
        <v>260</v>
      </c>
      <c r="B31" s="291">
        <f>電動輔助自行車!E31</f>
        <v>0</v>
      </c>
      <c r="C31" s="89">
        <v>0</v>
      </c>
      <c r="D31" s="499">
        <f t="shared" si="1"/>
        <v>0</v>
      </c>
      <c r="E31" s="291">
        <f>電動輔助自行車!G31</f>
        <v>0</v>
      </c>
      <c r="F31" s="90">
        <v>0</v>
      </c>
      <c r="G31" s="498">
        <f t="shared" si="2"/>
        <v>0</v>
      </c>
      <c r="H31" s="87">
        <f t="shared" si="7"/>
        <v>0</v>
      </c>
      <c r="I31" s="88">
        <f t="shared" si="8"/>
        <v>0</v>
      </c>
      <c r="J31" s="500">
        <f t="shared" si="0"/>
        <v>0</v>
      </c>
    </row>
    <row r="32" spans="1:10">
      <c r="A32" s="455" t="s">
        <v>262</v>
      </c>
      <c r="B32" s="291">
        <f>電動輔助自行車!E32</f>
        <v>43</v>
      </c>
      <c r="C32" s="89">
        <v>1365</v>
      </c>
      <c r="D32" s="499">
        <f t="shared" si="1"/>
        <v>-0.9684981684981685</v>
      </c>
      <c r="E32" s="291">
        <f>電動輔助自行車!G32</f>
        <v>29418</v>
      </c>
      <c r="F32" s="90">
        <v>1033878</v>
      </c>
      <c r="G32" s="498">
        <f t="shared" si="2"/>
        <v>-0.97154596577159003</v>
      </c>
      <c r="H32" s="87">
        <f t="shared" si="7"/>
        <v>684.1395348837209</v>
      </c>
      <c r="I32" s="88">
        <f t="shared" si="8"/>
        <v>757.41978021978025</v>
      </c>
      <c r="J32" s="500">
        <f t="shared" si="0"/>
        <v>-9.6749843679545366E-2</v>
      </c>
    </row>
    <row r="33" spans="1:10">
      <c r="A33" s="455" t="s">
        <v>264</v>
      </c>
      <c r="B33" s="291">
        <f>電動輔助自行車!E33</f>
        <v>0</v>
      </c>
      <c r="C33" s="89">
        <v>0</v>
      </c>
      <c r="D33" s="499">
        <f t="shared" si="1"/>
        <v>0</v>
      </c>
      <c r="E33" s="291">
        <f>電動輔助自行車!G33</f>
        <v>0</v>
      </c>
      <c r="F33" s="90">
        <v>0</v>
      </c>
      <c r="G33" s="498">
        <f t="shared" si="2"/>
        <v>0</v>
      </c>
      <c r="H33" s="87">
        <f t="shared" si="7"/>
        <v>0</v>
      </c>
      <c r="I33" s="88">
        <f t="shared" si="8"/>
        <v>0</v>
      </c>
      <c r="J33" s="500">
        <f t="shared" si="0"/>
        <v>0</v>
      </c>
    </row>
    <row r="34" spans="1:10">
      <c r="A34" s="455" t="s">
        <v>265</v>
      </c>
      <c r="B34" s="291">
        <f>電動輔助自行車!E34</f>
        <v>0</v>
      </c>
      <c r="C34" s="89">
        <v>0</v>
      </c>
      <c r="D34" s="499">
        <f t="shared" si="1"/>
        <v>0</v>
      </c>
      <c r="E34" s="291">
        <f>電動輔助自行車!G34</f>
        <v>0</v>
      </c>
      <c r="F34" s="90">
        <v>0</v>
      </c>
      <c r="G34" s="498">
        <f t="shared" si="2"/>
        <v>0</v>
      </c>
      <c r="H34" s="87">
        <f t="shared" ref="H34:H63" si="9">IF(B34,E34/B34,0)</f>
        <v>0</v>
      </c>
      <c r="I34" s="88">
        <f t="shared" ref="I34:I64" si="10">IF(C34,F34/C34,0)</f>
        <v>0</v>
      </c>
      <c r="J34" s="500">
        <f t="shared" si="0"/>
        <v>0</v>
      </c>
    </row>
    <row r="35" spans="1:10">
      <c r="A35" s="456" t="s">
        <v>383</v>
      </c>
      <c r="B35" s="291">
        <f>電動輔助自行車!E35</f>
        <v>0</v>
      </c>
      <c r="C35" s="89">
        <v>0</v>
      </c>
      <c r="D35" s="499">
        <f t="shared" si="1"/>
        <v>0</v>
      </c>
      <c r="E35" s="291">
        <f>電動輔助自行車!G35</f>
        <v>0</v>
      </c>
      <c r="F35" s="90">
        <v>0</v>
      </c>
      <c r="G35" s="498">
        <f t="shared" si="2"/>
        <v>0</v>
      </c>
      <c r="H35" s="87">
        <f t="shared" si="9"/>
        <v>0</v>
      </c>
      <c r="I35" s="88">
        <f t="shared" si="10"/>
        <v>0</v>
      </c>
      <c r="J35" s="500">
        <f t="shared" si="0"/>
        <v>0</v>
      </c>
    </row>
    <row r="36" spans="1:10">
      <c r="A36" s="455" t="s">
        <v>268</v>
      </c>
      <c r="B36" s="291">
        <f>電動輔助自行車!E36</f>
        <v>0</v>
      </c>
      <c r="C36" s="89">
        <v>0</v>
      </c>
      <c r="D36" s="499">
        <f t="shared" si="1"/>
        <v>0</v>
      </c>
      <c r="E36" s="291">
        <f>電動輔助自行車!G36</f>
        <v>0</v>
      </c>
      <c r="F36" s="90">
        <v>0</v>
      </c>
      <c r="G36" s="498">
        <f t="shared" si="2"/>
        <v>0</v>
      </c>
      <c r="H36" s="87">
        <f t="shared" si="9"/>
        <v>0</v>
      </c>
      <c r="I36" s="88">
        <f t="shared" si="10"/>
        <v>0</v>
      </c>
      <c r="J36" s="500">
        <f t="shared" si="0"/>
        <v>0</v>
      </c>
    </row>
    <row r="37" spans="1:10">
      <c r="A37" s="455" t="s">
        <v>384</v>
      </c>
      <c r="B37" s="291">
        <f>電動輔助自行車!E37</f>
        <v>0</v>
      </c>
      <c r="C37" s="89">
        <v>0</v>
      </c>
      <c r="D37" s="499">
        <f t="shared" si="1"/>
        <v>0</v>
      </c>
      <c r="E37" s="291">
        <f>電動輔助自行車!G37</f>
        <v>0</v>
      </c>
      <c r="F37" s="90">
        <v>0</v>
      </c>
      <c r="G37" s="498">
        <f t="shared" si="2"/>
        <v>0</v>
      </c>
      <c r="H37" s="87">
        <f t="shared" si="9"/>
        <v>0</v>
      </c>
      <c r="I37" s="88">
        <f t="shared" si="10"/>
        <v>0</v>
      </c>
      <c r="J37" s="500">
        <f t="shared" si="0"/>
        <v>0</v>
      </c>
    </row>
    <row r="38" spans="1:10">
      <c r="A38" s="455" t="s">
        <v>270</v>
      </c>
      <c r="B38" s="291">
        <f>電動輔助自行車!E38</f>
        <v>0</v>
      </c>
      <c r="C38" s="89">
        <v>0</v>
      </c>
      <c r="D38" s="499">
        <f t="shared" si="1"/>
        <v>0</v>
      </c>
      <c r="E38" s="291">
        <f>電動輔助自行車!G38</f>
        <v>0</v>
      </c>
      <c r="F38" s="90">
        <v>0</v>
      </c>
      <c r="G38" s="498">
        <f t="shared" si="2"/>
        <v>0</v>
      </c>
      <c r="H38" s="87">
        <f t="shared" si="9"/>
        <v>0</v>
      </c>
      <c r="I38" s="88">
        <f t="shared" si="10"/>
        <v>0</v>
      </c>
      <c r="J38" s="500">
        <f t="shared" si="0"/>
        <v>0</v>
      </c>
    </row>
    <row r="39" spans="1:10">
      <c r="A39" s="455" t="s">
        <v>271</v>
      </c>
      <c r="B39" s="291">
        <f>電動輔助自行車!E39</f>
        <v>0</v>
      </c>
      <c r="C39" s="89">
        <v>0</v>
      </c>
      <c r="D39" s="499">
        <f t="shared" si="1"/>
        <v>0</v>
      </c>
      <c r="E39" s="291">
        <f>電動輔助自行車!G39</f>
        <v>0</v>
      </c>
      <c r="F39" s="90">
        <v>0</v>
      </c>
      <c r="G39" s="498">
        <f t="shared" si="2"/>
        <v>0</v>
      </c>
      <c r="H39" s="87">
        <f t="shared" si="9"/>
        <v>0</v>
      </c>
      <c r="I39" s="88">
        <f t="shared" si="10"/>
        <v>0</v>
      </c>
      <c r="J39" s="500">
        <f t="shared" si="0"/>
        <v>0</v>
      </c>
    </row>
    <row r="40" spans="1:10">
      <c r="A40" s="445" t="s">
        <v>272</v>
      </c>
      <c r="B40" s="291">
        <f>電動輔助自行車!E40</f>
        <v>0</v>
      </c>
      <c r="C40" s="89">
        <v>0</v>
      </c>
      <c r="D40" s="499">
        <f t="shared" si="1"/>
        <v>0</v>
      </c>
      <c r="E40" s="291">
        <f>電動輔助自行車!G40</f>
        <v>0</v>
      </c>
      <c r="F40" s="90">
        <v>0</v>
      </c>
      <c r="G40" s="498">
        <f t="shared" si="2"/>
        <v>0</v>
      </c>
      <c r="H40" s="87">
        <f t="shared" si="9"/>
        <v>0</v>
      </c>
      <c r="I40" s="88">
        <f t="shared" si="10"/>
        <v>0</v>
      </c>
      <c r="J40" s="500">
        <f t="shared" si="0"/>
        <v>0</v>
      </c>
    </row>
    <row r="41" spans="1:10">
      <c r="A41" s="289"/>
      <c r="B41" s="291"/>
      <c r="C41" s="491"/>
      <c r="D41" s="499"/>
      <c r="E41" s="291"/>
      <c r="F41" s="90"/>
      <c r="G41" s="498"/>
      <c r="H41" s="87"/>
      <c r="I41" s="88"/>
      <c r="J41" s="500"/>
    </row>
    <row r="42" spans="1:10">
      <c r="A42" s="295" t="s">
        <v>20</v>
      </c>
      <c r="B42" s="294">
        <f>SUM(B43:B46)</f>
        <v>11107</v>
      </c>
      <c r="C42" s="492">
        <v>8797</v>
      </c>
      <c r="D42" s="499">
        <f t="shared" si="1"/>
        <v>0.26258951915425716</v>
      </c>
      <c r="E42" s="294">
        <f>SUM(E43:E46)</f>
        <v>19173855</v>
      </c>
      <c r="F42" s="85">
        <v>16751131</v>
      </c>
      <c r="G42" s="498">
        <f t="shared" si="2"/>
        <v>0.14463047301104623</v>
      </c>
      <c r="H42" s="87">
        <f t="shared" si="9"/>
        <v>1726.2856757000091</v>
      </c>
      <c r="I42" s="88">
        <f t="shared" si="10"/>
        <v>1904.1867682164375</v>
      </c>
      <c r="J42" s="500">
        <f t="shared" si="0"/>
        <v>-9.3426283327795651E-2</v>
      </c>
    </row>
    <row r="43" spans="1:10">
      <c r="A43" s="289" t="s">
        <v>183</v>
      </c>
      <c r="B43" s="291">
        <f>電動輔助自行車!E43</f>
        <v>6972</v>
      </c>
      <c r="C43" s="89">
        <v>5794</v>
      </c>
      <c r="D43" s="499">
        <f t="shared" si="1"/>
        <v>0.20331377286848465</v>
      </c>
      <c r="E43" s="291">
        <f>電動輔助自行車!G43</f>
        <v>12362346</v>
      </c>
      <c r="F43" s="90">
        <v>11724880</v>
      </c>
      <c r="G43" s="498">
        <f t="shared" si="2"/>
        <v>5.4368658783714628E-2</v>
      </c>
      <c r="H43" s="87">
        <f t="shared" si="9"/>
        <v>1773.1419965576592</v>
      </c>
      <c r="I43" s="88">
        <f t="shared" si="10"/>
        <v>2023.624439074905</v>
      </c>
      <c r="J43" s="500">
        <f t="shared" si="0"/>
        <v>-0.12377911517601221</v>
      </c>
    </row>
    <row r="44" spans="1:10">
      <c r="A44" s="289" t="s">
        <v>274</v>
      </c>
      <c r="B44" s="291">
        <f>電動輔助自行車!E44</f>
        <v>4100</v>
      </c>
      <c r="C44" s="89">
        <v>2988</v>
      </c>
      <c r="D44" s="499">
        <f t="shared" si="1"/>
        <v>0.37215528781793844</v>
      </c>
      <c r="E44" s="291">
        <f>電動輔助自行車!G44</f>
        <v>6742796</v>
      </c>
      <c r="F44" s="90">
        <v>4994689</v>
      </c>
      <c r="G44" s="498">
        <f t="shared" si="2"/>
        <v>0.34999316273745973</v>
      </c>
      <c r="H44" s="87">
        <f t="shared" si="9"/>
        <v>1644.5843902439024</v>
      </c>
      <c r="I44" s="88">
        <f t="shared" si="10"/>
        <v>1671.5826639892905</v>
      </c>
      <c r="J44" s="500">
        <f t="shared" si="0"/>
        <v>-1.6151324326944029E-2</v>
      </c>
    </row>
    <row r="45" spans="1:10">
      <c r="A45" s="289" t="s">
        <v>275</v>
      </c>
      <c r="B45" s="291">
        <f>電動輔助自行車!E45</f>
        <v>35</v>
      </c>
      <c r="C45" s="89">
        <v>15</v>
      </c>
      <c r="D45" s="499">
        <f t="shared" si="1"/>
        <v>1.3333333333333333</v>
      </c>
      <c r="E45" s="291">
        <f>電動輔助自行車!G45</f>
        <v>68713</v>
      </c>
      <c r="F45" s="90">
        <v>31562</v>
      </c>
      <c r="G45" s="498">
        <f t="shared" si="2"/>
        <v>1.1770800329510172</v>
      </c>
      <c r="H45" s="87">
        <f t="shared" si="9"/>
        <v>1963.2285714285715</v>
      </c>
      <c r="I45" s="88">
        <f t="shared" si="10"/>
        <v>2104.1333333333332</v>
      </c>
      <c r="J45" s="500">
        <f t="shared" si="0"/>
        <v>-6.6965700163849742E-2</v>
      </c>
    </row>
    <row r="46" spans="1:10">
      <c r="A46" s="292" t="s">
        <v>21</v>
      </c>
      <c r="B46" s="291">
        <f>電動輔助自行車!E46</f>
        <v>0</v>
      </c>
      <c r="C46" s="89">
        <v>0</v>
      </c>
      <c r="D46" s="499">
        <f t="shared" si="1"/>
        <v>0</v>
      </c>
      <c r="E46" s="291">
        <f>電動輔助自行車!G46</f>
        <v>0</v>
      </c>
      <c r="F46" s="90">
        <v>0</v>
      </c>
      <c r="G46" s="498">
        <f t="shared" si="2"/>
        <v>0</v>
      </c>
      <c r="H46" s="87">
        <f t="shared" si="9"/>
        <v>0</v>
      </c>
      <c r="I46" s="88">
        <f t="shared" si="10"/>
        <v>0</v>
      </c>
      <c r="J46" s="500">
        <f t="shared" si="0"/>
        <v>0</v>
      </c>
    </row>
    <row r="47" spans="1:10">
      <c r="A47" s="292"/>
      <c r="B47" s="291"/>
      <c r="C47" s="491"/>
      <c r="D47" s="499"/>
      <c r="E47" s="291"/>
      <c r="F47" s="90"/>
      <c r="G47" s="498"/>
      <c r="H47" s="87"/>
      <c r="I47" s="88"/>
      <c r="J47" s="500"/>
    </row>
    <row r="48" spans="1:10">
      <c r="A48" s="295" t="s">
        <v>22</v>
      </c>
      <c r="B48" s="294">
        <f>SUM(B49:B62)</f>
        <v>63703</v>
      </c>
      <c r="C48" s="492">
        <v>71138</v>
      </c>
      <c r="D48" s="499">
        <f t="shared" si="1"/>
        <v>-0.1045151677022126</v>
      </c>
      <c r="E48" s="294">
        <f>SUM(E49:E62)</f>
        <v>109192685</v>
      </c>
      <c r="F48" s="91">
        <v>129504303</v>
      </c>
      <c r="G48" s="498">
        <f t="shared" si="2"/>
        <v>-0.15684125955258799</v>
      </c>
      <c r="H48" s="87">
        <f t="shared" si="9"/>
        <v>1714.0901527400592</v>
      </c>
      <c r="I48" s="88">
        <f t="shared" si="10"/>
        <v>1820.4658972700947</v>
      </c>
      <c r="J48" s="500">
        <f t="shared" si="0"/>
        <v>-5.8433253097216892E-2</v>
      </c>
    </row>
    <row r="49" spans="1:10">
      <c r="A49" s="295" t="s">
        <v>162</v>
      </c>
      <c r="B49" s="291">
        <f>電動輔助自行車!E49</f>
        <v>33550</v>
      </c>
      <c r="C49" s="89">
        <v>33773</v>
      </c>
      <c r="D49" s="499">
        <f t="shared" si="1"/>
        <v>-6.6029076481212805E-3</v>
      </c>
      <c r="E49" s="291">
        <f>電動輔助自行車!G49</f>
        <v>46577061</v>
      </c>
      <c r="F49" s="90">
        <v>50902979</v>
      </c>
      <c r="G49" s="498">
        <f t="shared" si="2"/>
        <v>-8.4983592021205673E-2</v>
      </c>
      <c r="H49" s="87">
        <f t="shared" si="9"/>
        <v>1388.2879582712369</v>
      </c>
      <c r="I49" s="88">
        <f t="shared" si="10"/>
        <v>1507.209279602049</v>
      </c>
      <c r="J49" s="500">
        <f t="shared" si="0"/>
        <v>-7.8901664778902592E-2</v>
      </c>
    </row>
    <row r="50" spans="1:10">
      <c r="A50" s="444" t="s">
        <v>385</v>
      </c>
      <c r="B50" s="291">
        <f>電動輔助自行車!E50</f>
        <v>6573</v>
      </c>
      <c r="C50" s="89">
        <v>5026</v>
      </c>
      <c r="D50" s="499">
        <f t="shared" si="1"/>
        <v>0.30779944289693595</v>
      </c>
      <c r="E50" s="291">
        <f>電動輔助自行車!G50</f>
        <v>7806961</v>
      </c>
      <c r="F50" s="90">
        <v>5492790</v>
      </c>
      <c r="G50" s="498">
        <f t="shared" si="2"/>
        <v>0.42131066361539399</v>
      </c>
      <c r="H50" s="87">
        <f t="shared" si="9"/>
        <v>1187.7317815305037</v>
      </c>
      <c r="I50" s="88">
        <f t="shared" si="10"/>
        <v>1092.875049741345</v>
      </c>
      <c r="J50" s="500">
        <f t="shared" si="0"/>
        <v>8.6795587301227842E-2</v>
      </c>
    </row>
    <row r="51" spans="1:10">
      <c r="A51" s="444" t="s">
        <v>454</v>
      </c>
      <c r="B51" s="291">
        <f>電動輔助自行車!E51</f>
        <v>304</v>
      </c>
      <c r="C51" s="89">
        <v>16</v>
      </c>
      <c r="D51" s="499">
        <f t="shared" si="1"/>
        <v>18</v>
      </c>
      <c r="E51" s="291">
        <f>電動輔助自行車!G51</f>
        <v>342593</v>
      </c>
      <c r="F51" s="90">
        <v>14069</v>
      </c>
      <c r="G51" s="498">
        <f t="shared" si="2"/>
        <v>23.350913355604522</v>
      </c>
      <c r="H51" s="87">
        <f t="shared" si="9"/>
        <v>1126.9506578947369</v>
      </c>
      <c r="I51" s="88">
        <f t="shared" si="10"/>
        <v>879.3125</v>
      </c>
      <c r="J51" s="500">
        <f t="shared" si="0"/>
        <v>0.28162701871602747</v>
      </c>
    </row>
    <row r="52" spans="1:10">
      <c r="A52" s="444" t="s">
        <v>298</v>
      </c>
      <c r="B52" s="291">
        <f>電動輔助自行車!E52</f>
        <v>423</v>
      </c>
      <c r="C52" s="89">
        <v>1292</v>
      </c>
      <c r="D52" s="499">
        <f t="shared" si="1"/>
        <v>-0.67260061919504643</v>
      </c>
      <c r="E52" s="291">
        <f>電動輔助自行車!G52</f>
        <v>1114433</v>
      </c>
      <c r="F52" s="90">
        <v>3244532</v>
      </c>
      <c r="G52" s="498">
        <f t="shared" si="2"/>
        <v>-0.65651964597667711</v>
      </c>
      <c r="H52" s="87">
        <f t="shared" si="9"/>
        <v>2634.5933806146572</v>
      </c>
      <c r="I52" s="88">
        <f t="shared" si="10"/>
        <v>2511.2476780185757</v>
      </c>
      <c r="J52" s="500">
        <f t="shared" si="0"/>
        <v>4.9117298813553804E-2</v>
      </c>
    </row>
    <row r="53" spans="1:10">
      <c r="A53" s="445" t="s">
        <v>23</v>
      </c>
      <c r="B53" s="291">
        <f>電動輔助自行車!E53</f>
        <v>31</v>
      </c>
      <c r="C53" s="89">
        <v>227</v>
      </c>
      <c r="D53" s="499">
        <f t="shared" si="1"/>
        <v>-0.86343612334801767</v>
      </c>
      <c r="E53" s="291">
        <f>電動輔助自行車!G53</f>
        <v>89805</v>
      </c>
      <c r="F53" s="90">
        <v>556122</v>
      </c>
      <c r="G53" s="498">
        <f t="shared" si="2"/>
        <v>-0.83851564944382706</v>
      </c>
      <c r="H53" s="87">
        <f t="shared" si="9"/>
        <v>2896.9354838709678</v>
      </c>
      <c r="I53" s="88">
        <f t="shared" si="10"/>
        <v>2449.8766519823789</v>
      </c>
      <c r="J53" s="500">
        <f t="shared" si="0"/>
        <v>0.1824821798790727</v>
      </c>
    </row>
    <row r="54" spans="1:10">
      <c r="A54" s="444" t="s">
        <v>304</v>
      </c>
      <c r="B54" s="291">
        <f>電動輔助自行車!E54</f>
        <v>818</v>
      </c>
      <c r="C54" s="89">
        <v>2513</v>
      </c>
      <c r="D54" s="499">
        <f t="shared" si="1"/>
        <v>-0.67449263828093908</v>
      </c>
      <c r="E54" s="291">
        <f>電動輔助自行車!G54</f>
        <v>2147770</v>
      </c>
      <c r="F54" s="90">
        <v>6520902</v>
      </c>
      <c r="G54" s="498">
        <f t="shared" si="2"/>
        <v>-0.67063298911714975</v>
      </c>
      <c r="H54" s="87">
        <f t="shared" si="9"/>
        <v>2625.6356968215159</v>
      </c>
      <c r="I54" s="88">
        <f t="shared" si="10"/>
        <v>2594.8674890569041</v>
      </c>
      <c r="J54" s="500">
        <f t="shared" si="0"/>
        <v>1.1857332944502079E-2</v>
      </c>
    </row>
    <row r="55" spans="1:10">
      <c r="A55" s="445" t="s">
        <v>386</v>
      </c>
      <c r="B55" s="291">
        <f>電動輔助自行車!E55</f>
        <v>9719</v>
      </c>
      <c r="C55" s="89">
        <v>14759</v>
      </c>
      <c r="D55" s="499">
        <f t="shared" si="1"/>
        <v>-0.34148655057930755</v>
      </c>
      <c r="E55" s="291">
        <f>電動輔助自行車!G55</f>
        <v>21949349</v>
      </c>
      <c r="F55" s="90">
        <v>31759545</v>
      </c>
      <c r="G55" s="498">
        <f t="shared" si="2"/>
        <v>-0.30888968969801045</v>
      </c>
      <c r="H55" s="87">
        <f t="shared" si="9"/>
        <v>2258.3958226154955</v>
      </c>
      <c r="I55" s="88">
        <f t="shared" si="10"/>
        <v>2151.876482146487</v>
      </c>
      <c r="J55" s="500">
        <f t="shared" si="0"/>
        <v>4.9500675969447815E-2</v>
      </c>
    </row>
    <row r="56" spans="1:10">
      <c r="A56" s="445" t="s">
        <v>24</v>
      </c>
      <c r="B56" s="291">
        <f>電動輔助自行車!E56</f>
        <v>141</v>
      </c>
      <c r="C56" s="89">
        <v>386</v>
      </c>
      <c r="D56" s="499">
        <f t="shared" si="1"/>
        <v>-0.63471502590673579</v>
      </c>
      <c r="E56" s="291">
        <f>電動輔助自行車!G56</f>
        <v>461798</v>
      </c>
      <c r="F56" s="90">
        <v>1173604</v>
      </c>
      <c r="G56" s="498">
        <f t="shared" si="2"/>
        <v>-0.60651292940378532</v>
      </c>
      <c r="H56" s="87">
        <f t="shared" si="9"/>
        <v>3275.1631205673757</v>
      </c>
      <c r="I56" s="88">
        <f t="shared" si="10"/>
        <v>3040.4248704663214</v>
      </c>
      <c r="J56" s="500">
        <f t="shared" si="0"/>
        <v>7.7205739362687029E-2</v>
      </c>
    </row>
    <row r="57" spans="1:10">
      <c r="A57" s="445" t="s">
        <v>240</v>
      </c>
      <c r="B57" s="291">
        <f>電動輔助自行車!E57</f>
        <v>258</v>
      </c>
      <c r="C57" s="89">
        <v>41</v>
      </c>
      <c r="D57" s="499">
        <f t="shared" si="1"/>
        <v>5.2926829268292686</v>
      </c>
      <c r="E57" s="291">
        <f>電動輔助自行車!G57</f>
        <v>421116</v>
      </c>
      <c r="F57" s="90">
        <v>48177</v>
      </c>
      <c r="G57" s="498">
        <f t="shared" si="2"/>
        <v>7.7410174979762125</v>
      </c>
      <c r="H57" s="87">
        <f t="shared" si="9"/>
        <v>1632.2325581395348</v>
      </c>
      <c r="I57" s="88">
        <f t="shared" si="10"/>
        <v>1175.0487804878048</v>
      </c>
      <c r="J57" s="500">
        <f t="shared" si="0"/>
        <v>0.38907642409699505</v>
      </c>
    </row>
    <row r="58" spans="1:10">
      <c r="A58" s="292" t="s">
        <v>459</v>
      </c>
      <c r="B58" s="291">
        <f>電動輔助自行車!E58</f>
        <v>1741</v>
      </c>
      <c r="C58" s="89">
        <v>1956</v>
      </c>
      <c r="D58" s="499">
        <f t="shared" si="1"/>
        <v>-0.10991820040899795</v>
      </c>
      <c r="E58" s="291">
        <f>電動輔助自行車!G58</f>
        <v>3903845</v>
      </c>
      <c r="F58" s="90">
        <v>3976752</v>
      </c>
      <c r="G58" s="498">
        <f t="shared" si="2"/>
        <v>-1.8333303157954031E-2</v>
      </c>
      <c r="H58" s="87">
        <f t="shared" si="9"/>
        <v>2242.3004020677772</v>
      </c>
      <c r="I58" s="88">
        <f t="shared" si="10"/>
        <v>2033.1042944785277</v>
      </c>
      <c r="J58" s="500">
        <f t="shared" si="0"/>
        <v>0.10289492189720961</v>
      </c>
    </row>
    <row r="59" spans="1:10">
      <c r="A59" s="445" t="s">
        <v>278</v>
      </c>
      <c r="B59" s="291">
        <f>電動輔助自行車!E59</f>
        <v>88</v>
      </c>
      <c r="C59" s="89">
        <v>0</v>
      </c>
      <c r="D59" s="499">
        <f t="shared" si="1"/>
        <v>0</v>
      </c>
      <c r="E59" s="291">
        <f>電動輔助自行車!G59</f>
        <v>129938</v>
      </c>
      <c r="F59" s="90">
        <v>0</v>
      </c>
      <c r="G59" s="498">
        <f t="shared" si="2"/>
        <v>0</v>
      </c>
      <c r="H59" s="87">
        <f t="shared" si="9"/>
        <v>1476.5681818181818</v>
      </c>
      <c r="I59" s="88">
        <f t="shared" si="10"/>
        <v>0</v>
      </c>
      <c r="J59" s="500">
        <f t="shared" si="0"/>
        <v>0</v>
      </c>
    </row>
    <row r="60" spans="1:10">
      <c r="A60" s="445" t="s">
        <v>283</v>
      </c>
      <c r="B60" s="291">
        <f>電動輔助自行車!E60</f>
        <v>0</v>
      </c>
      <c r="C60" s="89">
        <v>0</v>
      </c>
      <c r="D60" s="499">
        <f t="shared" si="1"/>
        <v>0</v>
      </c>
      <c r="E60" s="291">
        <f>電動輔助自行車!G60</f>
        <v>0</v>
      </c>
      <c r="F60" s="90">
        <v>0</v>
      </c>
      <c r="G60" s="498">
        <f t="shared" si="2"/>
        <v>0</v>
      </c>
      <c r="H60" s="87">
        <f t="shared" si="9"/>
        <v>0</v>
      </c>
      <c r="I60" s="88">
        <f t="shared" si="10"/>
        <v>0</v>
      </c>
      <c r="J60" s="500">
        <f t="shared" si="0"/>
        <v>0</v>
      </c>
    </row>
    <row r="61" spans="1:10">
      <c r="A61" s="445" t="s">
        <v>289</v>
      </c>
      <c r="B61" s="291">
        <f>電動輔助自行車!E61</f>
        <v>8258</v>
      </c>
      <c r="C61" s="89">
        <v>8825</v>
      </c>
      <c r="D61" s="499">
        <f t="shared" si="1"/>
        <v>-6.4249291784702553E-2</v>
      </c>
      <c r="E61" s="291">
        <f>電動輔助自行車!G61</f>
        <v>19503982</v>
      </c>
      <c r="F61" s="90">
        <v>19814127</v>
      </c>
      <c r="G61" s="498">
        <f t="shared" si="2"/>
        <v>-1.5652720909682269E-2</v>
      </c>
      <c r="H61" s="87">
        <f t="shared" si="9"/>
        <v>2361.8287720997819</v>
      </c>
      <c r="I61" s="88">
        <f t="shared" si="10"/>
        <v>2245.2268555240794</v>
      </c>
      <c r="J61" s="500">
        <f t="shared" si="0"/>
        <v>5.1933245092280596E-2</v>
      </c>
    </row>
    <row r="62" spans="1:10">
      <c r="A62" s="445" t="s">
        <v>337</v>
      </c>
      <c r="B62" s="291">
        <f>電動輔助自行車!E62</f>
        <v>1799</v>
      </c>
      <c r="C62" s="89">
        <v>2324</v>
      </c>
      <c r="D62" s="499">
        <f t="shared" si="1"/>
        <v>-0.22590361445783133</v>
      </c>
      <c r="E62" s="291">
        <f>電動輔助自行車!G62</f>
        <v>4744034</v>
      </c>
      <c r="F62" s="90">
        <v>6000704</v>
      </c>
      <c r="G62" s="498">
        <f t="shared" si="2"/>
        <v>-0.20942042800311431</v>
      </c>
      <c r="H62" s="87">
        <f t="shared" si="9"/>
        <v>2637.0394663702054</v>
      </c>
      <c r="I62" s="88">
        <f t="shared" si="10"/>
        <v>2582.0585197934597</v>
      </c>
      <c r="J62" s="500">
        <f t="shared" si="0"/>
        <v>2.129345487535414E-2</v>
      </c>
    </row>
    <row r="63" spans="1:10">
      <c r="A63" s="292" t="s">
        <v>30</v>
      </c>
      <c r="B63" s="291">
        <f>B64-B48-B42-B13-B8</f>
        <v>2324</v>
      </c>
      <c r="C63" s="90">
        <v>4747</v>
      </c>
      <c r="D63" s="499">
        <f t="shared" si="1"/>
        <v>-0.51042763850853168</v>
      </c>
      <c r="E63" s="291">
        <f>E64-E48-E42-E13-E8</f>
        <v>6437930</v>
      </c>
      <c r="F63" s="90">
        <v>11703876</v>
      </c>
      <c r="G63" s="498">
        <f t="shared" si="2"/>
        <v>-0.44993180037109076</v>
      </c>
      <c r="H63" s="87">
        <f t="shared" si="9"/>
        <v>2770.1936316695351</v>
      </c>
      <c r="I63" s="88">
        <f t="shared" si="10"/>
        <v>2465.5310722561617</v>
      </c>
      <c r="J63" s="500">
        <f t="shared" si="0"/>
        <v>0.12356873650534947</v>
      </c>
    </row>
    <row r="64" spans="1:10">
      <c r="A64" s="293" t="s">
        <v>401</v>
      </c>
      <c r="B64" s="291">
        <f>電動輔助自行車!E64</f>
        <v>497705</v>
      </c>
      <c r="C64" s="89">
        <v>597657</v>
      </c>
      <c r="D64" s="499">
        <f t="shared" si="1"/>
        <v>-0.16723973784294335</v>
      </c>
      <c r="E64" s="291">
        <f>電動輔助自行車!G64</f>
        <v>828808381</v>
      </c>
      <c r="F64" s="90">
        <v>886484998</v>
      </c>
      <c r="G64" s="498">
        <f t="shared" si="2"/>
        <v>-6.5062146714410615E-2</v>
      </c>
      <c r="H64" s="87">
        <f t="shared" ref="H64" si="11">E64/B64</f>
        <v>1665.2603068082499</v>
      </c>
      <c r="I64" s="88">
        <f t="shared" si="10"/>
        <v>1483.2671549065769</v>
      </c>
      <c r="J64" s="500">
        <f t="shared" si="0"/>
        <v>0.12269748662582347</v>
      </c>
    </row>
    <row r="65" spans="1:7">
      <c r="A65" s="296"/>
      <c r="B65" s="297"/>
      <c r="C65" s="298"/>
      <c r="D65" s="299"/>
      <c r="E65" s="297"/>
      <c r="F65" s="298"/>
      <c r="G65" s="299"/>
    </row>
    <row r="66" spans="1:7" ht="13.5" customHeight="1">
      <c r="A66" s="300" t="s">
        <v>61</v>
      </c>
    </row>
  </sheetData>
  <phoneticPr fontId="3" type="noConversion"/>
  <conditionalFormatting sqref="D1:D5">
    <cfRule type="cellIs" dxfId="71" priority="3" operator="greaterThanOrEqual">
      <formula>0</formula>
    </cfRule>
    <cfRule type="cellIs" dxfId="70" priority="4" operator="lessThan">
      <formula>0</formula>
    </cfRule>
  </conditionalFormatting>
  <conditionalFormatting sqref="D7:D1048576">
    <cfRule type="cellIs" dxfId="69" priority="43" operator="greaterThanOrEqual">
      <formula>0</formula>
    </cfRule>
    <cfRule type="cellIs" dxfId="68" priority="44" operator="lessThan">
      <formula>0</formula>
    </cfRule>
  </conditionalFormatting>
  <conditionalFormatting sqref="G1:G5">
    <cfRule type="cellIs" dxfId="67" priority="1" operator="greaterThanOrEqual">
      <formula>0</formula>
    </cfRule>
    <cfRule type="cellIs" dxfId="66" priority="2" operator="lessThan">
      <formula>0</formula>
    </cfRule>
  </conditionalFormatting>
  <conditionalFormatting sqref="G7:G1048576 J7:J1048576">
    <cfRule type="cellIs" dxfId="65" priority="5" operator="greaterThanOrEqual">
      <formula>0</formula>
    </cfRule>
    <cfRule type="cellIs" dxfId="64" priority="6" operator="lessThan">
      <formula>0</formula>
    </cfRule>
  </conditionalFormatting>
  <conditionalFormatting sqref="J1:J4">
    <cfRule type="cellIs" dxfId="63" priority="39" operator="greaterThanOrEqual">
      <formula>0</formula>
    </cfRule>
    <cfRule type="cellIs" dxfId="62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7.25" style="5" customWidth="1"/>
    <col min="2" max="2" width="11.5" style="96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0" customFormat="1" ht="19.5">
      <c r="A1" s="549" t="s">
        <v>498</v>
      </c>
      <c r="B1" s="549"/>
      <c r="C1" s="549"/>
      <c r="D1" s="549"/>
      <c r="E1" s="549"/>
      <c r="F1" s="549"/>
      <c r="G1" s="549"/>
      <c r="H1" s="549"/>
      <c r="I1" s="549"/>
    </row>
    <row r="2" spans="1:9" ht="17.25" customHeight="1"/>
    <row r="3" spans="1:9" s="7" customFormat="1" ht="15.75">
      <c r="A3" s="111" t="s">
        <v>156</v>
      </c>
      <c r="B3" s="181"/>
      <c r="C3" s="63"/>
      <c r="D3" s="182"/>
      <c r="E3" s="63"/>
      <c r="F3" s="181"/>
      <c r="G3" s="181"/>
      <c r="H3" s="63"/>
      <c r="I3" s="182"/>
    </row>
    <row r="4" spans="1:9" s="13" customFormat="1">
      <c r="A4" s="8" t="s">
        <v>484</v>
      </c>
      <c r="B4" s="8" t="s">
        <v>485</v>
      </c>
      <c r="C4" s="8" t="s">
        <v>489</v>
      </c>
      <c r="D4" s="9" t="s">
        <v>1</v>
      </c>
      <c r="E4" s="10" t="s">
        <v>487</v>
      </c>
      <c r="F4" s="11" t="s">
        <v>2</v>
      </c>
      <c r="G4" s="8" t="s">
        <v>488</v>
      </c>
      <c r="H4" s="11" t="s">
        <v>2</v>
      </c>
      <c r="I4" s="183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84" t="s">
        <v>4</v>
      </c>
    </row>
    <row r="6" spans="1:9" ht="18.600000000000001" customHeight="1">
      <c r="A6" s="172" t="s">
        <v>5</v>
      </c>
      <c r="B6" s="185"/>
      <c r="C6" s="17"/>
      <c r="D6" s="186"/>
      <c r="E6" s="17"/>
      <c r="F6" s="186"/>
      <c r="G6" s="186"/>
      <c r="H6" s="17"/>
      <c r="I6" s="187"/>
    </row>
    <row r="7" spans="1:9">
      <c r="A7" s="20" t="s">
        <v>6</v>
      </c>
      <c r="B7" s="188">
        <f>SUM(B8:B10)</f>
        <v>0</v>
      </c>
      <c r="C7" s="22">
        <f>SUM(C8:C10)</f>
        <v>0</v>
      </c>
      <c r="D7" s="189">
        <f>IF(B7,C7/B7,0)</f>
        <v>0</v>
      </c>
      <c r="E7" s="22">
        <f>SUM(E8:E10)</f>
        <v>4</v>
      </c>
      <c r="F7" s="190">
        <f>E7/$E$68</f>
        <v>5.3619302949061668E-4</v>
      </c>
      <c r="G7" s="191">
        <f>SUM(G8:G10)</f>
        <v>3424</v>
      </c>
      <c r="H7" s="24">
        <f>G7/$G$68</f>
        <v>6.7521678323884766E-4</v>
      </c>
      <c r="I7" s="192">
        <f>IF(E7,G7/E7,0)</f>
        <v>856</v>
      </c>
    </row>
    <row r="8" spans="1:9">
      <c r="A8" s="26" t="s">
        <v>380</v>
      </c>
      <c r="B8" s="193">
        <v>0</v>
      </c>
      <c r="C8" s="28">
        <v>0</v>
      </c>
      <c r="D8" s="189">
        <f t="shared" ref="D8:D67" si="0">IF(B8,C8/B8,0)</f>
        <v>0</v>
      </c>
      <c r="E8" s="28">
        <f>VLOOKUP(A8,[11]進出口值表查詢結果!$A$3:$C$17,3,0)</f>
        <v>3</v>
      </c>
      <c r="F8" s="190">
        <f>E8/$E$68</f>
        <v>4.0214477211796245E-4</v>
      </c>
      <c r="G8" s="193">
        <f>VLOOKUP(A8,[11]進出口值表查詢結果!$A$3:$C$17,2,0)</f>
        <v>2833</v>
      </c>
      <c r="H8" s="24">
        <f>G8/$G$68</f>
        <v>5.5867089571134802E-4</v>
      </c>
      <c r="I8" s="192">
        <f t="shared" ref="I8:I67" si="1">IF(E8,G8/E8,0)</f>
        <v>944.33333333333337</v>
      </c>
    </row>
    <row r="9" spans="1:9">
      <c r="A9" s="30" t="s">
        <v>7</v>
      </c>
      <c r="B9" s="193">
        <v>0</v>
      </c>
      <c r="C9" s="193">
        <v>0</v>
      </c>
      <c r="D9" s="189">
        <f t="shared" si="0"/>
        <v>0</v>
      </c>
      <c r="E9" s="28">
        <f>VLOOKUP(A9,[11]進出口值表查詢結果!$A$3:$C$17,3,0)</f>
        <v>1</v>
      </c>
      <c r="F9" s="190">
        <f>E9/$E$68</f>
        <v>1.3404825737265417E-4</v>
      </c>
      <c r="G9" s="193">
        <f>VLOOKUP(A9,[11]進出口值表查詢結果!$A$3:$C$17,2,0)</f>
        <v>591</v>
      </c>
      <c r="H9" s="24">
        <f>G9/$G$68</f>
        <v>1.165458875274997E-4</v>
      </c>
      <c r="I9" s="192">
        <f t="shared" si="1"/>
        <v>591</v>
      </c>
    </row>
    <row r="10" spans="1:9">
      <c r="A10" s="30" t="s">
        <v>8</v>
      </c>
      <c r="B10" s="193">
        <v>0</v>
      </c>
      <c r="C10" s="28">
        <v>0</v>
      </c>
      <c r="D10" s="189">
        <f t="shared" si="0"/>
        <v>0</v>
      </c>
      <c r="E10" s="28">
        <v>0</v>
      </c>
      <c r="F10" s="190">
        <f>E10/$E$68</f>
        <v>0</v>
      </c>
      <c r="G10" s="193">
        <v>0</v>
      </c>
      <c r="H10" s="24">
        <f>G10/$G$68</f>
        <v>0</v>
      </c>
      <c r="I10" s="192">
        <f t="shared" si="1"/>
        <v>0</v>
      </c>
    </row>
    <row r="11" spans="1:9">
      <c r="A11" s="31"/>
      <c r="B11" s="193"/>
      <c r="C11" s="28"/>
      <c r="D11" s="189"/>
      <c r="E11" s="27"/>
      <c r="F11" s="194"/>
      <c r="G11" s="193"/>
      <c r="H11" s="29"/>
      <c r="I11" s="192"/>
    </row>
    <row r="12" spans="1:9">
      <c r="A12" s="32" t="s">
        <v>9</v>
      </c>
      <c r="B12" s="195">
        <f>SUM(B13:B39)</f>
        <v>500</v>
      </c>
      <c r="C12" s="33">
        <f>SUM(C13:C39)</f>
        <v>320820</v>
      </c>
      <c r="D12" s="189">
        <f t="shared" si="0"/>
        <v>641.64</v>
      </c>
      <c r="E12" s="33">
        <f>SUM(E13:E39)</f>
        <v>1578</v>
      </c>
      <c r="F12" s="190">
        <f t="shared" ref="F12:F13" si="2">E12/$E$68</f>
        <v>0.21152815013404827</v>
      </c>
      <c r="G12" s="195">
        <f>SUM(G13:G39)</f>
        <v>937853</v>
      </c>
      <c r="H12" s="24">
        <f>G12/$G$68</f>
        <v>0.18494570263168897</v>
      </c>
      <c r="I12" s="192">
        <f t="shared" si="1"/>
        <v>594.33016476552598</v>
      </c>
    </row>
    <row r="13" spans="1:9">
      <c r="A13" s="444" t="s">
        <v>201</v>
      </c>
      <c r="B13" s="193">
        <v>0</v>
      </c>
      <c r="C13" s="193">
        <v>0</v>
      </c>
      <c r="D13" s="189">
        <f t="shared" si="0"/>
        <v>0</v>
      </c>
      <c r="E13" s="28">
        <f>VLOOKUP(A13,[11]進出口值表查詢結果!$A$3:$C$17,3,0)</f>
        <v>30</v>
      </c>
      <c r="F13" s="190">
        <f t="shared" si="2"/>
        <v>4.0214477211796247E-3</v>
      </c>
      <c r="G13" s="193">
        <f>VLOOKUP(A13,[11]進出口值表查詢結果!$A$3:$C$17,2,0)</f>
        <v>13469</v>
      </c>
      <c r="H13" s="24">
        <f>G13/$G$68</f>
        <v>2.6561024688796842E-3</v>
      </c>
      <c r="I13" s="192">
        <f t="shared" si="1"/>
        <v>448.96666666666664</v>
      </c>
    </row>
    <row r="14" spans="1:9">
      <c r="A14" s="444" t="s">
        <v>202</v>
      </c>
      <c r="B14" s="193">
        <v>0</v>
      </c>
      <c r="C14" s="28">
        <v>0</v>
      </c>
      <c r="D14" s="189">
        <f t="shared" ref="D14:D39" si="3">IF(B14,C14/B14,0)</f>
        <v>0</v>
      </c>
      <c r="E14" s="28">
        <v>0</v>
      </c>
      <c r="F14" s="190">
        <f t="shared" ref="F14:F39" si="4">E14/$E$68</f>
        <v>0</v>
      </c>
      <c r="G14" s="193">
        <v>0</v>
      </c>
      <c r="H14" s="24">
        <f t="shared" ref="H14:H39" si="5">G14/$G$68</f>
        <v>0</v>
      </c>
      <c r="I14" s="192">
        <f t="shared" ref="I14:I39" si="6">IF(E14,G14/E14,0)</f>
        <v>0</v>
      </c>
    </row>
    <row r="15" spans="1:9">
      <c r="A15" s="445" t="s">
        <v>10</v>
      </c>
      <c r="B15" s="193">
        <v>0</v>
      </c>
      <c r="C15" s="28">
        <v>0</v>
      </c>
      <c r="D15" s="189">
        <f t="shared" si="3"/>
        <v>0</v>
      </c>
      <c r="E15" s="28">
        <f>VLOOKUP(A15,[11]進出口值表查詢結果!$A$3:$C$17,3,0)</f>
        <v>48</v>
      </c>
      <c r="F15" s="190">
        <f t="shared" si="4"/>
        <v>6.4343163538873992E-3</v>
      </c>
      <c r="G15" s="193">
        <f>VLOOKUP(A15,[11]進出口值表查詢結果!$A$3:$C$17,2,0)</f>
        <v>40131</v>
      </c>
      <c r="H15" s="24">
        <f t="shared" si="5"/>
        <v>7.913879885560221E-3</v>
      </c>
      <c r="I15" s="192">
        <f t="shared" si="6"/>
        <v>836.0625</v>
      </c>
    </row>
    <row r="16" spans="1:9">
      <c r="A16" s="444" t="s">
        <v>203</v>
      </c>
      <c r="B16" s="193">
        <v>0</v>
      </c>
      <c r="C16" s="28">
        <v>0</v>
      </c>
      <c r="D16" s="189">
        <f t="shared" si="3"/>
        <v>0</v>
      </c>
      <c r="E16" s="28">
        <v>0</v>
      </c>
      <c r="F16" s="190">
        <f t="shared" si="4"/>
        <v>0</v>
      </c>
      <c r="G16" s="27">
        <v>0</v>
      </c>
      <c r="H16" s="24">
        <f t="shared" si="5"/>
        <v>0</v>
      </c>
      <c r="I16" s="192">
        <f t="shared" si="6"/>
        <v>0</v>
      </c>
    </row>
    <row r="17" spans="1:9">
      <c r="A17" s="445" t="s">
        <v>11</v>
      </c>
      <c r="B17" s="193">
        <v>0</v>
      </c>
      <c r="C17" s="28">
        <v>0</v>
      </c>
      <c r="D17" s="189">
        <f t="shared" si="3"/>
        <v>0</v>
      </c>
      <c r="E17" s="28">
        <v>0</v>
      </c>
      <c r="F17" s="190">
        <f t="shared" si="4"/>
        <v>0</v>
      </c>
      <c r="G17" s="27">
        <v>0</v>
      </c>
      <c r="H17" s="24">
        <f t="shared" si="5"/>
        <v>0</v>
      </c>
      <c r="I17" s="192">
        <f t="shared" si="6"/>
        <v>0</v>
      </c>
    </row>
    <row r="18" spans="1:9">
      <c r="A18" s="445" t="s">
        <v>12</v>
      </c>
      <c r="B18" s="193">
        <v>0</v>
      </c>
      <c r="C18" s="28">
        <v>0</v>
      </c>
      <c r="D18" s="189">
        <f t="shared" si="3"/>
        <v>0</v>
      </c>
      <c r="E18" s="28">
        <v>0</v>
      </c>
      <c r="F18" s="190">
        <f t="shared" si="4"/>
        <v>0</v>
      </c>
      <c r="G18" s="27">
        <v>0</v>
      </c>
      <c r="H18" s="24">
        <f t="shared" si="5"/>
        <v>0</v>
      </c>
      <c r="I18" s="192">
        <f t="shared" si="6"/>
        <v>0</v>
      </c>
    </row>
    <row r="19" spans="1:9">
      <c r="A19" s="444" t="s">
        <v>204</v>
      </c>
      <c r="B19" s="193">
        <v>0</v>
      </c>
      <c r="C19" s="28">
        <v>0</v>
      </c>
      <c r="D19" s="189">
        <f t="shared" si="3"/>
        <v>0</v>
      </c>
      <c r="E19" s="28">
        <v>0</v>
      </c>
      <c r="F19" s="190">
        <f t="shared" si="4"/>
        <v>0</v>
      </c>
      <c r="G19" s="27">
        <v>0</v>
      </c>
      <c r="H19" s="24">
        <f t="shared" si="5"/>
        <v>0</v>
      </c>
      <c r="I19" s="192">
        <f t="shared" si="6"/>
        <v>0</v>
      </c>
    </row>
    <row r="20" spans="1:9">
      <c r="A20" s="445" t="s">
        <v>13</v>
      </c>
      <c r="B20" s="193">
        <v>0</v>
      </c>
      <c r="C20" s="28">
        <v>0</v>
      </c>
      <c r="D20" s="189">
        <f t="shared" si="3"/>
        <v>0</v>
      </c>
      <c r="E20" s="28">
        <v>0</v>
      </c>
      <c r="F20" s="190">
        <f t="shared" si="4"/>
        <v>0</v>
      </c>
      <c r="G20" s="27">
        <v>0</v>
      </c>
      <c r="H20" s="24">
        <f t="shared" si="5"/>
        <v>0</v>
      </c>
      <c r="I20" s="192">
        <f t="shared" si="6"/>
        <v>0</v>
      </c>
    </row>
    <row r="21" spans="1:9">
      <c r="A21" s="444" t="s">
        <v>206</v>
      </c>
      <c r="B21" s="193">
        <v>0</v>
      </c>
      <c r="C21" s="28">
        <v>0</v>
      </c>
      <c r="D21" s="189">
        <f t="shared" si="3"/>
        <v>0</v>
      </c>
      <c r="E21" s="28">
        <v>0</v>
      </c>
      <c r="F21" s="190">
        <f t="shared" si="4"/>
        <v>0</v>
      </c>
      <c r="G21" s="27">
        <v>0</v>
      </c>
      <c r="H21" s="24">
        <f t="shared" si="5"/>
        <v>0</v>
      </c>
      <c r="I21" s="192">
        <f t="shared" si="6"/>
        <v>0</v>
      </c>
    </row>
    <row r="22" spans="1:9">
      <c r="A22" s="445" t="s">
        <v>14</v>
      </c>
      <c r="B22" s="193">
        <v>0</v>
      </c>
      <c r="C22" s="28">
        <v>0</v>
      </c>
      <c r="D22" s="189">
        <f t="shared" si="3"/>
        <v>0</v>
      </c>
      <c r="E22" s="28">
        <v>0</v>
      </c>
      <c r="F22" s="190">
        <f t="shared" si="4"/>
        <v>0</v>
      </c>
      <c r="G22" s="27">
        <v>0</v>
      </c>
      <c r="H22" s="24">
        <f t="shared" si="5"/>
        <v>0</v>
      </c>
      <c r="I22" s="192">
        <f t="shared" si="6"/>
        <v>0</v>
      </c>
    </row>
    <row r="23" spans="1:9">
      <c r="A23" s="445" t="s">
        <v>15</v>
      </c>
      <c r="B23" s="193">
        <v>0</v>
      </c>
      <c r="C23" s="28">
        <v>0</v>
      </c>
      <c r="D23" s="189">
        <f t="shared" si="3"/>
        <v>0</v>
      </c>
      <c r="E23" s="28">
        <v>0</v>
      </c>
      <c r="F23" s="190">
        <f t="shared" si="4"/>
        <v>0</v>
      </c>
      <c r="G23" s="27">
        <v>0</v>
      </c>
      <c r="H23" s="24">
        <f t="shared" si="5"/>
        <v>0</v>
      </c>
      <c r="I23" s="192">
        <f t="shared" si="6"/>
        <v>0</v>
      </c>
    </row>
    <row r="24" spans="1:9">
      <c r="A24" s="445" t="s">
        <v>16</v>
      </c>
      <c r="B24" s="193">
        <v>500</v>
      </c>
      <c r="C24" s="28">
        <v>320820</v>
      </c>
      <c r="D24" s="189">
        <f t="shared" si="3"/>
        <v>641.64</v>
      </c>
      <c r="E24" s="28">
        <f>VLOOKUP(A24,[11]進出口值表查詢結果!$A$3:$C$17,3,0)</f>
        <v>1500</v>
      </c>
      <c r="F24" s="190">
        <f t="shared" si="4"/>
        <v>0.20107238605898123</v>
      </c>
      <c r="G24" s="193">
        <f>VLOOKUP(A24,[11]進出口值表查詢結果!$A$3:$C$17,2,0)</f>
        <v>884253</v>
      </c>
      <c r="H24" s="24">
        <f t="shared" si="5"/>
        <v>0.17437572027724907</v>
      </c>
      <c r="I24" s="192">
        <f t="shared" si="6"/>
        <v>589.50199999999995</v>
      </c>
    </row>
    <row r="25" spans="1:9">
      <c r="A25" s="444" t="s">
        <v>207</v>
      </c>
      <c r="B25" s="193">
        <v>0</v>
      </c>
      <c r="C25" s="28">
        <v>0</v>
      </c>
      <c r="D25" s="189">
        <f t="shared" si="3"/>
        <v>0</v>
      </c>
      <c r="E25" s="28">
        <v>0</v>
      </c>
      <c r="F25" s="190">
        <f t="shared" si="4"/>
        <v>0</v>
      </c>
      <c r="G25" s="27">
        <v>0</v>
      </c>
      <c r="H25" s="24">
        <f t="shared" si="5"/>
        <v>0</v>
      </c>
      <c r="I25" s="192">
        <f t="shared" si="6"/>
        <v>0</v>
      </c>
    </row>
    <row r="26" spans="1:9">
      <c r="A26" s="444" t="s">
        <v>208</v>
      </c>
      <c r="B26" s="193">
        <v>0</v>
      </c>
      <c r="C26" s="28">
        <v>0</v>
      </c>
      <c r="D26" s="189">
        <f t="shared" si="3"/>
        <v>0</v>
      </c>
      <c r="E26" s="28">
        <v>0</v>
      </c>
      <c r="F26" s="190">
        <f t="shared" si="4"/>
        <v>0</v>
      </c>
      <c r="G26" s="27">
        <v>0</v>
      </c>
      <c r="H26" s="24">
        <f t="shared" si="5"/>
        <v>0</v>
      </c>
      <c r="I26" s="192">
        <f t="shared" si="6"/>
        <v>0</v>
      </c>
    </row>
    <row r="27" spans="1:9">
      <c r="A27" s="292" t="s">
        <v>209</v>
      </c>
      <c r="B27" s="193">
        <v>0</v>
      </c>
      <c r="C27" s="28">
        <v>0</v>
      </c>
      <c r="D27" s="189">
        <f t="shared" si="3"/>
        <v>0</v>
      </c>
      <c r="E27" s="28">
        <v>0</v>
      </c>
      <c r="F27" s="190">
        <f t="shared" si="4"/>
        <v>0</v>
      </c>
      <c r="G27" s="27">
        <v>0</v>
      </c>
      <c r="H27" s="24">
        <f t="shared" si="5"/>
        <v>0</v>
      </c>
      <c r="I27" s="192">
        <f t="shared" si="6"/>
        <v>0</v>
      </c>
    </row>
    <row r="28" spans="1:9">
      <c r="A28" s="292" t="s">
        <v>210</v>
      </c>
      <c r="B28" s="193">
        <v>0</v>
      </c>
      <c r="C28" s="28">
        <v>0</v>
      </c>
      <c r="D28" s="189">
        <f t="shared" si="3"/>
        <v>0</v>
      </c>
      <c r="E28" s="28">
        <v>0</v>
      </c>
      <c r="F28" s="190">
        <f t="shared" si="4"/>
        <v>0</v>
      </c>
      <c r="G28" s="27">
        <v>0</v>
      </c>
      <c r="H28" s="24">
        <f t="shared" si="5"/>
        <v>0</v>
      </c>
      <c r="I28" s="192">
        <f t="shared" si="6"/>
        <v>0</v>
      </c>
    </row>
    <row r="29" spans="1:9">
      <c r="A29" s="445" t="s">
        <v>211</v>
      </c>
      <c r="B29" s="193">
        <v>0</v>
      </c>
      <c r="C29" s="28">
        <v>0</v>
      </c>
      <c r="D29" s="189">
        <f t="shared" si="3"/>
        <v>0</v>
      </c>
      <c r="E29" s="28">
        <v>0</v>
      </c>
      <c r="F29" s="190">
        <f t="shared" si="4"/>
        <v>0</v>
      </c>
      <c r="G29" s="27">
        <v>0</v>
      </c>
      <c r="H29" s="24">
        <f t="shared" si="5"/>
        <v>0</v>
      </c>
      <c r="I29" s="192">
        <f t="shared" si="6"/>
        <v>0</v>
      </c>
    </row>
    <row r="30" spans="1:9">
      <c r="A30" s="445" t="s">
        <v>212</v>
      </c>
      <c r="B30" s="193">
        <v>0</v>
      </c>
      <c r="C30" s="28">
        <v>0</v>
      </c>
      <c r="D30" s="189">
        <f t="shared" si="3"/>
        <v>0</v>
      </c>
      <c r="E30" s="28">
        <v>0</v>
      </c>
      <c r="F30" s="190">
        <f t="shared" si="4"/>
        <v>0</v>
      </c>
      <c r="G30" s="27">
        <v>0</v>
      </c>
      <c r="H30" s="24">
        <f t="shared" si="5"/>
        <v>0</v>
      </c>
      <c r="I30" s="192">
        <f t="shared" si="6"/>
        <v>0</v>
      </c>
    </row>
    <row r="31" spans="1:9">
      <c r="A31" s="445" t="s">
        <v>17</v>
      </c>
      <c r="B31" s="193">
        <v>0</v>
      </c>
      <c r="C31" s="28">
        <v>0</v>
      </c>
      <c r="D31" s="189">
        <f t="shared" si="3"/>
        <v>0</v>
      </c>
      <c r="E31" s="28">
        <v>0</v>
      </c>
      <c r="F31" s="190">
        <f t="shared" si="4"/>
        <v>0</v>
      </c>
      <c r="G31" s="27">
        <v>0</v>
      </c>
      <c r="H31" s="24">
        <f t="shared" si="5"/>
        <v>0</v>
      </c>
      <c r="I31" s="192">
        <f t="shared" si="6"/>
        <v>0</v>
      </c>
    </row>
    <row r="32" spans="1:9">
      <c r="A32" s="445" t="s">
        <v>18</v>
      </c>
      <c r="B32" s="193">
        <v>0</v>
      </c>
      <c r="C32" s="28">
        <v>0</v>
      </c>
      <c r="D32" s="189">
        <f t="shared" si="3"/>
        <v>0</v>
      </c>
      <c r="E32" s="28">
        <v>0</v>
      </c>
      <c r="F32" s="190">
        <f t="shared" si="4"/>
        <v>0</v>
      </c>
      <c r="G32" s="27">
        <v>0</v>
      </c>
      <c r="H32" s="24">
        <f t="shared" si="5"/>
        <v>0</v>
      </c>
      <c r="I32" s="192">
        <f t="shared" si="6"/>
        <v>0</v>
      </c>
    </row>
    <row r="33" spans="1:9">
      <c r="A33" s="445" t="s">
        <v>213</v>
      </c>
      <c r="B33" s="193">
        <v>0</v>
      </c>
      <c r="C33" s="28">
        <v>0</v>
      </c>
      <c r="D33" s="189">
        <f t="shared" si="3"/>
        <v>0</v>
      </c>
      <c r="E33" s="28">
        <v>0</v>
      </c>
      <c r="F33" s="190">
        <f t="shared" si="4"/>
        <v>0</v>
      </c>
      <c r="G33" s="27">
        <v>0</v>
      </c>
      <c r="H33" s="24">
        <f t="shared" si="5"/>
        <v>0</v>
      </c>
      <c r="I33" s="192">
        <f t="shared" si="6"/>
        <v>0</v>
      </c>
    </row>
    <row r="34" spans="1:9">
      <c r="A34" s="445" t="s">
        <v>214</v>
      </c>
      <c r="B34" s="193">
        <v>0</v>
      </c>
      <c r="C34" s="28">
        <v>0</v>
      </c>
      <c r="D34" s="189">
        <f t="shared" si="3"/>
        <v>0</v>
      </c>
      <c r="E34" s="28">
        <v>0</v>
      </c>
      <c r="F34" s="190">
        <f t="shared" si="4"/>
        <v>0</v>
      </c>
      <c r="G34" s="27">
        <v>0</v>
      </c>
      <c r="H34" s="24">
        <f t="shared" si="5"/>
        <v>0</v>
      </c>
      <c r="I34" s="192">
        <f t="shared" si="6"/>
        <v>0</v>
      </c>
    </row>
    <row r="35" spans="1:9">
      <c r="A35" s="445" t="s">
        <v>215</v>
      </c>
      <c r="B35" s="193">
        <v>0</v>
      </c>
      <c r="C35" s="28">
        <v>0</v>
      </c>
      <c r="D35" s="189">
        <f t="shared" si="3"/>
        <v>0</v>
      </c>
      <c r="E35" s="28">
        <v>0</v>
      </c>
      <c r="F35" s="190">
        <f t="shared" si="4"/>
        <v>0</v>
      </c>
      <c r="G35" s="27">
        <v>0</v>
      </c>
      <c r="H35" s="24">
        <f t="shared" si="5"/>
        <v>0</v>
      </c>
      <c r="I35" s="192">
        <f t="shared" si="6"/>
        <v>0</v>
      </c>
    </row>
    <row r="36" spans="1:9">
      <c r="A36" s="445" t="s">
        <v>381</v>
      </c>
      <c r="B36" s="193">
        <v>0</v>
      </c>
      <c r="C36" s="28">
        <v>0</v>
      </c>
      <c r="D36" s="189">
        <f t="shared" si="3"/>
        <v>0</v>
      </c>
      <c r="E36" s="28">
        <v>0</v>
      </c>
      <c r="F36" s="190">
        <f t="shared" si="4"/>
        <v>0</v>
      </c>
      <c r="G36" s="27">
        <v>0</v>
      </c>
      <c r="H36" s="24">
        <f t="shared" si="5"/>
        <v>0</v>
      </c>
      <c r="I36" s="192">
        <f t="shared" si="6"/>
        <v>0</v>
      </c>
    </row>
    <row r="37" spans="1:9">
      <c r="A37" s="445" t="s">
        <v>217</v>
      </c>
      <c r="B37" s="193">
        <v>0</v>
      </c>
      <c r="C37" s="28">
        <v>0</v>
      </c>
      <c r="D37" s="189">
        <f t="shared" si="3"/>
        <v>0</v>
      </c>
      <c r="E37" s="28">
        <v>0</v>
      </c>
      <c r="F37" s="190">
        <f t="shared" si="4"/>
        <v>0</v>
      </c>
      <c r="G37" s="27">
        <v>0</v>
      </c>
      <c r="H37" s="24">
        <f t="shared" si="5"/>
        <v>0</v>
      </c>
      <c r="I37" s="192">
        <f t="shared" si="6"/>
        <v>0</v>
      </c>
    </row>
    <row r="38" spans="1:9">
      <c r="A38" s="445" t="s">
        <v>218</v>
      </c>
      <c r="B38" s="193">
        <v>0</v>
      </c>
      <c r="C38" s="28">
        <v>0</v>
      </c>
      <c r="D38" s="189">
        <f t="shared" si="3"/>
        <v>0</v>
      </c>
      <c r="E38" s="28">
        <v>0</v>
      </c>
      <c r="F38" s="190">
        <f t="shared" si="4"/>
        <v>0</v>
      </c>
      <c r="G38" s="27">
        <v>0</v>
      </c>
      <c r="H38" s="24">
        <f t="shared" si="5"/>
        <v>0</v>
      </c>
      <c r="I38" s="192">
        <f t="shared" si="6"/>
        <v>0</v>
      </c>
    </row>
    <row r="39" spans="1:9">
      <c r="A39" s="445" t="s">
        <v>19</v>
      </c>
      <c r="B39" s="193">
        <v>0</v>
      </c>
      <c r="C39" s="28">
        <v>0</v>
      </c>
      <c r="D39" s="189">
        <f t="shared" si="3"/>
        <v>0</v>
      </c>
      <c r="E39" s="28">
        <v>0</v>
      </c>
      <c r="F39" s="190">
        <f t="shared" si="4"/>
        <v>0</v>
      </c>
      <c r="G39" s="27">
        <v>0</v>
      </c>
      <c r="H39" s="24">
        <f t="shared" si="5"/>
        <v>0</v>
      </c>
      <c r="I39" s="192">
        <f t="shared" si="6"/>
        <v>0</v>
      </c>
    </row>
    <row r="40" spans="1:9">
      <c r="A40" s="30"/>
      <c r="B40" s="193"/>
      <c r="C40" s="27"/>
      <c r="D40" s="189"/>
      <c r="E40" s="27"/>
      <c r="F40" s="194"/>
      <c r="G40" s="193"/>
      <c r="H40" s="24"/>
      <c r="I40" s="192"/>
    </row>
    <row r="41" spans="1:9" ht="15.6" customHeight="1">
      <c r="A41" s="36" t="s">
        <v>20</v>
      </c>
      <c r="B41" s="195">
        <f>SUM(B42:B45)</f>
        <v>0</v>
      </c>
      <c r="C41" s="33">
        <f>SUM(C42:C45)</f>
        <v>0</v>
      </c>
      <c r="D41" s="189">
        <f t="shared" si="0"/>
        <v>0</v>
      </c>
      <c r="E41" s="33">
        <f>SUM(E42:E45)</f>
        <v>0</v>
      </c>
      <c r="F41" s="190">
        <f>E41/$E$68</f>
        <v>0</v>
      </c>
      <c r="G41" s="195">
        <f>SUM(G42:G45)</f>
        <v>0</v>
      </c>
      <c r="H41" s="24">
        <f t="shared" ref="H41:H42" si="7">G41/$G$68</f>
        <v>0</v>
      </c>
      <c r="I41" s="192">
        <f t="shared" si="1"/>
        <v>0</v>
      </c>
    </row>
    <row r="42" spans="1:9">
      <c r="A42" s="444" t="s">
        <v>219</v>
      </c>
      <c r="B42" s="193">
        <v>0</v>
      </c>
      <c r="C42" s="28">
        <v>0</v>
      </c>
      <c r="D42" s="189">
        <f t="shared" si="0"/>
        <v>0</v>
      </c>
      <c r="E42" s="28">
        <v>0</v>
      </c>
      <c r="F42" s="190">
        <f>E42/$E$68</f>
        <v>0</v>
      </c>
      <c r="G42" s="27">
        <v>0</v>
      </c>
      <c r="H42" s="24">
        <f t="shared" si="7"/>
        <v>0</v>
      </c>
      <c r="I42" s="192">
        <f t="shared" si="1"/>
        <v>0</v>
      </c>
    </row>
    <row r="43" spans="1:9">
      <c r="A43" s="444" t="s">
        <v>220</v>
      </c>
      <c r="B43" s="193">
        <v>0</v>
      </c>
      <c r="C43" s="28">
        <v>0</v>
      </c>
      <c r="D43" s="189">
        <f t="shared" ref="D43:D45" si="8">IF(B43,C43/B43,0)</f>
        <v>0</v>
      </c>
      <c r="E43" s="28">
        <v>0</v>
      </c>
      <c r="F43" s="190">
        <f t="shared" ref="F43:F45" si="9">E43/$E$68</f>
        <v>0</v>
      </c>
      <c r="G43" s="27">
        <v>0</v>
      </c>
      <c r="H43" s="24">
        <f t="shared" ref="H43:H45" si="10">G43/$G$68</f>
        <v>0</v>
      </c>
      <c r="I43" s="192">
        <f t="shared" ref="I43:I45" si="11">IF(E43,G43/E43,0)</f>
        <v>0</v>
      </c>
    </row>
    <row r="44" spans="1:9">
      <c r="A44" s="444" t="s">
        <v>221</v>
      </c>
      <c r="B44" s="193">
        <v>0</v>
      </c>
      <c r="C44" s="28">
        <v>0</v>
      </c>
      <c r="D44" s="189">
        <f t="shared" si="8"/>
        <v>0</v>
      </c>
      <c r="E44" s="28">
        <v>0</v>
      </c>
      <c r="F44" s="190">
        <f t="shared" si="9"/>
        <v>0</v>
      </c>
      <c r="G44" s="27">
        <v>0</v>
      </c>
      <c r="H44" s="24">
        <f t="shared" si="10"/>
        <v>0</v>
      </c>
      <c r="I44" s="192">
        <f t="shared" si="11"/>
        <v>0</v>
      </c>
    </row>
    <row r="45" spans="1:9">
      <c r="A45" s="30" t="s">
        <v>21</v>
      </c>
      <c r="B45" s="193">
        <v>0</v>
      </c>
      <c r="C45" s="28">
        <v>0</v>
      </c>
      <c r="D45" s="189">
        <f t="shared" si="8"/>
        <v>0</v>
      </c>
      <c r="E45" s="28">
        <v>0</v>
      </c>
      <c r="F45" s="190">
        <f t="shared" si="9"/>
        <v>0</v>
      </c>
      <c r="G45" s="27">
        <v>0</v>
      </c>
      <c r="H45" s="24">
        <f t="shared" si="10"/>
        <v>0</v>
      </c>
      <c r="I45" s="192">
        <f t="shared" si="11"/>
        <v>0</v>
      </c>
    </row>
    <row r="46" spans="1:9" ht="16.899999999999999" customHeight="1">
      <c r="A46" s="30"/>
      <c r="B46" s="193"/>
      <c r="C46" s="27"/>
      <c r="D46" s="189"/>
      <c r="E46" s="27"/>
      <c r="F46" s="194"/>
      <c r="G46" s="193"/>
      <c r="H46" s="24"/>
      <c r="I46" s="192"/>
    </row>
    <row r="47" spans="1:9">
      <c r="A47" s="36" t="s">
        <v>22</v>
      </c>
      <c r="B47" s="195">
        <f>SUM(B48:B66)</f>
        <v>168</v>
      </c>
      <c r="C47" s="33">
        <f>SUM(C48:C66)</f>
        <v>162653</v>
      </c>
      <c r="D47" s="189">
        <f t="shared" si="0"/>
        <v>968.17261904761904</v>
      </c>
      <c r="E47" s="33">
        <f>SUM(E48:E66)</f>
        <v>5872</v>
      </c>
      <c r="F47" s="190">
        <f>E47/$E$68</f>
        <v>0.78713136729222521</v>
      </c>
      <c r="G47" s="195">
        <f>SUM(G48:G66)</f>
        <v>4126466</v>
      </c>
      <c r="H47" s="24">
        <f>G47/$G$68</f>
        <v>0.8137438956379891</v>
      </c>
      <c r="I47" s="192">
        <f t="shared" si="1"/>
        <v>702.73603542234332</v>
      </c>
    </row>
    <row r="48" spans="1:9">
      <c r="A48" s="476" t="s">
        <v>162</v>
      </c>
      <c r="B48" s="193">
        <v>0</v>
      </c>
      <c r="C48" s="193">
        <v>0</v>
      </c>
      <c r="D48" s="189">
        <f t="shared" si="0"/>
        <v>0</v>
      </c>
      <c r="E48" s="28">
        <v>0</v>
      </c>
      <c r="F48" s="190">
        <f t="shared" ref="F48" si="12">E48/$E$68</f>
        <v>0</v>
      </c>
      <c r="G48" s="27">
        <v>0</v>
      </c>
      <c r="H48" s="24">
        <f>G48/$G$68</f>
        <v>0</v>
      </c>
      <c r="I48" s="192">
        <f t="shared" si="1"/>
        <v>0</v>
      </c>
    </row>
    <row r="49" spans="1:10">
      <c r="A49" s="444" t="s">
        <v>222</v>
      </c>
      <c r="B49" s="193">
        <v>0</v>
      </c>
      <c r="C49" s="27">
        <v>0</v>
      </c>
      <c r="D49" s="189">
        <f t="shared" ref="D49:D66" si="13">IF(B49,C49/B49,0)</f>
        <v>0</v>
      </c>
      <c r="E49" s="28">
        <f>VLOOKUP(A49,[11]進出口值表查詢結果!$A$3:$C$17,3,0)</f>
        <v>884</v>
      </c>
      <c r="F49" s="190">
        <f t="shared" ref="F49:F66" si="14">E49/$E$68</f>
        <v>0.11849865951742627</v>
      </c>
      <c r="G49" s="193">
        <f>VLOOKUP(A49,[11]進出口值表查詢結果!$A$3:$C$17,2,0)</f>
        <v>698200</v>
      </c>
      <c r="H49" s="24">
        <f t="shared" ref="H49:H66" si="15">G49/$G$68</f>
        <v>0.13768585223637952</v>
      </c>
      <c r="I49" s="192">
        <f t="shared" ref="I49:I66" si="16">IF(E49,G49/E49,0)</f>
        <v>789.81900452488685</v>
      </c>
    </row>
    <row r="50" spans="1:10">
      <c r="A50" s="289" t="s">
        <v>223</v>
      </c>
      <c r="B50" s="193">
        <v>0</v>
      </c>
      <c r="C50" s="27">
        <v>0</v>
      </c>
      <c r="D50" s="189">
        <f t="shared" si="13"/>
        <v>0</v>
      </c>
      <c r="E50" s="28">
        <v>0</v>
      </c>
      <c r="F50" s="190">
        <f t="shared" si="14"/>
        <v>0</v>
      </c>
      <c r="G50" s="27">
        <v>0</v>
      </c>
      <c r="H50" s="24">
        <f t="shared" si="15"/>
        <v>0</v>
      </c>
      <c r="I50" s="192">
        <f t="shared" si="16"/>
        <v>0</v>
      </c>
      <c r="J50" s="477"/>
    </row>
    <row r="51" spans="1:10">
      <c r="A51" s="444" t="s">
        <v>224</v>
      </c>
      <c r="B51" s="193">
        <v>0</v>
      </c>
      <c r="C51" s="27">
        <v>0</v>
      </c>
      <c r="D51" s="189">
        <f t="shared" si="13"/>
        <v>0</v>
      </c>
      <c r="E51" s="28">
        <v>0</v>
      </c>
      <c r="F51" s="190">
        <f t="shared" si="14"/>
        <v>0</v>
      </c>
      <c r="G51" s="27">
        <v>0</v>
      </c>
      <c r="H51" s="24">
        <f t="shared" si="15"/>
        <v>0</v>
      </c>
      <c r="I51" s="192">
        <f t="shared" si="16"/>
        <v>0</v>
      </c>
    </row>
    <row r="52" spans="1:10">
      <c r="A52" s="445" t="s">
        <v>23</v>
      </c>
      <c r="B52" s="193">
        <v>0</v>
      </c>
      <c r="C52" s="27">
        <v>0</v>
      </c>
      <c r="D52" s="189">
        <f t="shared" si="13"/>
        <v>0</v>
      </c>
      <c r="E52" s="28">
        <v>0</v>
      </c>
      <c r="F52" s="190">
        <f t="shared" si="14"/>
        <v>0</v>
      </c>
      <c r="G52" s="27">
        <v>0</v>
      </c>
      <c r="H52" s="24">
        <f t="shared" si="15"/>
        <v>0</v>
      </c>
      <c r="I52" s="192">
        <f t="shared" si="16"/>
        <v>0</v>
      </c>
    </row>
    <row r="53" spans="1:10">
      <c r="A53" s="444" t="s">
        <v>225</v>
      </c>
      <c r="B53" s="193">
        <v>0</v>
      </c>
      <c r="C53" s="27">
        <v>0</v>
      </c>
      <c r="D53" s="189">
        <f t="shared" si="13"/>
        <v>0</v>
      </c>
      <c r="E53" s="28">
        <v>0</v>
      </c>
      <c r="F53" s="190">
        <f t="shared" si="14"/>
        <v>0</v>
      </c>
      <c r="G53" s="27">
        <v>0</v>
      </c>
      <c r="H53" s="24">
        <f t="shared" si="15"/>
        <v>0</v>
      </c>
      <c r="I53" s="192">
        <f t="shared" si="16"/>
        <v>0</v>
      </c>
    </row>
    <row r="54" spans="1:10">
      <c r="A54" s="445" t="s">
        <v>226</v>
      </c>
      <c r="B54" s="193">
        <v>0</v>
      </c>
      <c r="C54" s="27">
        <v>0</v>
      </c>
      <c r="D54" s="189">
        <f t="shared" si="13"/>
        <v>0</v>
      </c>
      <c r="E54" s="28">
        <f>VLOOKUP(A54,[11]進出口值表查詢結果!$A$3:$C$17,3,0)</f>
        <v>31</v>
      </c>
      <c r="F54" s="190">
        <f t="shared" si="14"/>
        <v>4.1554959785522786E-3</v>
      </c>
      <c r="G54" s="193">
        <f>VLOOKUP(A54,[11]進出口值表查詢結果!$A$3:$C$17,2,0)</f>
        <v>14557</v>
      </c>
      <c r="H54" s="24">
        <f t="shared" si="15"/>
        <v>2.8706573345817481E-3</v>
      </c>
      <c r="I54" s="192">
        <f t="shared" si="16"/>
        <v>469.58064516129031</v>
      </c>
    </row>
    <row r="55" spans="1:10">
      <c r="A55" s="445" t="s">
        <v>24</v>
      </c>
      <c r="B55" s="193">
        <v>0</v>
      </c>
      <c r="C55" s="27">
        <v>0</v>
      </c>
      <c r="D55" s="189">
        <f t="shared" si="13"/>
        <v>0</v>
      </c>
      <c r="E55" s="28">
        <v>0</v>
      </c>
      <c r="F55" s="190">
        <f t="shared" si="14"/>
        <v>0</v>
      </c>
      <c r="G55" s="27">
        <v>0</v>
      </c>
      <c r="H55" s="24">
        <f t="shared" si="15"/>
        <v>0</v>
      </c>
      <c r="I55" s="192">
        <f t="shared" si="16"/>
        <v>0</v>
      </c>
    </row>
    <row r="56" spans="1:10">
      <c r="A56" s="445" t="s">
        <v>227</v>
      </c>
      <c r="B56" s="193">
        <v>168</v>
      </c>
      <c r="C56" s="193">
        <v>162653</v>
      </c>
      <c r="D56" s="189">
        <f t="shared" si="13"/>
        <v>968.17261904761904</v>
      </c>
      <c r="E56" s="28">
        <f>VLOOKUP(A56,[11]進出口值表查詢結果!$A$3:$C$17,3,0)</f>
        <v>2600</v>
      </c>
      <c r="F56" s="190">
        <f t="shared" si="14"/>
        <v>0.34852546916890081</v>
      </c>
      <c r="G56" s="193">
        <f>VLOOKUP(A56,[11]進出口值表查詢結果!$A$3:$C$17,2,0)</f>
        <v>1623279</v>
      </c>
      <c r="H56" s="24">
        <f t="shared" si="15"/>
        <v>0.32011250720770251</v>
      </c>
      <c r="I56" s="192">
        <f t="shared" si="16"/>
        <v>624.33807692307687</v>
      </c>
    </row>
    <row r="57" spans="1:10">
      <c r="A57" s="447" t="s">
        <v>455</v>
      </c>
      <c r="B57" s="193">
        <v>0</v>
      </c>
      <c r="C57" s="27">
        <v>0</v>
      </c>
      <c r="D57" s="189">
        <f t="shared" si="13"/>
        <v>0</v>
      </c>
      <c r="E57" s="28">
        <f>VLOOKUP(A57,[11]進出口值表查詢結果!$A$3:$C$17,3,0)</f>
        <v>1665</v>
      </c>
      <c r="F57" s="190">
        <f t="shared" si="14"/>
        <v>0.22319034852546918</v>
      </c>
      <c r="G57" s="193">
        <f>VLOOKUP(A57,[11]進出口值表查詢結果!$A$3:$C$17,2,0)</f>
        <v>1347570</v>
      </c>
      <c r="H57" s="24">
        <f t="shared" si="15"/>
        <v>0.26574237166739895</v>
      </c>
      <c r="I57" s="192">
        <f t="shared" si="16"/>
        <v>809.35135135135135</v>
      </c>
    </row>
    <row r="58" spans="1:10">
      <c r="A58" s="292" t="s">
        <v>382</v>
      </c>
      <c r="B58" s="193">
        <v>0</v>
      </c>
      <c r="C58" s="193">
        <v>0</v>
      </c>
      <c r="D58" s="189">
        <f t="shared" si="13"/>
        <v>0</v>
      </c>
      <c r="E58" s="28">
        <f>VLOOKUP(A58,[11]進出口值表查詢結果!$A$3:$C$17,3,0)</f>
        <v>267</v>
      </c>
      <c r="F58" s="190">
        <f t="shared" si="14"/>
        <v>3.5790884718498658E-2</v>
      </c>
      <c r="G58" s="193">
        <f>VLOOKUP(A58,[11]進出口值表查詢結果!$A$3:$C$17,2,0)</f>
        <v>266569</v>
      </c>
      <c r="H58" s="24">
        <f t="shared" si="15"/>
        <v>5.2567716907475581E-2</v>
      </c>
      <c r="I58" s="192">
        <f t="shared" si="16"/>
        <v>998.38576779026221</v>
      </c>
    </row>
    <row r="59" spans="1:10">
      <c r="A59" s="445" t="s">
        <v>25</v>
      </c>
      <c r="B59" s="193">
        <v>0</v>
      </c>
      <c r="C59" s="27">
        <v>0</v>
      </c>
      <c r="D59" s="189">
        <f t="shared" si="13"/>
        <v>0</v>
      </c>
      <c r="E59" s="28">
        <f>VLOOKUP(A59,[11]進出口值表查詢結果!$A$3:$C$17,3,0)</f>
        <v>420</v>
      </c>
      <c r="F59" s="190">
        <f t="shared" si="14"/>
        <v>5.6300268096514748E-2</v>
      </c>
      <c r="G59" s="193">
        <f>VLOOKUP(A59,[11]進出口值表查詢結果!$A$3:$C$17,2,0)</f>
        <v>176030</v>
      </c>
      <c r="H59" s="24">
        <f t="shared" si="15"/>
        <v>3.4713320780821948E-2</v>
      </c>
      <c r="I59" s="192">
        <f t="shared" si="16"/>
        <v>419.11904761904759</v>
      </c>
    </row>
    <row r="60" spans="1:10">
      <c r="A60" s="445" t="s">
        <v>26</v>
      </c>
      <c r="B60" s="193">
        <v>0</v>
      </c>
      <c r="C60" s="27">
        <v>0</v>
      </c>
      <c r="D60" s="189">
        <f t="shared" si="13"/>
        <v>0</v>
      </c>
      <c r="E60" s="28">
        <v>0</v>
      </c>
      <c r="F60" s="190">
        <f t="shared" si="14"/>
        <v>0</v>
      </c>
      <c r="G60" s="27">
        <v>0</v>
      </c>
      <c r="H60" s="24">
        <f t="shared" si="15"/>
        <v>0</v>
      </c>
      <c r="I60" s="192">
        <f t="shared" si="16"/>
        <v>0</v>
      </c>
    </row>
    <row r="61" spans="1:10">
      <c r="A61" s="445" t="s">
        <v>27</v>
      </c>
      <c r="B61" s="193">
        <v>0</v>
      </c>
      <c r="C61" s="27">
        <v>0</v>
      </c>
      <c r="D61" s="189">
        <f t="shared" si="13"/>
        <v>0</v>
      </c>
      <c r="E61" s="28">
        <v>0</v>
      </c>
      <c r="F61" s="190">
        <f t="shared" si="14"/>
        <v>0</v>
      </c>
      <c r="G61" s="27">
        <v>0</v>
      </c>
      <c r="H61" s="24">
        <f t="shared" si="15"/>
        <v>0</v>
      </c>
      <c r="I61" s="192">
        <f t="shared" si="16"/>
        <v>0</v>
      </c>
    </row>
    <row r="62" spans="1:10">
      <c r="A62" s="292" t="s">
        <v>228</v>
      </c>
      <c r="B62" s="193">
        <v>0</v>
      </c>
      <c r="C62" s="27">
        <v>0</v>
      </c>
      <c r="D62" s="189">
        <f t="shared" si="13"/>
        <v>0</v>
      </c>
      <c r="E62" s="28">
        <v>0</v>
      </c>
      <c r="F62" s="190">
        <f t="shared" si="14"/>
        <v>0</v>
      </c>
      <c r="G62" s="27">
        <v>0</v>
      </c>
      <c r="H62" s="24">
        <f t="shared" si="15"/>
        <v>0</v>
      </c>
      <c r="I62" s="192">
        <f t="shared" si="16"/>
        <v>0</v>
      </c>
    </row>
    <row r="63" spans="1:10">
      <c r="A63" s="445" t="s">
        <v>28</v>
      </c>
      <c r="B63" s="193">
        <v>0</v>
      </c>
      <c r="C63" s="27">
        <v>0</v>
      </c>
      <c r="D63" s="189">
        <f t="shared" si="13"/>
        <v>0</v>
      </c>
      <c r="E63" s="28">
        <v>0</v>
      </c>
      <c r="F63" s="190">
        <f t="shared" si="14"/>
        <v>0</v>
      </c>
      <c r="G63" s="27">
        <v>0</v>
      </c>
      <c r="H63" s="24">
        <f t="shared" si="15"/>
        <v>0</v>
      </c>
      <c r="I63" s="192">
        <f t="shared" si="16"/>
        <v>0</v>
      </c>
    </row>
    <row r="64" spans="1:10" ht="15.75" customHeight="1">
      <c r="A64" s="292" t="s">
        <v>229</v>
      </c>
      <c r="B64" s="193">
        <v>0</v>
      </c>
      <c r="C64" s="27">
        <v>0</v>
      </c>
      <c r="D64" s="189">
        <f t="shared" si="13"/>
        <v>0</v>
      </c>
      <c r="E64" s="28">
        <v>0</v>
      </c>
      <c r="F64" s="190">
        <f t="shared" si="14"/>
        <v>0</v>
      </c>
      <c r="G64" s="27">
        <v>0</v>
      </c>
      <c r="H64" s="24">
        <f t="shared" si="15"/>
        <v>0</v>
      </c>
      <c r="I64" s="192">
        <f t="shared" si="16"/>
        <v>0</v>
      </c>
    </row>
    <row r="65" spans="1:9">
      <c r="A65" s="445" t="s">
        <v>29</v>
      </c>
      <c r="B65" s="193">
        <v>0</v>
      </c>
      <c r="C65" s="27">
        <v>0</v>
      </c>
      <c r="D65" s="189">
        <f t="shared" si="13"/>
        <v>0</v>
      </c>
      <c r="E65" s="28">
        <v>0</v>
      </c>
      <c r="F65" s="190">
        <f t="shared" si="14"/>
        <v>0</v>
      </c>
      <c r="G65" s="27">
        <v>0</v>
      </c>
      <c r="H65" s="24">
        <f t="shared" si="15"/>
        <v>0</v>
      </c>
      <c r="I65" s="192">
        <f t="shared" si="16"/>
        <v>0</v>
      </c>
    </row>
    <row r="66" spans="1:9">
      <c r="A66" s="292" t="s">
        <v>230</v>
      </c>
      <c r="B66" s="193">
        <v>0</v>
      </c>
      <c r="C66" s="27">
        <v>0</v>
      </c>
      <c r="D66" s="189">
        <f t="shared" si="13"/>
        <v>0</v>
      </c>
      <c r="E66" s="28">
        <f>VLOOKUP(A66,[11]進出口值表查詢結果!$A$3:$C$17,3,0)</f>
        <v>5</v>
      </c>
      <c r="F66" s="190">
        <f t="shared" si="14"/>
        <v>6.7024128686327079E-4</v>
      </c>
      <c r="G66" s="193">
        <f>VLOOKUP(A66,[11]進出口值表查詢結果!$A$3:$C$17,2,0)</f>
        <v>261</v>
      </c>
      <c r="H66" s="24">
        <f t="shared" si="15"/>
        <v>5.1469503628895808E-5</v>
      </c>
      <c r="I66" s="192">
        <f t="shared" si="16"/>
        <v>52.2</v>
      </c>
    </row>
    <row r="67" spans="1:9">
      <c r="A67" s="30" t="s">
        <v>30</v>
      </c>
      <c r="B67" s="193">
        <f>B68-B7-B12-B41-B47</f>
        <v>2</v>
      </c>
      <c r="C67" s="27">
        <f>C68-C47-C41-C12-C7</f>
        <v>1905</v>
      </c>
      <c r="D67" s="189">
        <f t="shared" si="0"/>
        <v>952.5</v>
      </c>
      <c r="E67" s="27">
        <f>E68-E47-E41-E12-E7</f>
        <v>6</v>
      </c>
      <c r="F67" s="190">
        <f t="shared" ref="F67:F68" si="17">E67/$E$68</f>
        <v>8.042895442359249E-4</v>
      </c>
      <c r="G67" s="193">
        <f>G68-G47-G41-G12-G7</f>
        <v>3221</v>
      </c>
      <c r="H67" s="24">
        <f t="shared" ref="H67:H68" si="18">G67/$G$68</f>
        <v>6.3518494708303982E-4</v>
      </c>
      <c r="I67" s="192">
        <f t="shared" si="1"/>
        <v>536.83333333333337</v>
      </c>
    </row>
    <row r="68" spans="1:9">
      <c r="A68" s="32" t="s">
        <v>400</v>
      </c>
      <c r="B68" s="193">
        <v>670</v>
      </c>
      <c r="C68" s="193">
        <v>485378</v>
      </c>
      <c r="D68" s="189">
        <f t="shared" ref="D68" si="19">C68/B68</f>
        <v>724.44477611940295</v>
      </c>
      <c r="E68" s="28">
        <f>VLOOKUP(A68,[11]進出口值表查詢結果!$A$3:$C$17,3,0)</f>
        <v>7460</v>
      </c>
      <c r="F68" s="190">
        <f t="shared" si="17"/>
        <v>1</v>
      </c>
      <c r="G68" s="193">
        <f>VLOOKUP(A68,[11]進出口值表查詢結果!$A$3:$C$17,2,0)</f>
        <v>5070964</v>
      </c>
      <c r="H68" s="24">
        <f t="shared" si="18"/>
        <v>1</v>
      </c>
      <c r="I68" s="192">
        <f t="shared" ref="I68" si="20">G68/E68</f>
        <v>679.75388739946379</v>
      </c>
    </row>
    <row r="69" spans="1:9" ht="6.75" customHeight="1">
      <c r="A69" s="38"/>
      <c r="B69" s="196"/>
      <c r="C69" s="39"/>
      <c r="D69" s="197"/>
      <c r="E69" s="39"/>
      <c r="F69" s="198"/>
      <c r="G69" s="196"/>
      <c r="H69" s="41"/>
      <c r="I69" s="197"/>
    </row>
    <row r="70" spans="1:9">
      <c r="A70" s="55" t="s">
        <v>57</v>
      </c>
      <c r="B70" s="199"/>
      <c r="C70" s="39"/>
      <c r="D70" s="199"/>
      <c r="E70" s="13"/>
      <c r="F70" s="199"/>
      <c r="G70" s="199"/>
      <c r="H70" s="13"/>
      <c r="I70" s="199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mergeCells count="1">
    <mergeCell ref="A1:I1"/>
  </mergeCells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整車出口</vt:lpstr>
      <vt:lpstr>整車同期比較</vt:lpstr>
      <vt:lpstr>整車出口全球總表更新至8月(記得隱藏)</vt:lpstr>
      <vt:lpstr>整車出口比較</vt:lpstr>
      <vt:lpstr>出口地區</vt:lpstr>
      <vt:lpstr>整車進口</vt:lpstr>
      <vt:lpstr>電動輔助自行車</vt:lpstr>
      <vt:lpstr>電動輔助自行車比較</vt:lpstr>
      <vt:lpstr>折疊車</vt:lpstr>
      <vt:lpstr>折疊車比較</vt:lpstr>
      <vt:lpstr>電輔折疊同期比較 </vt:lpstr>
      <vt:lpstr>零件進出口</vt:lpstr>
      <vt:lpstr>零件出口比較</vt:lpstr>
      <vt:lpstr>零件進口比較</vt:lpstr>
      <vt:lpstr>零件出進口國別 </vt:lpstr>
      <vt:lpstr>出口地區!Print_Area</vt:lpstr>
      <vt:lpstr>'電輔折疊同期比較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Yu-mei</cp:lastModifiedBy>
  <cp:lastPrinted>2021-03-02T01:57:04Z</cp:lastPrinted>
  <dcterms:created xsi:type="dcterms:W3CDTF">2018-05-28T02:49:39Z</dcterms:created>
  <dcterms:modified xsi:type="dcterms:W3CDTF">2023-09-22T07:59:04Z</dcterms:modified>
</cp:coreProperties>
</file>