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\\TBA\Emily\各年統計\2023統計\2023統計正本\"/>
    </mc:Choice>
  </mc:AlternateContent>
  <xr:revisionPtr revIDLastSave="0" documentId="13_ncr:1_{60CA7728-C389-4CB5-980D-A564400DCD6A}" xr6:coauthVersionLast="47" xr6:coauthVersionMax="47" xr10:uidLastSave="{00000000-0000-0000-0000-000000000000}"/>
  <bookViews>
    <workbookView xWindow="315" yWindow="0" windowWidth="20100" windowHeight="10875" tabRatio="774" firstSheet="6" activeTab="13" xr2:uid="{00000000-000D-0000-FFFF-FFFF00000000}"/>
  </bookViews>
  <sheets>
    <sheet name="整車出口" sheetId="1" r:id="rId1"/>
    <sheet name="整車同期比較" sheetId="27" r:id="rId2"/>
    <sheet name="整車出口全球總表更新至8月(記得隱藏)" sheetId="18" state="hidden" r:id="rId3"/>
    <sheet name="整車出口比較" sheetId="2" r:id="rId4"/>
    <sheet name="出口地區" sheetId="28" r:id="rId5"/>
    <sheet name="整車進口" sheetId="5" r:id="rId6"/>
    <sheet name="電動輔助自行車" sheetId="11" r:id="rId7"/>
    <sheet name="電動輔助自行車比較" sheetId="12" r:id="rId8"/>
    <sheet name="折疊車" sheetId="9" r:id="rId9"/>
    <sheet name="折疊車比較" sheetId="10" r:id="rId10"/>
    <sheet name="電輔折疊同期比較 " sheetId="26" r:id="rId11"/>
    <sheet name="零件" sheetId="22" r:id="rId12"/>
    <sheet name="零件出口比較" sheetId="23" r:id="rId13"/>
    <sheet name="零件進口比較" sheetId="25" r:id="rId14"/>
    <sheet name="零件出進口國別 " sheetId="31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xlnm.Print_Area" localSheetId="4">出口地區!$A$1:$J$34</definedName>
    <definedName name="_xlnm.Print_Area" localSheetId="10">'電輔折疊同期比較 '!$A$1:$G$42</definedName>
    <definedName name="_xlnm.Print_Area" localSheetId="1">整車同期比較!$A$1:$G$42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25" l="1"/>
  <c r="D48" i="25"/>
  <c r="M18" i="22"/>
  <c r="M15" i="22"/>
  <c r="M12" i="22"/>
  <c r="G27" i="23"/>
  <c r="D27" i="23"/>
  <c r="G48" i="23"/>
  <c r="D48" i="23"/>
  <c r="G27" i="25"/>
  <c r="D27" i="25"/>
  <c r="L19" i="22"/>
  <c r="L16" i="22"/>
  <c r="M58" i="22"/>
  <c r="M55" i="22"/>
  <c r="M52" i="22"/>
  <c r="M50" i="22"/>
  <c r="M48" i="22"/>
  <c r="M45" i="22"/>
  <c r="M37" i="22"/>
  <c r="M39" i="22"/>
  <c r="M35" i="22"/>
  <c r="M32" i="22"/>
  <c r="M29" i="22"/>
  <c r="M27" i="22"/>
  <c r="M23" i="22"/>
  <c r="M21" i="22"/>
  <c r="L58" i="22"/>
  <c r="L55" i="22"/>
  <c r="L52" i="22"/>
  <c r="L50" i="22"/>
  <c r="L48" i="22"/>
  <c r="L45" i="22"/>
  <c r="L39" i="22"/>
  <c r="L37" i="22"/>
  <c r="L35" i="22"/>
  <c r="L32" i="22"/>
  <c r="L29" i="22"/>
  <c r="L27" i="22"/>
  <c r="L23" i="22"/>
  <c r="L21" i="22"/>
  <c r="L18" i="22"/>
  <c r="L15" i="22"/>
  <c r="L12" i="22"/>
  <c r="I19" i="22"/>
  <c r="I16" i="22"/>
  <c r="J58" i="22"/>
  <c r="J55" i="22"/>
  <c r="J52" i="22"/>
  <c r="J50" i="22"/>
  <c r="J48" i="22"/>
  <c r="J45" i="22"/>
  <c r="J32" i="22"/>
  <c r="J35" i="22"/>
  <c r="J37" i="22"/>
  <c r="J39" i="22"/>
  <c r="J29" i="22"/>
  <c r="J27" i="22"/>
  <c r="J23" i="22"/>
  <c r="J21" i="22"/>
  <c r="J18" i="22"/>
  <c r="J15" i="22"/>
  <c r="J12" i="22"/>
  <c r="I58" i="22"/>
  <c r="I55" i="22"/>
  <c r="I52" i="22"/>
  <c r="I50" i="22"/>
  <c r="I48" i="22"/>
  <c r="I45" i="22"/>
  <c r="I39" i="22"/>
  <c r="I37" i="22"/>
  <c r="I35" i="22"/>
  <c r="I32" i="22"/>
  <c r="I29" i="22"/>
  <c r="I27" i="22"/>
  <c r="I23" i="22"/>
  <c r="I21" i="22"/>
  <c r="I18" i="22"/>
  <c r="I15" i="22"/>
  <c r="I12" i="22"/>
  <c r="F19" i="22"/>
  <c r="F16" i="22"/>
  <c r="G58" i="22"/>
  <c r="G55" i="22"/>
  <c r="G52" i="22"/>
  <c r="G50" i="22"/>
  <c r="G48" i="22"/>
  <c r="G45" i="22"/>
  <c r="G39" i="22"/>
  <c r="G37" i="22"/>
  <c r="G35" i="22"/>
  <c r="G32" i="22"/>
  <c r="G29" i="22"/>
  <c r="G27" i="22"/>
  <c r="G23" i="22"/>
  <c r="G21" i="22"/>
  <c r="G18" i="22"/>
  <c r="G15" i="22"/>
  <c r="G12" i="22"/>
  <c r="F58" i="22"/>
  <c r="F55" i="22"/>
  <c r="F52" i="22"/>
  <c r="F50" i="22"/>
  <c r="F48" i="22"/>
  <c r="F45" i="22"/>
  <c r="F39" i="22"/>
  <c r="F37" i="22"/>
  <c r="F35" i="22"/>
  <c r="F32" i="22"/>
  <c r="F29" i="22"/>
  <c r="F27" i="22"/>
  <c r="F23" i="22"/>
  <c r="F21" i="22"/>
  <c r="F18" i="22"/>
  <c r="F15" i="22"/>
  <c r="F12" i="22"/>
  <c r="C19" i="22"/>
  <c r="C16" i="22"/>
  <c r="D58" i="22"/>
  <c r="D55" i="22"/>
  <c r="D52" i="22"/>
  <c r="D50" i="22"/>
  <c r="D48" i="22"/>
  <c r="D37" i="22"/>
  <c r="D39" i="22"/>
  <c r="D45" i="22"/>
  <c r="D35" i="22"/>
  <c r="D32" i="22"/>
  <c r="D29" i="22"/>
  <c r="D27" i="22"/>
  <c r="D23" i="22"/>
  <c r="D21" i="22"/>
  <c r="D18" i="22"/>
  <c r="D15" i="22"/>
  <c r="D12" i="22"/>
  <c r="C58" i="22"/>
  <c r="C55" i="22"/>
  <c r="C52" i="22"/>
  <c r="C50" i="22"/>
  <c r="C48" i="22"/>
  <c r="C45" i="22"/>
  <c r="C39" i="22"/>
  <c r="C37" i="22"/>
  <c r="C35" i="22"/>
  <c r="C32" i="22"/>
  <c r="C29" i="22"/>
  <c r="C27" i="22"/>
  <c r="C23" i="22"/>
  <c r="C21" i="22"/>
  <c r="C18" i="22"/>
  <c r="C15" i="22"/>
  <c r="C12" i="22"/>
  <c r="E32" i="26"/>
  <c r="B32" i="26"/>
  <c r="E11" i="26"/>
  <c r="B11" i="26"/>
  <c r="G68" i="9"/>
  <c r="G66" i="9"/>
  <c r="G59" i="9"/>
  <c r="G58" i="9"/>
  <c r="G57" i="9"/>
  <c r="G56" i="9"/>
  <c r="G54" i="9"/>
  <c r="G49" i="9"/>
  <c r="G24" i="9"/>
  <c r="G15" i="9"/>
  <c r="G13" i="9"/>
  <c r="G9" i="9"/>
  <c r="G8" i="9"/>
  <c r="E68" i="9"/>
  <c r="E49" i="9"/>
  <c r="E54" i="9"/>
  <c r="E56" i="9"/>
  <c r="E57" i="9"/>
  <c r="E58" i="9"/>
  <c r="E59" i="9"/>
  <c r="E66" i="9"/>
  <c r="E15" i="9"/>
  <c r="E24" i="9"/>
  <c r="E13" i="9"/>
  <c r="E9" i="9"/>
  <c r="E8" i="9"/>
  <c r="G64" i="11"/>
  <c r="G62" i="11"/>
  <c r="G61" i="11"/>
  <c r="G50" i="11"/>
  <c r="G51" i="11"/>
  <c r="G52" i="11"/>
  <c r="G53" i="11"/>
  <c r="G54" i="11"/>
  <c r="G55" i="11"/>
  <c r="G56" i="11"/>
  <c r="G57" i="11"/>
  <c r="G58" i="11"/>
  <c r="G49" i="11"/>
  <c r="G44" i="11"/>
  <c r="G45" i="11"/>
  <c r="G43" i="11"/>
  <c r="G15" i="11"/>
  <c r="G16" i="11"/>
  <c r="G17" i="11"/>
  <c r="G18" i="11"/>
  <c r="G19" i="11"/>
  <c r="G20" i="11"/>
  <c r="G21" i="11"/>
  <c r="G22" i="11"/>
  <c r="G25" i="11"/>
  <c r="G26" i="11"/>
  <c r="G27" i="11"/>
  <c r="G28" i="11"/>
  <c r="G29" i="11"/>
  <c r="G30" i="11"/>
  <c r="G14" i="11"/>
  <c r="G10" i="11"/>
  <c r="G11" i="11"/>
  <c r="G9" i="11"/>
  <c r="E64" i="11"/>
  <c r="E50" i="11"/>
  <c r="E51" i="11"/>
  <c r="E52" i="11"/>
  <c r="E53" i="11"/>
  <c r="E54" i="11"/>
  <c r="E55" i="11"/>
  <c r="E56" i="11"/>
  <c r="E57" i="11"/>
  <c r="E58" i="11"/>
  <c r="E61" i="11"/>
  <c r="E62" i="11"/>
  <c r="E49" i="11"/>
  <c r="E44" i="11"/>
  <c r="E45" i="11"/>
  <c r="E43" i="11"/>
  <c r="E15" i="11"/>
  <c r="E16" i="11"/>
  <c r="E17" i="11"/>
  <c r="E18" i="11"/>
  <c r="E19" i="11"/>
  <c r="E20" i="11"/>
  <c r="E21" i="11"/>
  <c r="E22" i="11"/>
  <c r="E25" i="11"/>
  <c r="E26" i="11"/>
  <c r="E27" i="11"/>
  <c r="E28" i="11"/>
  <c r="E29" i="11"/>
  <c r="E30" i="11"/>
  <c r="E14" i="11"/>
  <c r="E10" i="11"/>
  <c r="E11" i="11"/>
  <c r="E9" i="11"/>
  <c r="C64" i="11"/>
  <c r="C50" i="11"/>
  <c r="C51" i="11"/>
  <c r="C52" i="11"/>
  <c r="C54" i="11"/>
  <c r="C55" i="11"/>
  <c r="C57" i="11"/>
  <c r="C58" i="11"/>
  <c r="C61" i="11"/>
  <c r="C62" i="11"/>
  <c r="C49" i="11"/>
  <c r="C44" i="11"/>
  <c r="C43" i="11"/>
  <c r="C26" i="11"/>
  <c r="C27" i="11"/>
  <c r="C28" i="11"/>
  <c r="C29" i="11"/>
  <c r="C25" i="11"/>
  <c r="C15" i="11"/>
  <c r="C16" i="11"/>
  <c r="C17" i="11"/>
  <c r="C18" i="11"/>
  <c r="C19" i="11"/>
  <c r="C20" i="11"/>
  <c r="C21" i="11"/>
  <c r="C22" i="11"/>
  <c r="C14" i="11"/>
  <c r="C10" i="11"/>
  <c r="C11" i="11"/>
  <c r="C9" i="11"/>
  <c r="B64" i="11"/>
  <c r="B50" i="11"/>
  <c r="B51" i="11"/>
  <c r="B52" i="11"/>
  <c r="B54" i="11"/>
  <c r="B55" i="11"/>
  <c r="B57" i="11"/>
  <c r="B58" i="11"/>
  <c r="B61" i="11"/>
  <c r="B62" i="11"/>
  <c r="B49" i="11"/>
  <c r="B44" i="11"/>
  <c r="B43" i="11"/>
  <c r="B15" i="11"/>
  <c r="B16" i="11"/>
  <c r="B17" i="11"/>
  <c r="B18" i="11"/>
  <c r="B19" i="11"/>
  <c r="B20" i="11"/>
  <c r="B21" i="11"/>
  <c r="B22" i="11"/>
  <c r="B25" i="11"/>
  <c r="B26" i="11"/>
  <c r="B27" i="11"/>
  <c r="B28" i="11"/>
  <c r="B29" i="11"/>
  <c r="B14" i="11"/>
  <c r="B10" i="11"/>
  <c r="B11" i="11"/>
  <c r="B9" i="11"/>
  <c r="D71" i="5"/>
  <c r="D66" i="5"/>
  <c r="G66" i="5"/>
  <c r="G61" i="5"/>
  <c r="G59" i="5"/>
  <c r="G58" i="5"/>
  <c r="G57" i="5"/>
  <c r="G56" i="5"/>
  <c r="G54" i="5"/>
  <c r="G49" i="5"/>
  <c r="G48" i="5"/>
  <c r="G32" i="5"/>
  <c r="G15" i="5"/>
  <c r="G16" i="5"/>
  <c r="G17" i="5"/>
  <c r="G18" i="5"/>
  <c r="G14" i="5"/>
  <c r="G8" i="5"/>
  <c r="E66" i="5"/>
  <c r="E49" i="5"/>
  <c r="E54" i="5"/>
  <c r="E56" i="5"/>
  <c r="E57" i="5"/>
  <c r="E58" i="5"/>
  <c r="E59" i="5"/>
  <c r="E61" i="5"/>
  <c r="E48" i="5"/>
  <c r="E14" i="5"/>
  <c r="E15" i="5"/>
  <c r="E16" i="5"/>
  <c r="E17" i="5"/>
  <c r="E18" i="5"/>
  <c r="E32" i="5"/>
  <c r="E8" i="5"/>
  <c r="B65" i="5"/>
  <c r="B12" i="5"/>
  <c r="C66" i="5"/>
  <c r="C61" i="5"/>
  <c r="C58" i="5"/>
  <c r="C56" i="5"/>
  <c r="C49" i="5"/>
  <c r="C48" i="5"/>
  <c r="C18" i="5"/>
  <c r="C17" i="5"/>
  <c r="C14" i="5"/>
  <c r="C8" i="5"/>
  <c r="B66" i="5"/>
  <c r="B49" i="5"/>
  <c r="B56" i="5"/>
  <c r="B58" i="5"/>
  <c r="B61" i="5"/>
  <c r="B48" i="5"/>
  <c r="B14" i="5"/>
  <c r="B17" i="5"/>
  <c r="B18" i="5"/>
  <c r="B8" i="5"/>
  <c r="B16" i="28"/>
  <c r="B15" i="28"/>
  <c r="E31" i="27"/>
  <c r="B31" i="27"/>
  <c r="E11" i="27"/>
  <c r="B11" i="27"/>
  <c r="G67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48" i="1"/>
  <c r="G43" i="1"/>
  <c r="G44" i="1"/>
  <c r="G42" i="1"/>
  <c r="G14" i="1"/>
  <c r="G15" i="1"/>
  <c r="G16" i="1"/>
  <c r="G17" i="1"/>
  <c r="G18" i="1"/>
  <c r="G19" i="1"/>
  <c r="G20" i="1"/>
  <c r="G21" i="1"/>
  <c r="G23" i="1"/>
  <c r="G24" i="1"/>
  <c r="G25" i="1"/>
  <c r="G26" i="1"/>
  <c r="G27" i="1"/>
  <c r="G28" i="1"/>
  <c r="G29" i="1"/>
  <c r="G31" i="1"/>
  <c r="G32" i="1"/>
  <c r="G33" i="1"/>
  <c r="G34" i="1"/>
  <c r="G35" i="1"/>
  <c r="G38" i="1"/>
  <c r="G39" i="1"/>
  <c r="G13" i="1"/>
  <c r="G9" i="1"/>
  <c r="G10" i="1"/>
  <c r="G8" i="1"/>
  <c r="E67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48" i="1"/>
  <c r="E43" i="1"/>
  <c r="E44" i="1"/>
  <c r="E42" i="1"/>
  <c r="E14" i="1"/>
  <c r="E15" i="1"/>
  <c r="E16" i="1"/>
  <c r="E17" i="1"/>
  <c r="E18" i="1"/>
  <c r="E19" i="1"/>
  <c r="E20" i="1"/>
  <c r="E21" i="1"/>
  <c r="E23" i="1"/>
  <c r="E24" i="1"/>
  <c r="E25" i="1"/>
  <c r="E26" i="1"/>
  <c r="E27" i="1"/>
  <c r="E28" i="1"/>
  <c r="E29" i="1"/>
  <c r="E31" i="1"/>
  <c r="E32" i="1"/>
  <c r="E33" i="1"/>
  <c r="E34" i="1"/>
  <c r="E35" i="1"/>
  <c r="E38" i="1"/>
  <c r="E39" i="1"/>
  <c r="E13" i="1"/>
  <c r="E9" i="1"/>
  <c r="E10" i="1"/>
  <c r="E8" i="1"/>
  <c r="C67" i="1"/>
  <c r="C65" i="1"/>
  <c r="C64" i="1"/>
  <c r="C61" i="1"/>
  <c r="C62" i="1"/>
  <c r="C60" i="1"/>
  <c r="C52" i="1"/>
  <c r="C53" i="1"/>
  <c r="C54" i="1"/>
  <c r="C55" i="1"/>
  <c r="C56" i="1"/>
  <c r="C57" i="1"/>
  <c r="C58" i="1"/>
  <c r="C51" i="1"/>
  <c r="C50" i="1"/>
  <c r="C49" i="1"/>
  <c r="C48" i="1"/>
  <c r="C44" i="1"/>
  <c r="C43" i="1"/>
  <c r="C42" i="1"/>
  <c r="C35" i="1"/>
  <c r="C32" i="1"/>
  <c r="C31" i="1"/>
  <c r="C25" i="1"/>
  <c r="C26" i="1"/>
  <c r="C27" i="1"/>
  <c r="C28" i="1"/>
  <c r="C29" i="1"/>
  <c r="C24" i="1"/>
  <c r="C14" i="1"/>
  <c r="C15" i="1"/>
  <c r="C16" i="1"/>
  <c r="C17" i="1"/>
  <c r="C18" i="1"/>
  <c r="C19" i="1"/>
  <c r="C20" i="1"/>
  <c r="C13" i="1"/>
  <c r="C9" i="1"/>
  <c r="C10" i="1"/>
  <c r="C8" i="1"/>
  <c r="B67" i="1"/>
  <c r="B49" i="1"/>
  <c r="B50" i="1"/>
  <c r="B51" i="1"/>
  <c r="B52" i="1"/>
  <c r="B53" i="1"/>
  <c r="B54" i="1"/>
  <c r="B55" i="1"/>
  <c r="B56" i="1"/>
  <c r="B57" i="1"/>
  <c r="B58" i="1"/>
  <c r="B60" i="1"/>
  <c r="B61" i="1"/>
  <c r="B62" i="1"/>
  <c r="B64" i="1"/>
  <c r="B65" i="1"/>
  <c r="B48" i="1"/>
  <c r="B43" i="1"/>
  <c r="B44" i="1"/>
  <c r="B42" i="1"/>
  <c r="B14" i="1"/>
  <c r="B15" i="1"/>
  <c r="B16" i="1"/>
  <c r="B17" i="1"/>
  <c r="B18" i="1"/>
  <c r="B19" i="1"/>
  <c r="B20" i="1"/>
  <c r="B24" i="1"/>
  <c r="B25" i="1"/>
  <c r="B26" i="1"/>
  <c r="B27" i="1"/>
  <c r="B28" i="1"/>
  <c r="B29" i="1"/>
  <c r="B31" i="1"/>
  <c r="B32" i="1"/>
  <c r="B35" i="1"/>
  <c r="B13" i="1"/>
  <c r="B9" i="1"/>
  <c r="B10" i="1"/>
  <c r="B8" i="1"/>
  <c r="G32" i="26"/>
  <c r="D32" i="26"/>
  <c r="G11" i="26"/>
  <c r="D11" i="26"/>
  <c r="F58" i="25"/>
  <c r="F55" i="25"/>
  <c r="F52" i="25"/>
  <c r="F50" i="25"/>
  <c r="F48" i="25"/>
  <c r="F45" i="25"/>
  <c r="F39" i="25"/>
  <c r="F37" i="25"/>
  <c r="F35" i="25"/>
  <c r="F32" i="25"/>
  <c r="F29" i="25"/>
  <c r="F27" i="25"/>
  <c r="F24" i="25"/>
  <c r="F22" i="25"/>
  <c r="F19" i="25"/>
  <c r="F16" i="25"/>
  <c r="F13" i="25"/>
  <c r="F65" i="25" s="1"/>
  <c r="C58" i="25"/>
  <c r="C55" i="25"/>
  <c r="C52" i="25"/>
  <c r="C50" i="25"/>
  <c r="C48" i="25"/>
  <c r="C45" i="25"/>
  <c r="C39" i="25"/>
  <c r="C37" i="25"/>
  <c r="C35" i="25"/>
  <c r="C32" i="25"/>
  <c r="C29" i="25"/>
  <c r="C27" i="25"/>
  <c r="C24" i="25"/>
  <c r="C22" i="25"/>
  <c r="C19" i="25"/>
  <c r="C16" i="25"/>
  <c r="C13" i="25"/>
  <c r="C65" i="25" s="1"/>
  <c r="F65" i="23"/>
  <c r="F58" i="23"/>
  <c r="F55" i="23"/>
  <c r="F52" i="23"/>
  <c r="F50" i="23"/>
  <c r="F48" i="23"/>
  <c r="F45" i="23"/>
  <c r="F39" i="23"/>
  <c r="F37" i="23"/>
  <c r="F35" i="23"/>
  <c r="F32" i="23"/>
  <c r="F29" i="23"/>
  <c r="F27" i="23"/>
  <c r="F24" i="23"/>
  <c r="F22" i="23"/>
  <c r="F19" i="23"/>
  <c r="F16" i="23"/>
  <c r="F13" i="23"/>
  <c r="C65" i="23"/>
  <c r="C58" i="23"/>
  <c r="C55" i="23"/>
  <c r="C52" i="23"/>
  <c r="C50" i="23"/>
  <c r="C48" i="23"/>
  <c r="C45" i="23"/>
  <c r="C39" i="23"/>
  <c r="C37" i="23"/>
  <c r="C35" i="23"/>
  <c r="C32" i="23"/>
  <c r="C29" i="23"/>
  <c r="C27" i="23"/>
  <c r="C24" i="23"/>
  <c r="C22" i="23"/>
  <c r="C19" i="23"/>
  <c r="C16" i="23"/>
  <c r="C13" i="23"/>
  <c r="F68" i="10"/>
  <c r="F67" i="10" s="1"/>
  <c r="F65" i="10"/>
  <c r="F59" i="10"/>
  <c r="F58" i="10"/>
  <c r="F57" i="10"/>
  <c r="F56" i="10"/>
  <c r="F54" i="10"/>
  <c r="F49" i="10"/>
  <c r="F48" i="10"/>
  <c r="F47" i="10" s="1"/>
  <c r="F41" i="10"/>
  <c r="F24" i="10"/>
  <c r="F12" i="10" s="1"/>
  <c r="F14" i="10"/>
  <c r="F13" i="10"/>
  <c r="F9" i="10"/>
  <c r="F8" i="10"/>
  <c r="F7" i="10"/>
  <c r="C68" i="10"/>
  <c r="C65" i="10"/>
  <c r="C59" i="10"/>
  <c r="C58" i="10"/>
  <c r="C57" i="10"/>
  <c r="C56" i="10"/>
  <c r="C54" i="10"/>
  <c r="C49" i="10"/>
  <c r="C48" i="10"/>
  <c r="C47" i="10" s="1"/>
  <c r="C41" i="10"/>
  <c r="C24" i="10"/>
  <c r="C14" i="10"/>
  <c r="C12" i="10" s="1"/>
  <c r="C13" i="10"/>
  <c r="C9" i="10"/>
  <c r="C8" i="10"/>
  <c r="C7" i="10" s="1"/>
  <c r="F64" i="12"/>
  <c r="F62" i="12"/>
  <c r="F61" i="12"/>
  <c r="F58" i="12"/>
  <c r="F57" i="12"/>
  <c r="F56" i="12"/>
  <c r="F55" i="12"/>
  <c r="F54" i="12"/>
  <c r="F53" i="12"/>
  <c r="F52" i="12"/>
  <c r="F51" i="12"/>
  <c r="F48" i="12" s="1"/>
  <c r="F50" i="12"/>
  <c r="F49" i="12"/>
  <c r="F45" i="12"/>
  <c r="F44" i="12"/>
  <c r="F43" i="12"/>
  <c r="F42" i="12" s="1"/>
  <c r="F32" i="12"/>
  <c r="F30" i="12"/>
  <c r="F29" i="12"/>
  <c r="F28" i="12"/>
  <c r="F27" i="12"/>
  <c r="F26" i="12"/>
  <c r="F25" i="12"/>
  <c r="F20" i="12"/>
  <c r="F19" i="12"/>
  <c r="F18" i="12"/>
  <c r="F17" i="12"/>
  <c r="F16" i="12"/>
  <c r="F15" i="12"/>
  <c r="F14" i="12"/>
  <c r="F13" i="12" s="1"/>
  <c r="F11" i="12"/>
  <c r="F10" i="12"/>
  <c r="F8" i="12" s="1"/>
  <c r="F9" i="12"/>
  <c r="C64" i="12"/>
  <c r="C62" i="12"/>
  <c r="C61" i="12"/>
  <c r="C58" i="12"/>
  <c r="C57" i="12"/>
  <c r="C56" i="12"/>
  <c r="C55" i="12"/>
  <c r="C54" i="12"/>
  <c r="C53" i="12"/>
  <c r="C52" i="12"/>
  <c r="C51" i="12"/>
  <c r="C50" i="12"/>
  <c r="C48" i="12" s="1"/>
  <c r="C49" i="12"/>
  <c r="C45" i="12"/>
  <c r="C44" i="12"/>
  <c r="C43" i="12"/>
  <c r="C42" i="12"/>
  <c r="C32" i="12"/>
  <c r="C30" i="12"/>
  <c r="C29" i="12"/>
  <c r="C28" i="12"/>
  <c r="C27" i="12"/>
  <c r="C26" i="12"/>
  <c r="C25" i="12"/>
  <c r="C20" i="12"/>
  <c r="C19" i="12"/>
  <c r="C18" i="12"/>
  <c r="C17" i="12"/>
  <c r="C16" i="12"/>
  <c r="C15" i="12"/>
  <c r="C14" i="12"/>
  <c r="C13" i="12" s="1"/>
  <c r="C11" i="12"/>
  <c r="C10" i="12"/>
  <c r="C9" i="12"/>
  <c r="C8" i="12" s="1"/>
  <c r="F67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4" i="2"/>
  <c r="F43" i="2"/>
  <c r="F41" i="2" s="1"/>
  <c r="F42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1" i="2"/>
  <c r="F19" i="2"/>
  <c r="F18" i="2"/>
  <c r="F17" i="2"/>
  <c r="F12" i="2" s="1"/>
  <c r="F16" i="2"/>
  <c r="F15" i="2"/>
  <c r="F14" i="2"/>
  <c r="F13" i="2"/>
  <c r="F10" i="2"/>
  <c r="F9" i="2"/>
  <c r="F8" i="2"/>
  <c r="F7" i="2" s="1"/>
  <c r="C67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47" i="2" s="1"/>
  <c r="C52" i="2"/>
  <c r="C51" i="2"/>
  <c r="C50" i="2"/>
  <c r="C49" i="2"/>
  <c r="C48" i="2"/>
  <c r="C44" i="2"/>
  <c r="C43" i="2"/>
  <c r="C42" i="2"/>
  <c r="C41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1" i="2"/>
  <c r="C19" i="2"/>
  <c r="C18" i="2"/>
  <c r="C17" i="2"/>
  <c r="C16" i="2"/>
  <c r="C15" i="2"/>
  <c r="C14" i="2"/>
  <c r="C13" i="2"/>
  <c r="C12" i="2" s="1"/>
  <c r="C10" i="2"/>
  <c r="C9" i="2"/>
  <c r="C8" i="2"/>
  <c r="C7" i="2" s="1"/>
  <c r="B13" i="11" l="1"/>
  <c r="C67" i="10"/>
  <c r="F63" i="12"/>
  <c r="C63" i="12"/>
  <c r="F66" i="2"/>
  <c r="C66" i="2"/>
  <c r="B7" i="28" l="1"/>
  <c r="B8" i="28"/>
  <c r="B9" i="28"/>
  <c r="B10" i="28"/>
  <c r="B13" i="28" l="1"/>
  <c r="B14" i="28"/>
  <c r="I72" i="1"/>
  <c r="E67" i="2"/>
  <c r="E54" i="2"/>
  <c r="G54" i="2" s="1"/>
  <c r="E55" i="2"/>
  <c r="G55" i="2" s="1"/>
  <c r="E60" i="2"/>
  <c r="G60" i="2" s="1"/>
  <c r="E61" i="2"/>
  <c r="E62" i="2"/>
  <c r="E48" i="2"/>
  <c r="E43" i="2"/>
  <c r="G43" i="2" s="1"/>
  <c r="E44" i="2"/>
  <c r="E42" i="2"/>
  <c r="E18" i="2"/>
  <c r="G18" i="2" s="1"/>
  <c r="E19" i="2"/>
  <c r="G19" i="2" s="1"/>
  <c r="E24" i="2"/>
  <c r="G24" i="2" s="1"/>
  <c r="E25" i="2"/>
  <c r="E31" i="2"/>
  <c r="G31" i="2" s="1"/>
  <c r="E33" i="2"/>
  <c r="E37" i="2"/>
  <c r="G37" i="2" s="1"/>
  <c r="E13" i="2"/>
  <c r="G13" i="2" s="1"/>
  <c r="E9" i="2"/>
  <c r="E7" i="23"/>
  <c r="G7" i="23" s="1"/>
  <c r="G31" i="26"/>
  <c r="D31" i="26"/>
  <c r="G10" i="26"/>
  <c r="D10" i="26"/>
  <c r="I72" i="2"/>
  <c r="I67" i="2"/>
  <c r="I13" i="2"/>
  <c r="I19" i="2"/>
  <c r="G20" i="2"/>
  <c r="G22" i="2"/>
  <c r="I39" i="2"/>
  <c r="I43" i="2"/>
  <c r="I52" i="2"/>
  <c r="D23" i="2"/>
  <c r="I25" i="2"/>
  <c r="I31" i="2"/>
  <c r="I61" i="2"/>
  <c r="I34" i="2"/>
  <c r="I55" i="2"/>
  <c r="I64" i="2"/>
  <c r="I58" i="2"/>
  <c r="G23" i="2"/>
  <c r="G45" i="2"/>
  <c r="D20" i="2"/>
  <c r="I23" i="2"/>
  <c r="J23" i="2" s="1"/>
  <c r="I45" i="2"/>
  <c r="J45" i="2" s="1"/>
  <c r="I10" i="2"/>
  <c r="I63" i="2"/>
  <c r="I8" i="2"/>
  <c r="D45" i="2"/>
  <c r="E8" i="2"/>
  <c r="G8" i="2" s="1"/>
  <c r="E10" i="2"/>
  <c r="E14" i="2"/>
  <c r="E15" i="2"/>
  <c r="G15" i="2" s="1"/>
  <c r="E16" i="2"/>
  <c r="G16" i="2" s="1"/>
  <c r="I16" i="2"/>
  <c r="E17" i="2"/>
  <c r="G17" i="2" s="1"/>
  <c r="E20" i="2"/>
  <c r="E21" i="2"/>
  <c r="G21" i="2" s="1"/>
  <c r="D22" i="2"/>
  <c r="E22" i="2"/>
  <c r="I22" i="2"/>
  <c r="J22" i="2" s="1"/>
  <c r="E23" i="2"/>
  <c r="E26" i="2"/>
  <c r="E27" i="2"/>
  <c r="G27" i="2"/>
  <c r="E28" i="2"/>
  <c r="E29" i="2"/>
  <c r="G29" i="2" s="1"/>
  <c r="E30" i="2"/>
  <c r="G30" i="2" s="1"/>
  <c r="E32" i="2"/>
  <c r="G32" i="2" s="1"/>
  <c r="E34" i="2"/>
  <c r="G34" i="2" s="1"/>
  <c r="E35" i="2"/>
  <c r="G35" i="2" s="1"/>
  <c r="E36" i="2"/>
  <c r="G36" i="2" s="1"/>
  <c r="I37" i="2"/>
  <c r="E38" i="2"/>
  <c r="G38" i="2" s="1"/>
  <c r="E39" i="2"/>
  <c r="E45" i="2"/>
  <c r="E49" i="2"/>
  <c r="G49" i="2" s="1"/>
  <c r="E50" i="2"/>
  <c r="E51" i="2"/>
  <c r="G51" i="2" s="1"/>
  <c r="E52" i="2"/>
  <c r="E53" i="2"/>
  <c r="G53" i="2" s="1"/>
  <c r="E56" i="2"/>
  <c r="E57" i="2"/>
  <c r="G57" i="2" s="1"/>
  <c r="E58" i="2"/>
  <c r="G58" i="2" s="1"/>
  <c r="E59" i="2"/>
  <c r="G59" i="2" s="1"/>
  <c r="E63" i="2"/>
  <c r="E64" i="2"/>
  <c r="E65" i="2"/>
  <c r="G65" i="2" s="1"/>
  <c r="E72" i="2"/>
  <c r="G72" i="2" s="1"/>
  <c r="G67" i="2" l="1"/>
  <c r="G64" i="2"/>
  <c r="G63" i="2"/>
  <c r="E47" i="2"/>
  <c r="G47" i="2" s="1"/>
  <c r="G62" i="2"/>
  <c r="G56" i="2"/>
  <c r="G50" i="2"/>
  <c r="G61" i="2"/>
  <c r="G48" i="2"/>
  <c r="E41" i="2"/>
  <c r="G41" i="2" s="1"/>
  <c r="G44" i="2"/>
  <c r="G42" i="2"/>
  <c r="G33" i="2"/>
  <c r="G26" i="2"/>
  <c r="G14" i="2"/>
  <c r="G25" i="2"/>
  <c r="G28" i="2"/>
  <c r="E12" i="2"/>
  <c r="G12" i="2" s="1"/>
  <c r="G10" i="2"/>
  <c r="G9" i="2"/>
  <c r="E7" i="2"/>
  <c r="G7" i="2" s="1"/>
  <c r="I44" i="2"/>
  <c r="G39" i="2"/>
  <c r="I28" i="2"/>
  <c r="G52" i="2"/>
  <c r="I33" i="2"/>
  <c r="I27" i="2"/>
  <c r="I21" i="2"/>
  <c r="I15" i="2"/>
  <c r="I9" i="2"/>
  <c r="I50" i="2"/>
  <c r="I29" i="2"/>
  <c r="I49" i="2"/>
  <c r="I62" i="2"/>
  <c r="I26" i="2"/>
  <c r="I35" i="2"/>
  <c r="I18" i="2"/>
  <c r="I60" i="2"/>
  <c r="I54" i="2"/>
  <c r="I48" i="2"/>
  <c r="I36" i="2"/>
  <c r="I30" i="2"/>
  <c r="I24" i="2"/>
  <c r="I59" i="2"/>
  <c r="I38" i="2"/>
  <c r="I14" i="2"/>
  <c r="I42" i="2"/>
  <c r="I51" i="2"/>
  <c r="I65" i="2"/>
  <c r="I53" i="2"/>
  <c r="I17" i="2"/>
  <c r="I12" i="2"/>
  <c r="I57" i="2"/>
  <c r="I56" i="2"/>
  <c r="I32" i="2"/>
  <c r="I20" i="2"/>
  <c r="J20" i="2" s="1"/>
  <c r="I47" i="2"/>
  <c r="I7" i="2"/>
  <c r="E66" i="2" l="1"/>
  <c r="G66" i="2" s="1"/>
  <c r="I41" i="2"/>
  <c r="I66" i="2"/>
  <c r="B12" i="28" l="1"/>
  <c r="I57" i="10"/>
  <c r="I66" i="10"/>
  <c r="G66" i="10"/>
  <c r="E68" i="10"/>
  <c r="B11" i="28"/>
  <c r="J30" i="31" l="1"/>
  <c r="E13" i="25"/>
  <c r="B13" i="25"/>
  <c r="G30" i="26"/>
  <c r="D30" i="26"/>
  <c r="G9" i="26"/>
  <c r="D9" i="26"/>
  <c r="I64" i="12"/>
  <c r="I64" i="11"/>
  <c r="D15" i="10"/>
  <c r="I71" i="5"/>
  <c r="I66" i="5"/>
  <c r="D72" i="1"/>
  <c r="I67" i="1"/>
  <c r="D67" i="1"/>
  <c r="F48" i="5" l="1"/>
  <c r="J150" i="31"/>
  <c r="J75" i="31"/>
  <c r="E60" i="31"/>
  <c r="H30" i="31" l="1"/>
  <c r="E90" i="31"/>
  <c r="J135" i="31"/>
  <c r="C150" i="31"/>
  <c r="J165" i="31"/>
  <c r="J45" i="31"/>
  <c r="E135" i="31"/>
  <c r="E150" i="31"/>
  <c r="C30" i="31"/>
  <c r="H90" i="31"/>
  <c r="J60" i="31"/>
  <c r="H150" i="31"/>
  <c r="C15" i="31"/>
  <c r="C45" i="31"/>
  <c r="C75" i="31"/>
  <c r="H120" i="31"/>
  <c r="J15" i="31"/>
  <c r="E15" i="31"/>
  <c r="E30" i="31"/>
  <c r="H45" i="31"/>
  <c r="E45" i="31"/>
  <c r="C60" i="31"/>
  <c r="H75" i="31"/>
  <c r="E75" i="31"/>
  <c r="C90" i="31"/>
  <c r="H105" i="31"/>
  <c r="C120" i="31"/>
  <c r="C165" i="31"/>
  <c r="H15" i="31"/>
  <c r="H60" i="31"/>
  <c r="J90" i="31"/>
  <c r="E105" i="31"/>
  <c r="C105" i="31"/>
  <c r="J105" i="31"/>
  <c r="J120" i="31"/>
  <c r="H135" i="31"/>
  <c r="C135" i="31"/>
  <c r="H165" i="31"/>
  <c r="E165" i="31"/>
  <c r="E120" i="31"/>
  <c r="G8" i="26" l="1"/>
  <c r="D8" i="26"/>
  <c r="G29" i="26"/>
  <c r="D29" i="26"/>
  <c r="B63" i="23"/>
  <c r="F13" i="22"/>
  <c r="C13" i="22"/>
  <c r="H49" i="11" l="1"/>
  <c r="F49" i="11"/>
  <c r="G51" i="10" l="1"/>
  <c r="G52" i="10"/>
  <c r="G53" i="10"/>
  <c r="G60" i="10"/>
  <c r="G61" i="10"/>
  <c r="G62" i="10"/>
  <c r="G63" i="10"/>
  <c r="D51" i="10"/>
  <c r="D52" i="10"/>
  <c r="D53" i="10"/>
  <c r="D60" i="10"/>
  <c r="D61" i="10"/>
  <c r="D63" i="10"/>
  <c r="E49" i="10"/>
  <c r="D50" i="9"/>
  <c r="I50" i="9"/>
  <c r="D51" i="9"/>
  <c r="B51" i="10"/>
  <c r="H51" i="10" s="1"/>
  <c r="D52" i="9"/>
  <c r="D53" i="9"/>
  <c r="D54" i="9"/>
  <c r="D55" i="9"/>
  <c r="I55" i="9"/>
  <c r="E55" i="10"/>
  <c r="D57" i="9"/>
  <c r="B57" i="10"/>
  <c r="D58" i="9"/>
  <c r="D59" i="9"/>
  <c r="D60" i="9"/>
  <c r="I60" i="9"/>
  <c r="D61" i="9"/>
  <c r="I61" i="9"/>
  <c r="D62" i="9"/>
  <c r="D63" i="9"/>
  <c r="I63" i="9"/>
  <c r="D64" i="9"/>
  <c r="D65" i="9"/>
  <c r="D66" i="9"/>
  <c r="D43" i="9"/>
  <c r="I43" i="9"/>
  <c r="D44" i="9"/>
  <c r="D45" i="9"/>
  <c r="I45" i="9"/>
  <c r="D15" i="9"/>
  <c r="I15" i="9"/>
  <c r="D16" i="9"/>
  <c r="I16" i="9"/>
  <c r="D17" i="9"/>
  <c r="D18" i="9"/>
  <c r="I18" i="9"/>
  <c r="D19" i="9"/>
  <c r="I19" i="9"/>
  <c r="D20" i="9"/>
  <c r="I20" i="9"/>
  <c r="D21" i="9"/>
  <c r="D22" i="9"/>
  <c r="I22" i="9"/>
  <c r="D23" i="9"/>
  <c r="I23" i="9"/>
  <c r="D24" i="9"/>
  <c r="I24" i="9"/>
  <c r="D25" i="9"/>
  <c r="D26" i="9"/>
  <c r="I26" i="9"/>
  <c r="D27" i="9"/>
  <c r="I27" i="9"/>
  <c r="D28" i="9"/>
  <c r="D29" i="9"/>
  <c r="I29" i="9"/>
  <c r="D30" i="9"/>
  <c r="I30" i="9"/>
  <c r="D31" i="9"/>
  <c r="I31" i="9"/>
  <c r="D32" i="9"/>
  <c r="I32" i="9"/>
  <c r="D33" i="9"/>
  <c r="D34" i="9"/>
  <c r="D35" i="9"/>
  <c r="D36" i="9"/>
  <c r="D37" i="9"/>
  <c r="D38" i="9"/>
  <c r="D39" i="9"/>
  <c r="E43" i="10"/>
  <c r="E45" i="10"/>
  <c r="I28" i="9" l="1"/>
  <c r="I65" i="9"/>
  <c r="D49" i="9"/>
  <c r="B63" i="10"/>
  <c r="H63" i="10" s="1"/>
  <c r="E62" i="10"/>
  <c r="B55" i="10"/>
  <c r="H55" i="10" s="1"/>
  <c r="B54" i="10"/>
  <c r="E51" i="10"/>
  <c r="D14" i="9"/>
  <c r="E66" i="10"/>
  <c r="B62" i="10"/>
  <c r="H62" i="10" s="1"/>
  <c r="E61" i="10"/>
  <c r="B52" i="10"/>
  <c r="H52" i="10" s="1"/>
  <c r="B66" i="10"/>
  <c r="E65" i="10"/>
  <c r="G65" i="10" s="1"/>
  <c r="E64" i="10"/>
  <c r="G64" i="10" s="1"/>
  <c r="B61" i="10"/>
  <c r="H61" i="10" s="1"/>
  <c r="E60" i="10"/>
  <c r="E59" i="10"/>
  <c r="G59" i="10" s="1"/>
  <c r="E58" i="10"/>
  <c r="G58" i="10" s="1"/>
  <c r="E57" i="10"/>
  <c r="H57" i="10" s="1"/>
  <c r="J57" i="10" s="1"/>
  <c r="E56" i="10"/>
  <c r="G56" i="10" s="1"/>
  <c r="B50" i="10"/>
  <c r="H50" i="10" s="1"/>
  <c r="B49" i="10"/>
  <c r="H49" i="10" s="1"/>
  <c r="I62" i="10"/>
  <c r="J62" i="10" s="1"/>
  <c r="D62" i="10"/>
  <c r="I50" i="10"/>
  <c r="I25" i="9"/>
  <c r="I21" i="9"/>
  <c r="I17" i="9"/>
  <c r="I44" i="9"/>
  <c r="B65" i="10"/>
  <c r="D65" i="10" s="1"/>
  <c r="B64" i="10"/>
  <c r="H64" i="10" s="1"/>
  <c r="E63" i="10"/>
  <c r="I62" i="9"/>
  <c r="B60" i="10"/>
  <c r="H60" i="10" s="1"/>
  <c r="B59" i="10"/>
  <c r="E53" i="10"/>
  <c r="I52" i="9"/>
  <c r="D57" i="10"/>
  <c r="I49" i="10"/>
  <c r="G55" i="10"/>
  <c r="G49" i="10"/>
  <c r="D56" i="9"/>
  <c r="I51" i="9"/>
  <c r="B53" i="10"/>
  <c r="H53" i="10" s="1"/>
  <c r="I58" i="10"/>
  <c r="I54" i="10"/>
  <c r="I53" i="9"/>
  <c r="B58" i="10"/>
  <c r="B56" i="10"/>
  <c r="E54" i="10"/>
  <c r="G54" i="10" s="1"/>
  <c r="E52" i="10"/>
  <c r="E50" i="10"/>
  <c r="G50" i="10" s="1"/>
  <c r="I65" i="10"/>
  <c r="I53" i="10"/>
  <c r="J53" i="10" s="1"/>
  <c r="I60" i="10"/>
  <c r="J60" i="10" s="1"/>
  <c r="I52" i="10"/>
  <c r="J52" i="10" s="1"/>
  <c r="I61" i="10"/>
  <c r="J61" i="10" s="1"/>
  <c r="I64" i="10"/>
  <c r="I56" i="10"/>
  <c r="I63" i="10"/>
  <c r="J63" i="10" s="1"/>
  <c r="I59" i="10"/>
  <c r="I55" i="10"/>
  <c r="I51" i="10"/>
  <c r="J51" i="10" s="1"/>
  <c r="I64" i="9"/>
  <c r="I59" i="9"/>
  <c r="I58" i="9"/>
  <c r="I57" i="9"/>
  <c r="I56" i="9"/>
  <c r="I54" i="9"/>
  <c r="I49" i="9"/>
  <c r="I66" i="9"/>
  <c r="E44" i="10"/>
  <c r="I37" i="9"/>
  <c r="I35" i="9"/>
  <c r="I14" i="9"/>
  <c r="I39" i="9"/>
  <c r="I36" i="9"/>
  <c r="I33" i="9"/>
  <c r="I38" i="9"/>
  <c r="I34" i="9"/>
  <c r="D55" i="10" l="1"/>
  <c r="H65" i="10"/>
  <c r="J65" i="10" s="1"/>
  <c r="J50" i="10"/>
  <c r="J64" i="10"/>
  <c r="H59" i="10"/>
  <c r="J59" i="10" s="1"/>
  <c r="J55" i="10"/>
  <c r="H58" i="10"/>
  <c r="J58" i="10" s="1"/>
  <c r="J49" i="10"/>
  <c r="G57" i="10"/>
  <c r="D50" i="10"/>
  <c r="H56" i="10"/>
  <c r="J56" i="10" s="1"/>
  <c r="D49" i="10"/>
  <c r="D58" i="10"/>
  <c r="H66" i="10"/>
  <c r="J66" i="10" s="1"/>
  <c r="D56" i="10"/>
  <c r="H54" i="10"/>
  <c r="J54" i="10" s="1"/>
  <c r="D54" i="10"/>
  <c r="D66" i="10"/>
  <c r="D59" i="10"/>
  <c r="D64" i="10"/>
  <c r="D63" i="23" l="1"/>
  <c r="G60" i="12"/>
  <c r="D60" i="12"/>
  <c r="G46" i="12"/>
  <c r="D46" i="12"/>
  <c r="G40" i="12"/>
  <c r="D40" i="12"/>
  <c r="G39" i="12"/>
  <c r="D39" i="12"/>
  <c r="G38" i="12"/>
  <c r="D38" i="12"/>
  <c r="G37" i="12"/>
  <c r="D37" i="12"/>
  <c r="G36" i="12"/>
  <c r="D36" i="12"/>
  <c r="G33" i="12"/>
  <c r="D33" i="12"/>
  <c r="G21" i="12"/>
  <c r="D21" i="12"/>
  <c r="G45" i="10"/>
  <c r="D45" i="10"/>
  <c r="G44" i="10"/>
  <c r="D44" i="10"/>
  <c r="G43" i="10"/>
  <c r="D43" i="10"/>
  <c r="G42" i="10"/>
  <c r="D42" i="10"/>
  <c r="G39" i="10"/>
  <c r="D39" i="10"/>
  <c r="G38" i="10"/>
  <c r="D38" i="10"/>
  <c r="G36" i="10"/>
  <c r="D36" i="10"/>
  <c r="G35" i="10"/>
  <c r="D35" i="10"/>
  <c r="G34" i="10"/>
  <c r="D34" i="10"/>
  <c r="G33" i="10"/>
  <c r="D33" i="10"/>
  <c r="G31" i="10"/>
  <c r="D31" i="10"/>
  <c r="G30" i="10"/>
  <c r="D30" i="10"/>
  <c r="G29" i="10"/>
  <c r="D29" i="10"/>
  <c r="G27" i="10"/>
  <c r="D27" i="10"/>
  <c r="G26" i="10"/>
  <c r="D26" i="10"/>
  <c r="G25" i="10"/>
  <c r="D25" i="10"/>
  <c r="G23" i="10"/>
  <c r="D23" i="10"/>
  <c r="G22" i="10"/>
  <c r="D22" i="10"/>
  <c r="G21" i="10"/>
  <c r="D21" i="10"/>
  <c r="G20" i="10"/>
  <c r="D20" i="10"/>
  <c r="G19" i="10"/>
  <c r="D19" i="10"/>
  <c r="G18" i="10"/>
  <c r="D18" i="10"/>
  <c r="G16" i="10"/>
  <c r="D16" i="10"/>
  <c r="E42" i="10"/>
  <c r="G68" i="10" l="1"/>
  <c r="F30" i="9"/>
  <c r="F22" i="9"/>
  <c r="F45" i="9"/>
  <c r="F54" i="9"/>
  <c r="F36" i="9"/>
  <c r="F43" i="9"/>
  <c r="F27" i="9"/>
  <c r="F60" i="9"/>
  <c r="F57" i="9"/>
  <c r="F39" i="9"/>
  <c r="F35" i="9"/>
  <c r="F29" i="9"/>
  <c r="F21" i="9"/>
  <c r="F32" i="9"/>
  <c r="F24" i="9"/>
  <c r="F16" i="9"/>
  <c r="F66" i="9"/>
  <c r="F49" i="9"/>
  <c r="F15" i="9"/>
  <c r="F65" i="9"/>
  <c r="F53" i="9"/>
  <c r="F56" i="9"/>
  <c r="F51" i="9"/>
  <c r="F26" i="9"/>
  <c r="F18" i="9"/>
  <c r="F63" i="9"/>
  <c r="F55" i="9"/>
  <c r="F38" i="9"/>
  <c r="F34" i="9"/>
  <c r="F44" i="9"/>
  <c r="F62" i="9"/>
  <c r="F52" i="9"/>
  <c r="F31" i="9"/>
  <c r="F19" i="9"/>
  <c r="F14" i="9"/>
  <c r="F59" i="9"/>
  <c r="F37" i="9"/>
  <c r="F33" i="9"/>
  <c r="F25" i="9"/>
  <c r="F17" i="9"/>
  <c r="F28" i="9"/>
  <c r="F20" i="9"/>
  <c r="F61" i="9"/>
  <c r="F50" i="9"/>
  <c r="F23" i="9"/>
  <c r="F64" i="9"/>
  <c r="F58" i="9"/>
  <c r="H36" i="9"/>
  <c r="H62" i="9"/>
  <c r="H32" i="9"/>
  <c r="H24" i="9"/>
  <c r="H16" i="9"/>
  <c r="H66" i="9"/>
  <c r="H61" i="9"/>
  <c r="H27" i="9"/>
  <c r="H19" i="9"/>
  <c r="H22" i="9"/>
  <c r="H53" i="9"/>
  <c r="H39" i="9"/>
  <c r="H35" i="9"/>
  <c r="H29" i="9"/>
  <c r="H21" i="9"/>
  <c r="H44" i="9"/>
  <c r="H64" i="9"/>
  <c r="H60" i="9"/>
  <c r="H58" i="9"/>
  <c r="H56" i="9"/>
  <c r="H26" i="9"/>
  <c r="H63" i="9"/>
  <c r="H38" i="9"/>
  <c r="H34" i="9"/>
  <c r="H51" i="9"/>
  <c r="H28" i="9"/>
  <c r="H20" i="9"/>
  <c r="H31" i="9"/>
  <c r="H23" i="9"/>
  <c r="H15" i="9"/>
  <c r="H52" i="9"/>
  <c r="H55" i="9"/>
  <c r="H50" i="9"/>
  <c r="H37" i="9"/>
  <c r="H33" i="9"/>
  <c r="H25" i="9"/>
  <c r="H17" i="9"/>
  <c r="H43" i="9"/>
  <c r="H14" i="9"/>
  <c r="H65" i="9"/>
  <c r="H59" i="9"/>
  <c r="H57" i="9"/>
  <c r="H30" i="9"/>
  <c r="H18" i="9"/>
  <c r="H45" i="9"/>
  <c r="H54" i="9"/>
  <c r="H49" i="9"/>
  <c r="I45" i="1" l="1"/>
  <c r="I62" i="11" l="1"/>
  <c r="I60" i="11"/>
  <c r="I59" i="11"/>
  <c r="I58" i="11"/>
  <c r="I56" i="11"/>
  <c r="I54" i="11"/>
  <c r="I52" i="11"/>
  <c r="I51" i="11"/>
  <c r="I50" i="11"/>
  <c r="I46" i="11"/>
  <c r="I44" i="11"/>
  <c r="I40" i="11"/>
  <c r="I39" i="11"/>
  <c r="I38" i="11"/>
  <c r="I37" i="11"/>
  <c r="I36" i="11"/>
  <c r="I35" i="11"/>
  <c r="I34" i="11"/>
  <c r="I33" i="11"/>
  <c r="I32" i="11"/>
  <c r="I31" i="11"/>
  <c r="I30" i="11"/>
  <c r="I28" i="11"/>
  <c r="I26" i="11"/>
  <c r="I24" i="11"/>
  <c r="I23" i="11"/>
  <c r="I22" i="11"/>
  <c r="I20" i="11"/>
  <c r="I18" i="11"/>
  <c r="I16" i="11"/>
  <c r="I14" i="11"/>
  <c r="I10" i="11"/>
  <c r="D61" i="11"/>
  <c r="D60" i="11"/>
  <c r="D59" i="11"/>
  <c r="D57" i="11"/>
  <c r="D55" i="11"/>
  <c r="D53" i="11"/>
  <c r="D52" i="11"/>
  <c r="D51" i="11"/>
  <c r="D49" i="11"/>
  <c r="D46" i="11"/>
  <c r="D45" i="11"/>
  <c r="D43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7" i="11"/>
  <c r="D25" i="11"/>
  <c r="D24" i="11"/>
  <c r="D23" i="11"/>
  <c r="D22" i="11"/>
  <c r="D21" i="11"/>
  <c r="D19" i="11"/>
  <c r="D17" i="11"/>
  <c r="D15" i="11"/>
  <c r="D11" i="11"/>
  <c r="D9" i="11"/>
  <c r="I42" i="9"/>
  <c r="I10" i="9"/>
  <c r="I8" i="9"/>
  <c r="D48" i="9"/>
  <c r="D42" i="9"/>
  <c r="D13" i="9"/>
  <c r="D10" i="9"/>
  <c r="D9" i="9"/>
  <c r="I64" i="5"/>
  <c r="I63" i="5"/>
  <c r="I62" i="5"/>
  <c r="I61" i="5"/>
  <c r="I60" i="5"/>
  <c r="I59" i="5"/>
  <c r="I57" i="5"/>
  <c r="I55" i="5"/>
  <c r="I53" i="5"/>
  <c r="I52" i="5"/>
  <c r="I51" i="5"/>
  <c r="I50" i="5"/>
  <c r="I49" i="5"/>
  <c r="I45" i="5"/>
  <c r="I44" i="5"/>
  <c r="I43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5" i="5"/>
  <c r="I13" i="5"/>
  <c r="I10" i="5"/>
  <c r="I9" i="5"/>
  <c r="D64" i="5"/>
  <c r="D63" i="5"/>
  <c r="D62" i="5"/>
  <c r="D61" i="5"/>
  <c r="D60" i="5"/>
  <c r="D59" i="5"/>
  <c r="D57" i="5"/>
  <c r="D56" i="5"/>
  <c r="D55" i="5"/>
  <c r="D54" i="5"/>
  <c r="D53" i="5"/>
  <c r="D52" i="5"/>
  <c r="D51" i="5"/>
  <c r="D50" i="5"/>
  <c r="D49" i="5"/>
  <c r="D45" i="5"/>
  <c r="D44" i="5"/>
  <c r="D43" i="5"/>
  <c r="D42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3" i="5"/>
  <c r="D10" i="5"/>
  <c r="D9" i="5"/>
  <c r="I22" i="1"/>
  <c r="D59" i="1"/>
  <c r="D52" i="1"/>
  <c r="D45" i="1"/>
  <c r="D44" i="1"/>
  <c r="D42" i="1"/>
  <c r="D39" i="1"/>
  <c r="D38" i="1"/>
  <c r="D37" i="1"/>
  <c r="D36" i="1"/>
  <c r="D35" i="1"/>
  <c r="D34" i="1"/>
  <c r="D32" i="1"/>
  <c r="D31" i="1"/>
  <c r="D30" i="1"/>
  <c r="D28" i="1"/>
  <c r="D26" i="1"/>
  <c r="D24" i="1"/>
  <c r="D22" i="1"/>
  <c r="D21" i="1"/>
  <c r="D20" i="1"/>
  <c r="D18" i="1"/>
  <c r="D16" i="1"/>
  <c r="D14" i="1"/>
  <c r="D10" i="1"/>
  <c r="D8" i="1"/>
  <c r="I9" i="12" l="1"/>
  <c r="I11" i="12"/>
  <c r="I15" i="12"/>
  <c r="I17" i="12"/>
  <c r="I19" i="12"/>
  <c r="I21" i="12"/>
  <c r="J21" i="12" s="1"/>
  <c r="I23" i="12"/>
  <c r="I25" i="12"/>
  <c r="I27" i="12"/>
  <c r="I29" i="12"/>
  <c r="I31" i="12"/>
  <c r="I33" i="12"/>
  <c r="J33" i="12" s="1"/>
  <c r="I35" i="12"/>
  <c r="I37" i="12"/>
  <c r="J37" i="12" s="1"/>
  <c r="I39" i="12"/>
  <c r="J39" i="12" s="1"/>
  <c r="I43" i="12"/>
  <c r="I45" i="12"/>
  <c r="I49" i="12"/>
  <c r="I51" i="12"/>
  <c r="I53" i="12"/>
  <c r="I55" i="12"/>
  <c r="I57" i="12"/>
  <c r="I59" i="12"/>
  <c r="I61" i="12"/>
  <c r="I9" i="10"/>
  <c r="I13" i="10"/>
  <c r="I15" i="10"/>
  <c r="I17" i="10"/>
  <c r="I19" i="10"/>
  <c r="J19" i="10" s="1"/>
  <c r="I21" i="10"/>
  <c r="J21" i="10" s="1"/>
  <c r="I23" i="10"/>
  <c r="J23" i="10" s="1"/>
  <c r="I25" i="10"/>
  <c r="J25" i="10" s="1"/>
  <c r="I27" i="10"/>
  <c r="J27" i="10" s="1"/>
  <c r="I29" i="10"/>
  <c r="J29" i="10" s="1"/>
  <c r="I31" i="10"/>
  <c r="J31" i="10" s="1"/>
  <c r="I33" i="10"/>
  <c r="J33" i="10" s="1"/>
  <c r="I35" i="10"/>
  <c r="J35" i="10" s="1"/>
  <c r="I37" i="10"/>
  <c r="I39" i="10"/>
  <c r="J39" i="10" s="1"/>
  <c r="I43" i="10"/>
  <c r="J43" i="10" s="1"/>
  <c r="I45" i="10"/>
  <c r="J45" i="10" s="1"/>
  <c r="D8" i="5"/>
  <c r="D14" i="5"/>
  <c r="D48" i="5"/>
  <c r="D58" i="5"/>
  <c r="I8" i="5"/>
  <c r="I14" i="5"/>
  <c r="I16" i="5"/>
  <c r="I42" i="5"/>
  <c r="I48" i="5"/>
  <c r="I54" i="5"/>
  <c r="I56" i="5"/>
  <c r="I58" i="5"/>
  <c r="D8" i="9"/>
  <c r="I9" i="9"/>
  <c r="I13" i="9"/>
  <c r="D10" i="11"/>
  <c r="D14" i="11"/>
  <c r="D16" i="11"/>
  <c r="D18" i="11"/>
  <c r="D20" i="11"/>
  <c r="D26" i="11"/>
  <c r="D28" i="11"/>
  <c r="D44" i="11"/>
  <c r="D50" i="11"/>
  <c r="D54" i="11"/>
  <c r="D56" i="11"/>
  <c r="D58" i="11"/>
  <c r="D62" i="11"/>
  <c r="I9" i="11"/>
  <c r="I11" i="11"/>
  <c r="I15" i="11"/>
  <c r="I17" i="11"/>
  <c r="I19" i="11"/>
  <c r="I21" i="11"/>
  <c r="I25" i="11"/>
  <c r="I27" i="11"/>
  <c r="I29" i="11"/>
  <c r="I43" i="11"/>
  <c r="I45" i="11"/>
  <c r="I49" i="11"/>
  <c r="I53" i="11"/>
  <c r="I55" i="11"/>
  <c r="I57" i="11"/>
  <c r="I61" i="11"/>
  <c r="I10" i="12"/>
  <c r="I14" i="12"/>
  <c r="I16" i="12"/>
  <c r="I18" i="12"/>
  <c r="I20" i="12"/>
  <c r="I22" i="12"/>
  <c r="I24" i="12"/>
  <c r="I26" i="12"/>
  <c r="I28" i="12"/>
  <c r="I30" i="12"/>
  <c r="I32" i="12"/>
  <c r="I34" i="12"/>
  <c r="I36" i="12"/>
  <c r="J36" i="12" s="1"/>
  <c r="I38" i="12"/>
  <c r="J38" i="12" s="1"/>
  <c r="I40" i="12"/>
  <c r="J40" i="12" s="1"/>
  <c r="I44" i="12"/>
  <c r="I46" i="12"/>
  <c r="J46" i="12" s="1"/>
  <c r="I50" i="12"/>
  <c r="I52" i="12"/>
  <c r="I54" i="12"/>
  <c r="I56" i="12"/>
  <c r="I58" i="12"/>
  <c r="I60" i="12"/>
  <c r="J60" i="12" s="1"/>
  <c r="I62" i="12"/>
  <c r="D48" i="1"/>
  <c r="D50" i="1"/>
  <c r="D54" i="1"/>
  <c r="D56" i="1"/>
  <c r="D58" i="1"/>
  <c r="D60" i="1"/>
  <c r="D62" i="1"/>
  <c r="D64" i="1"/>
  <c r="I9" i="1"/>
  <c r="I13" i="1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3" i="1"/>
  <c r="I48" i="9"/>
  <c r="I8" i="10"/>
  <c r="I10" i="10"/>
  <c r="I14" i="10"/>
  <c r="I16" i="10"/>
  <c r="J16" i="10" s="1"/>
  <c r="I18" i="10"/>
  <c r="J18" i="10" s="1"/>
  <c r="I20" i="10"/>
  <c r="J20" i="10" s="1"/>
  <c r="I22" i="10"/>
  <c r="J22" i="10" s="1"/>
  <c r="I24" i="10"/>
  <c r="I26" i="10"/>
  <c r="J26" i="10" s="1"/>
  <c r="I28" i="10"/>
  <c r="I30" i="10"/>
  <c r="J30" i="10" s="1"/>
  <c r="I32" i="10"/>
  <c r="I34" i="10"/>
  <c r="J34" i="10" s="1"/>
  <c r="I36" i="10"/>
  <c r="J36" i="10" s="1"/>
  <c r="I38" i="10"/>
  <c r="J38" i="10" s="1"/>
  <c r="I42" i="10"/>
  <c r="J42" i="10" s="1"/>
  <c r="I44" i="10"/>
  <c r="J44" i="10" s="1"/>
  <c r="I48" i="10"/>
  <c r="I48" i="1"/>
  <c r="I50" i="1"/>
  <c r="I52" i="1"/>
  <c r="I54" i="1"/>
  <c r="I56" i="1"/>
  <c r="I58" i="1"/>
  <c r="I60" i="1"/>
  <c r="I62" i="1"/>
  <c r="I64" i="1"/>
  <c r="D9" i="1"/>
  <c r="D13" i="1"/>
  <c r="D15" i="1"/>
  <c r="D17" i="1"/>
  <c r="D19" i="1"/>
  <c r="D23" i="1"/>
  <c r="D25" i="1"/>
  <c r="D27" i="1"/>
  <c r="D29" i="1"/>
  <c r="D33" i="1"/>
  <c r="D43" i="1"/>
  <c r="D49" i="1"/>
  <c r="D51" i="1"/>
  <c r="D53" i="1"/>
  <c r="D55" i="1"/>
  <c r="D57" i="1"/>
  <c r="D61" i="1"/>
  <c r="D63" i="1"/>
  <c r="D65" i="1"/>
  <c r="I8" i="1"/>
  <c r="I10" i="1"/>
  <c r="I14" i="1"/>
  <c r="I16" i="1"/>
  <c r="I18" i="1"/>
  <c r="I20" i="1"/>
  <c r="I24" i="1"/>
  <c r="I26" i="1"/>
  <c r="I28" i="1"/>
  <c r="I30" i="1"/>
  <c r="I32" i="1"/>
  <c r="I34" i="1"/>
  <c r="I36" i="1"/>
  <c r="I38" i="1"/>
  <c r="I42" i="1"/>
  <c r="I44" i="1"/>
  <c r="I49" i="1"/>
  <c r="I51" i="1"/>
  <c r="I53" i="1"/>
  <c r="I55" i="1"/>
  <c r="I57" i="1"/>
  <c r="I59" i="1"/>
  <c r="I61" i="1"/>
  <c r="I63" i="1"/>
  <c r="I65" i="1"/>
  <c r="E32" i="10" l="1"/>
  <c r="G32" i="10" s="1"/>
  <c r="E31" i="10"/>
  <c r="E30" i="10"/>
  <c r="E29" i="10"/>
  <c r="Y203" i="18"/>
  <c r="X203" i="18"/>
  <c r="W203" i="18"/>
  <c r="V203" i="18"/>
  <c r="Y202" i="18"/>
  <c r="X202" i="18"/>
  <c r="W202" i="18"/>
  <c r="V202" i="18"/>
  <c r="Y201" i="18"/>
  <c r="X201" i="18"/>
  <c r="W201" i="18"/>
  <c r="V201" i="18"/>
  <c r="Y200" i="18"/>
  <c r="X200" i="18"/>
  <c r="W200" i="18"/>
  <c r="V200" i="18"/>
  <c r="Y199" i="18"/>
  <c r="X199" i="18"/>
  <c r="W199" i="18"/>
  <c r="V199" i="18"/>
  <c r="Y198" i="18"/>
  <c r="X198" i="18"/>
  <c r="W198" i="18"/>
  <c r="V198" i="18"/>
  <c r="Y197" i="18"/>
  <c r="X197" i="18"/>
  <c r="W197" i="18"/>
  <c r="V197" i="18"/>
  <c r="Y196" i="18"/>
  <c r="X196" i="18"/>
  <c r="W196" i="18"/>
  <c r="V196" i="18"/>
  <c r="Y195" i="18"/>
  <c r="X195" i="18"/>
  <c r="W195" i="18"/>
  <c r="V195" i="18"/>
  <c r="Y194" i="18"/>
  <c r="X194" i="18"/>
  <c r="W194" i="18"/>
  <c r="V194" i="18"/>
  <c r="Y193" i="18"/>
  <c r="X193" i="18"/>
  <c r="W193" i="18"/>
  <c r="V193" i="18"/>
  <c r="Y192" i="18"/>
  <c r="X192" i="18"/>
  <c r="W192" i="18"/>
  <c r="V192" i="18"/>
  <c r="Y191" i="18"/>
  <c r="X191" i="18"/>
  <c r="W191" i="18"/>
  <c r="V191" i="18"/>
  <c r="Y190" i="18"/>
  <c r="X190" i="18"/>
  <c r="W190" i="18"/>
  <c r="V190" i="18"/>
  <c r="Y188" i="18"/>
  <c r="X188" i="18"/>
  <c r="W188" i="18"/>
  <c r="V188" i="18"/>
  <c r="Y187" i="18"/>
  <c r="X187" i="18"/>
  <c r="W187" i="18"/>
  <c r="V187" i="18"/>
  <c r="Y186" i="18"/>
  <c r="X186" i="18"/>
  <c r="W186" i="18"/>
  <c r="V186" i="18"/>
  <c r="Y185" i="18"/>
  <c r="X185" i="18"/>
  <c r="W185" i="18"/>
  <c r="V185" i="18"/>
  <c r="Y184" i="18"/>
  <c r="X184" i="18"/>
  <c r="W184" i="18"/>
  <c r="V184" i="18"/>
  <c r="Y183" i="18"/>
  <c r="X183" i="18"/>
  <c r="W183" i="18"/>
  <c r="V183" i="18"/>
  <c r="Y182" i="18"/>
  <c r="X182" i="18"/>
  <c r="W182" i="18"/>
  <c r="V182" i="18"/>
  <c r="Y181" i="18"/>
  <c r="X181" i="18"/>
  <c r="W181" i="18"/>
  <c r="V181" i="18"/>
  <c r="Y180" i="18"/>
  <c r="X180" i="18"/>
  <c r="W180" i="18"/>
  <c r="V180" i="18"/>
  <c r="Y179" i="18"/>
  <c r="X179" i="18"/>
  <c r="W179" i="18"/>
  <c r="V179" i="18"/>
  <c r="Y178" i="18"/>
  <c r="X178" i="18"/>
  <c r="W178" i="18"/>
  <c r="V178" i="18"/>
  <c r="Y177" i="18"/>
  <c r="X177" i="18"/>
  <c r="W177" i="18"/>
  <c r="V177" i="18"/>
  <c r="Y176" i="18"/>
  <c r="X176" i="18"/>
  <c r="W176" i="18"/>
  <c r="V176" i="18"/>
  <c r="Y175" i="18"/>
  <c r="X175" i="18"/>
  <c r="W175" i="18"/>
  <c r="V175" i="18"/>
  <c r="Y174" i="18"/>
  <c r="X174" i="18"/>
  <c r="W174" i="18"/>
  <c r="V174" i="18"/>
  <c r="Y173" i="18"/>
  <c r="X173" i="18"/>
  <c r="W173" i="18"/>
  <c r="V173" i="18"/>
  <c r="Y172" i="18"/>
  <c r="X172" i="18"/>
  <c r="W172" i="18"/>
  <c r="V172" i="18"/>
  <c r="Y171" i="18"/>
  <c r="X171" i="18"/>
  <c r="W171" i="18"/>
  <c r="V171" i="18"/>
  <c r="Y170" i="18"/>
  <c r="X170" i="18"/>
  <c r="W170" i="18"/>
  <c r="V170" i="18"/>
  <c r="Y169" i="18"/>
  <c r="X169" i="18"/>
  <c r="W169" i="18"/>
  <c r="V169" i="18"/>
  <c r="Y168" i="18"/>
  <c r="X168" i="18"/>
  <c r="W168" i="18"/>
  <c r="V168" i="18"/>
  <c r="Y167" i="18"/>
  <c r="X167" i="18"/>
  <c r="W167" i="18"/>
  <c r="V167" i="18"/>
  <c r="Y166" i="18"/>
  <c r="X166" i="18"/>
  <c r="W166" i="18"/>
  <c r="V166" i="18"/>
  <c r="Y165" i="18"/>
  <c r="X165" i="18"/>
  <c r="W165" i="18"/>
  <c r="V165" i="18"/>
  <c r="Y164" i="18"/>
  <c r="X164" i="18"/>
  <c r="W164" i="18"/>
  <c r="V164" i="18"/>
  <c r="Y163" i="18"/>
  <c r="X163" i="18"/>
  <c r="W163" i="18"/>
  <c r="V163" i="18"/>
  <c r="Y162" i="18"/>
  <c r="X162" i="18"/>
  <c r="W162" i="18"/>
  <c r="V162" i="18"/>
  <c r="Y161" i="18"/>
  <c r="X161" i="18"/>
  <c r="W161" i="18"/>
  <c r="V161" i="18"/>
  <c r="Y160" i="18"/>
  <c r="X160" i="18"/>
  <c r="W160" i="18"/>
  <c r="V160" i="18"/>
  <c r="Y159" i="18"/>
  <c r="X159" i="18"/>
  <c r="W159" i="18"/>
  <c r="V159" i="18"/>
  <c r="Y158" i="18"/>
  <c r="X158" i="18"/>
  <c r="W158" i="18"/>
  <c r="V158" i="18"/>
  <c r="Y157" i="18"/>
  <c r="X157" i="18"/>
  <c r="W157" i="18"/>
  <c r="V157" i="18"/>
  <c r="Y156" i="18"/>
  <c r="X156" i="18"/>
  <c r="W156" i="18"/>
  <c r="V156" i="18"/>
  <c r="Y155" i="18"/>
  <c r="X155" i="18"/>
  <c r="W155" i="18"/>
  <c r="V155" i="18"/>
  <c r="Y154" i="18"/>
  <c r="X154" i="18"/>
  <c r="W154" i="18"/>
  <c r="V154" i="18"/>
  <c r="Y153" i="18"/>
  <c r="X153" i="18"/>
  <c r="W153" i="18"/>
  <c r="V153" i="18"/>
  <c r="Y152" i="18"/>
  <c r="X152" i="18"/>
  <c r="W152" i="18"/>
  <c r="V152" i="18"/>
  <c r="Y150" i="18"/>
  <c r="X150" i="18"/>
  <c r="W150" i="18"/>
  <c r="V150" i="18"/>
  <c r="Y149" i="18"/>
  <c r="X149" i="18"/>
  <c r="W149" i="18"/>
  <c r="V149" i="18"/>
  <c r="Y148" i="18"/>
  <c r="X148" i="18"/>
  <c r="W148" i="18"/>
  <c r="V148" i="18"/>
  <c r="Y147" i="18"/>
  <c r="X147" i="18"/>
  <c r="W147" i="18"/>
  <c r="V147" i="18"/>
  <c r="Y146" i="18"/>
  <c r="X146" i="18"/>
  <c r="W146" i="18"/>
  <c r="V146" i="18"/>
  <c r="Y145" i="18"/>
  <c r="X145" i="18"/>
  <c r="W145" i="18"/>
  <c r="V145" i="18"/>
  <c r="Y144" i="18"/>
  <c r="X144" i="18"/>
  <c r="W144" i="18"/>
  <c r="V144" i="18"/>
  <c r="Y143" i="18"/>
  <c r="X143" i="18"/>
  <c r="W143" i="18"/>
  <c r="V143" i="18"/>
  <c r="Y142" i="18"/>
  <c r="X142" i="18"/>
  <c r="W142" i="18"/>
  <c r="V142" i="18"/>
  <c r="Y141" i="18"/>
  <c r="X141" i="18"/>
  <c r="W141" i="18"/>
  <c r="V141" i="18"/>
  <c r="Y140" i="18"/>
  <c r="X140" i="18"/>
  <c r="W140" i="18"/>
  <c r="V140" i="18"/>
  <c r="Y139" i="18"/>
  <c r="X139" i="18"/>
  <c r="W139" i="18"/>
  <c r="V139" i="18"/>
  <c r="Y138" i="18"/>
  <c r="X138" i="18"/>
  <c r="W138" i="18"/>
  <c r="V138" i="18"/>
  <c r="Y137" i="18"/>
  <c r="X137" i="18"/>
  <c r="W137" i="18"/>
  <c r="V137" i="18"/>
  <c r="Y134" i="18"/>
  <c r="X134" i="18"/>
  <c r="W134" i="18"/>
  <c r="V134" i="18"/>
  <c r="Y133" i="18"/>
  <c r="X133" i="18"/>
  <c r="W133" i="18"/>
  <c r="V133" i="18"/>
  <c r="Y132" i="18"/>
  <c r="X132" i="18"/>
  <c r="W132" i="18"/>
  <c r="V132" i="18"/>
  <c r="Y131" i="18"/>
  <c r="X131" i="18"/>
  <c r="W131" i="18"/>
  <c r="V131" i="18"/>
  <c r="Y130" i="18"/>
  <c r="X130" i="18"/>
  <c r="W130" i="18"/>
  <c r="V130" i="18"/>
  <c r="Y129" i="18"/>
  <c r="X129" i="18"/>
  <c r="W129" i="18"/>
  <c r="V129" i="18"/>
  <c r="Y128" i="18"/>
  <c r="X128" i="18"/>
  <c r="W128" i="18"/>
  <c r="V128" i="18"/>
  <c r="Y127" i="18"/>
  <c r="X127" i="18"/>
  <c r="W127" i="18"/>
  <c r="V127" i="18"/>
  <c r="Y126" i="18"/>
  <c r="X126" i="18"/>
  <c r="W126" i="18"/>
  <c r="V126" i="18"/>
  <c r="Y125" i="18"/>
  <c r="X125" i="18"/>
  <c r="W125" i="18"/>
  <c r="V125" i="18"/>
  <c r="Y124" i="18"/>
  <c r="X124" i="18"/>
  <c r="W124" i="18"/>
  <c r="V124" i="18"/>
  <c r="Y123" i="18"/>
  <c r="X123" i="18"/>
  <c r="W123" i="18"/>
  <c r="V123" i="18"/>
  <c r="Y122" i="18"/>
  <c r="X122" i="18"/>
  <c r="W122" i="18"/>
  <c r="V122" i="18"/>
  <c r="Y121" i="18"/>
  <c r="X121" i="18"/>
  <c r="W121" i="18"/>
  <c r="V121" i="18"/>
  <c r="Y120" i="18"/>
  <c r="X120" i="18"/>
  <c r="W120" i="18"/>
  <c r="V120" i="18"/>
  <c r="Y119" i="18"/>
  <c r="X119" i="18"/>
  <c r="W119" i="18"/>
  <c r="V119" i="18"/>
  <c r="Y118" i="18"/>
  <c r="X118" i="18"/>
  <c r="W118" i="18"/>
  <c r="V118" i="18"/>
  <c r="Y117" i="18"/>
  <c r="X117" i="18"/>
  <c r="W117" i="18"/>
  <c r="V117" i="18"/>
  <c r="Y116" i="18"/>
  <c r="X116" i="18"/>
  <c r="W116" i="18"/>
  <c r="V116" i="18"/>
  <c r="Y115" i="18"/>
  <c r="X115" i="18"/>
  <c r="W115" i="18"/>
  <c r="V115" i="18"/>
  <c r="Y114" i="18"/>
  <c r="X114" i="18"/>
  <c r="W114" i="18"/>
  <c r="V114" i="18"/>
  <c r="Y113" i="18"/>
  <c r="X113" i="18"/>
  <c r="W113" i="18"/>
  <c r="V113" i="18"/>
  <c r="Y112" i="18"/>
  <c r="X112" i="18"/>
  <c r="W112" i="18"/>
  <c r="V112" i="18"/>
  <c r="Y111" i="18"/>
  <c r="X111" i="18"/>
  <c r="W111" i="18"/>
  <c r="V111" i="18"/>
  <c r="Y110" i="18"/>
  <c r="X110" i="18"/>
  <c r="W110" i="18"/>
  <c r="V110" i="18"/>
  <c r="Y109" i="18"/>
  <c r="X109" i="18"/>
  <c r="W109" i="18"/>
  <c r="V109" i="18"/>
  <c r="Y108" i="18"/>
  <c r="X108" i="18"/>
  <c r="W108" i="18"/>
  <c r="V108" i="18"/>
  <c r="Y107" i="18"/>
  <c r="X107" i="18"/>
  <c r="W107" i="18"/>
  <c r="V107" i="18"/>
  <c r="Y106" i="18"/>
  <c r="X106" i="18"/>
  <c r="W106" i="18"/>
  <c r="V106" i="18"/>
  <c r="Y105" i="18"/>
  <c r="X105" i="18"/>
  <c r="W105" i="18"/>
  <c r="V105" i="18"/>
  <c r="Y104" i="18"/>
  <c r="X104" i="18"/>
  <c r="W104" i="18"/>
  <c r="V104" i="18"/>
  <c r="Y103" i="18"/>
  <c r="X103" i="18"/>
  <c r="W103" i="18"/>
  <c r="V103" i="18"/>
  <c r="Y100" i="18"/>
  <c r="X100" i="18"/>
  <c r="W100" i="18"/>
  <c r="V100" i="18"/>
  <c r="Y99" i="18"/>
  <c r="X99" i="18"/>
  <c r="W99" i="18"/>
  <c r="V99" i="18"/>
  <c r="Y98" i="18"/>
  <c r="X98" i="18"/>
  <c r="W98" i="18"/>
  <c r="V98" i="18"/>
  <c r="Y95" i="18"/>
  <c r="X95" i="18"/>
  <c r="W95" i="18"/>
  <c r="V95" i="18"/>
  <c r="Y94" i="18"/>
  <c r="X94" i="18"/>
  <c r="W94" i="18"/>
  <c r="V94" i="18"/>
  <c r="Y93" i="18"/>
  <c r="X93" i="18"/>
  <c r="W93" i="18"/>
  <c r="V93" i="18"/>
  <c r="Y92" i="18"/>
  <c r="X92" i="18"/>
  <c r="W92" i="18"/>
  <c r="V92" i="18"/>
  <c r="Y91" i="18"/>
  <c r="X91" i="18"/>
  <c r="W91" i="18"/>
  <c r="V91" i="18"/>
  <c r="Y90" i="18"/>
  <c r="X90" i="18"/>
  <c r="W90" i="18"/>
  <c r="V90" i="18"/>
  <c r="Y89" i="18"/>
  <c r="X89" i="18"/>
  <c r="W89" i="18"/>
  <c r="V89" i="18"/>
  <c r="Y88" i="18"/>
  <c r="X88" i="18"/>
  <c r="W88" i="18"/>
  <c r="V88" i="18"/>
  <c r="Y87" i="18"/>
  <c r="X87" i="18"/>
  <c r="W87" i="18"/>
  <c r="V87" i="18"/>
  <c r="Y86" i="18"/>
  <c r="X86" i="18"/>
  <c r="W86" i="18"/>
  <c r="V86" i="18"/>
  <c r="Y83" i="18"/>
  <c r="X83" i="18"/>
  <c r="W83" i="18"/>
  <c r="V83" i="18"/>
  <c r="Y82" i="18"/>
  <c r="X82" i="18"/>
  <c r="W82" i="18"/>
  <c r="V82" i="18"/>
  <c r="Y81" i="18"/>
  <c r="X81" i="18"/>
  <c r="W81" i="18"/>
  <c r="V81" i="18"/>
  <c r="Y80" i="18"/>
  <c r="X80" i="18"/>
  <c r="W80" i="18"/>
  <c r="V80" i="18"/>
  <c r="Y79" i="18"/>
  <c r="X79" i="18"/>
  <c r="W79" i="18"/>
  <c r="V79" i="18"/>
  <c r="Y78" i="18"/>
  <c r="X78" i="18"/>
  <c r="W78" i="18"/>
  <c r="V78" i="18"/>
  <c r="Y77" i="18"/>
  <c r="X77" i="18"/>
  <c r="W77" i="18"/>
  <c r="V77" i="18"/>
  <c r="Y76" i="18"/>
  <c r="X76" i="18"/>
  <c r="W76" i="18"/>
  <c r="V76" i="18"/>
  <c r="Y73" i="18"/>
  <c r="X73" i="18"/>
  <c r="W73" i="18"/>
  <c r="V73" i="18"/>
  <c r="Y72" i="18"/>
  <c r="X72" i="18"/>
  <c r="W72" i="18"/>
  <c r="V72" i="18"/>
  <c r="Y71" i="18"/>
  <c r="X71" i="18"/>
  <c r="W71" i="18"/>
  <c r="V71" i="18"/>
  <c r="Y70" i="18"/>
  <c r="X70" i="18"/>
  <c r="W70" i="18"/>
  <c r="V70" i="18"/>
  <c r="Y69" i="18"/>
  <c r="X69" i="18"/>
  <c r="W69" i="18"/>
  <c r="V69" i="18"/>
  <c r="Y66" i="18"/>
  <c r="X66" i="18"/>
  <c r="W66" i="18"/>
  <c r="V66" i="18"/>
  <c r="Y65" i="18"/>
  <c r="X65" i="18"/>
  <c r="W65" i="18"/>
  <c r="V65" i="18"/>
  <c r="Y64" i="18"/>
  <c r="X64" i="18"/>
  <c r="W64" i="18"/>
  <c r="V64" i="18"/>
  <c r="Y63" i="18"/>
  <c r="X63" i="18"/>
  <c r="W63" i="18"/>
  <c r="V63" i="18"/>
  <c r="Y62" i="18"/>
  <c r="X62" i="18"/>
  <c r="W62" i="18"/>
  <c r="V62" i="18"/>
  <c r="Y61" i="18"/>
  <c r="X61" i="18"/>
  <c r="W61" i="18"/>
  <c r="V61" i="18"/>
  <c r="Y60" i="18"/>
  <c r="X60" i="18"/>
  <c r="W60" i="18"/>
  <c r="V60" i="18"/>
  <c r="Y59" i="18"/>
  <c r="X59" i="18"/>
  <c r="W59" i="18"/>
  <c r="V59" i="18"/>
  <c r="Y58" i="18"/>
  <c r="X58" i="18"/>
  <c r="W58" i="18"/>
  <c r="V58" i="18"/>
  <c r="Y57" i="18"/>
  <c r="X57" i="18"/>
  <c r="W57" i="18"/>
  <c r="V57" i="18"/>
  <c r="Y56" i="18"/>
  <c r="X56" i="18"/>
  <c r="W56" i="18"/>
  <c r="V56" i="18"/>
  <c r="Y55" i="18"/>
  <c r="X55" i="18"/>
  <c r="W55" i="18"/>
  <c r="V55" i="18"/>
  <c r="Y54" i="18"/>
  <c r="X54" i="18"/>
  <c r="W54" i="18"/>
  <c r="V54" i="18"/>
  <c r="Y53" i="18"/>
  <c r="X53" i="18"/>
  <c r="W53" i="18"/>
  <c r="V53" i="18"/>
  <c r="Y52" i="18"/>
  <c r="X52" i="18"/>
  <c r="W52" i="18"/>
  <c r="V52" i="18"/>
  <c r="Y51" i="18"/>
  <c r="X51" i="18"/>
  <c r="W51" i="18"/>
  <c r="V51" i="18"/>
  <c r="Y50" i="18"/>
  <c r="X50" i="18"/>
  <c r="W50" i="18"/>
  <c r="V50" i="18"/>
  <c r="Y49" i="18"/>
  <c r="X49" i="18"/>
  <c r="W49" i="18"/>
  <c r="V49" i="18"/>
  <c r="Y48" i="18"/>
  <c r="X48" i="18"/>
  <c r="W48" i="18"/>
  <c r="V48" i="18"/>
  <c r="Y47" i="18"/>
  <c r="X47" i="18"/>
  <c r="W47" i="18"/>
  <c r="V47" i="18"/>
  <c r="Y46" i="18"/>
  <c r="X46" i="18"/>
  <c r="W46" i="18"/>
  <c r="V46" i="18"/>
  <c r="Y45" i="18"/>
  <c r="X45" i="18"/>
  <c r="W45" i="18"/>
  <c r="V45" i="18"/>
  <c r="Y44" i="18"/>
  <c r="X44" i="18"/>
  <c r="W44" i="18"/>
  <c r="V44" i="18"/>
  <c r="Y43" i="18"/>
  <c r="X43" i="18"/>
  <c r="W43" i="18"/>
  <c r="V43" i="18"/>
  <c r="Y42" i="18"/>
  <c r="X42" i="18"/>
  <c r="W42" i="18"/>
  <c r="V42" i="18"/>
  <c r="Y41" i="18"/>
  <c r="X41" i="18"/>
  <c r="W41" i="18"/>
  <c r="V41" i="18"/>
  <c r="Y40" i="18"/>
  <c r="X40" i="18"/>
  <c r="W40" i="18"/>
  <c r="V40" i="18"/>
  <c r="Y39" i="18"/>
  <c r="X39" i="18"/>
  <c r="W39" i="18"/>
  <c r="V39" i="18"/>
  <c r="Y34" i="18"/>
  <c r="X34" i="18"/>
  <c r="W34" i="18"/>
  <c r="V34" i="18"/>
  <c r="Y33" i="18"/>
  <c r="X33" i="18"/>
  <c r="W33" i="18"/>
  <c r="V33" i="18"/>
  <c r="Y32" i="18"/>
  <c r="X32" i="18"/>
  <c r="W32" i="18"/>
  <c r="V32" i="18"/>
  <c r="Y31" i="18"/>
  <c r="X31" i="18"/>
  <c r="W31" i="18"/>
  <c r="V31" i="18"/>
  <c r="Y30" i="18"/>
  <c r="X30" i="18"/>
  <c r="W30" i="18"/>
  <c r="V30" i="18"/>
  <c r="Y29" i="18"/>
  <c r="X29" i="18"/>
  <c r="W29" i="18"/>
  <c r="V29" i="18"/>
  <c r="Y28" i="18"/>
  <c r="X28" i="18"/>
  <c r="W28" i="18"/>
  <c r="V28" i="18"/>
  <c r="Y27" i="18"/>
  <c r="X27" i="18"/>
  <c r="W27" i="18"/>
  <c r="V27" i="18"/>
  <c r="Y26" i="18"/>
  <c r="X26" i="18"/>
  <c r="W26" i="18"/>
  <c r="V26" i="18"/>
  <c r="Y25" i="18"/>
  <c r="X25" i="18"/>
  <c r="W25" i="18"/>
  <c r="V25" i="18"/>
  <c r="Y24" i="18"/>
  <c r="X24" i="18"/>
  <c r="W24" i="18"/>
  <c r="V24" i="18"/>
  <c r="Y23" i="18"/>
  <c r="X23" i="18"/>
  <c r="W23" i="18"/>
  <c r="V23" i="18"/>
  <c r="Y22" i="18"/>
  <c r="X22" i="18"/>
  <c r="W22" i="18"/>
  <c r="V22" i="18"/>
  <c r="Y21" i="18"/>
  <c r="X21" i="18"/>
  <c r="W21" i="18"/>
  <c r="V21" i="18"/>
  <c r="Y20" i="18"/>
  <c r="X20" i="18"/>
  <c r="W20" i="18"/>
  <c r="V20" i="18"/>
  <c r="Y19" i="18"/>
  <c r="X19" i="18"/>
  <c r="W19" i="18"/>
  <c r="V19" i="18"/>
  <c r="Y18" i="18"/>
  <c r="X18" i="18"/>
  <c r="W18" i="18"/>
  <c r="V18" i="18"/>
  <c r="Y17" i="18"/>
  <c r="X17" i="18"/>
  <c r="W17" i="18"/>
  <c r="V17" i="18"/>
  <c r="Y16" i="18"/>
  <c r="X16" i="18"/>
  <c r="W16" i="18"/>
  <c r="V16" i="18"/>
  <c r="Y15" i="18"/>
  <c r="X15" i="18"/>
  <c r="W15" i="18"/>
  <c r="V15" i="18"/>
  <c r="Y14" i="18"/>
  <c r="X14" i="18"/>
  <c r="W14" i="18"/>
  <c r="V14" i="18"/>
  <c r="Y13" i="18"/>
  <c r="X13" i="18"/>
  <c r="W13" i="18"/>
  <c r="V13" i="18"/>
  <c r="Y12" i="18"/>
  <c r="X12" i="18"/>
  <c r="W12" i="18"/>
  <c r="V12" i="18"/>
  <c r="J32" i="28" l="1"/>
  <c r="I32" i="28"/>
  <c r="H32" i="28"/>
  <c r="G32" i="28"/>
  <c r="F32" i="28"/>
  <c r="E32" i="28"/>
  <c r="D32" i="28"/>
  <c r="C32" i="28"/>
  <c r="J31" i="28"/>
  <c r="I31" i="28"/>
  <c r="H31" i="28"/>
  <c r="G31" i="28"/>
  <c r="F31" i="28"/>
  <c r="E31" i="28"/>
  <c r="D31" i="28"/>
  <c r="C31" i="28"/>
  <c r="F39" i="27"/>
  <c r="E39" i="27"/>
  <c r="C39" i="27"/>
  <c r="B39" i="27"/>
  <c r="G38" i="27"/>
  <c r="D38" i="27"/>
  <c r="G37" i="27"/>
  <c r="D37" i="27"/>
  <c r="G36" i="27"/>
  <c r="D36" i="27"/>
  <c r="G35" i="27"/>
  <c r="D35" i="27"/>
  <c r="G34" i="27"/>
  <c r="D34" i="27"/>
  <c r="G33" i="27"/>
  <c r="D33" i="27"/>
  <c r="G32" i="27"/>
  <c r="D32" i="27"/>
  <c r="G31" i="27"/>
  <c r="D31" i="27"/>
  <c r="G30" i="27"/>
  <c r="D30" i="27"/>
  <c r="G29" i="27"/>
  <c r="D29" i="27"/>
  <c r="G28" i="27"/>
  <c r="D28" i="27"/>
  <c r="G27" i="27"/>
  <c r="D27" i="27"/>
  <c r="F19" i="27"/>
  <c r="C19" i="27"/>
  <c r="G18" i="27"/>
  <c r="D18" i="27"/>
  <c r="G17" i="27"/>
  <c r="D17" i="27"/>
  <c r="G16" i="27"/>
  <c r="D16" i="27"/>
  <c r="G14" i="27"/>
  <c r="D14" i="27"/>
  <c r="G13" i="27"/>
  <c r="D13" i="27"/>
  <c r="G12" i="27"/>
  <c r="D12" i="27"/>
  <c r="G11" i="27"/>
  <c r="D11" i="27"/>
  <c r="D10" i="27"/>
  <c r="G9" i="27"/>
  <c r="D9" i="27"/>
  <c r="G8" i="27"/>
  <c r="D8" i="27"/>
  <c r="D7" i="27"/>
  <c r="F40" i="26"/>
  <c r="E40" i="26"/>
  <c r="C40" i="26"/>
  <c r="B40" i="26"/>
  <c r="G28" i="26"/>
  <c r="D28" i="26"/>
  <c r="F19" i="26"/>
  <c r="E19" i="26"/>
  <c r="C19" i="26"/>
  <c r="B19" i="26"/>
  <c r="G7" i="26"/>
  <c r="D7" i="26"/>
  <c r="G40" i="26" l="1"/>
  <c r="D19" i="26"/>
  <c r="D40" i="26"/>
  <c r="G10" i="27"/>
  <c r="E19" i="27"/>
  <c r="G19" i="26"/>
  <c r="B31" i="28"/>
  <c r="D39" i="27"/>
  <c r="G39" i="27"/>
  <c r="B32" i="28"/>
  <c r="G7" i="27"/>
  <c r="H20" i="1" l="1"/>
  <c r="H23" i="11" l="1"/>
  <c r="H33" i="11"/>
  <c r="H37" i="11"/>
  <c r="H45" i="11"/>
  <c r="H60" i="11"/>
  <c r="H24" i="11"/>
  <c r="H34" i="11"/>
  <c r="H38" i="11"/>
  <c r="H46" i="11"/>
  <c r="H22" i="11"/>
  <c r="H31" i="11"/>
  <c r="H40" i="11"/>
  <c r="H59" i="11"/>
  <c r="H30" i="11"/>
  <c r="H35" i="11"/>
  <c r="H39" i="11"/>
  <c r="H51" i="11"/>
  <c r="H36" i="11"/>
  <c r="F21" i="11"/>
  <c r="F30" i="11"/>
  <c r="F35" i="11"/>
  <c r="F39" i="11"/>
  <c r="F50" i="11"/>
  <c r="F22" i="11"/>
  <c r="F31" i="11"/>
  <c r="F36" i="11"/>
  <c r="F40" i="11"/>
  <c r="F51" i="11"/>
  <c r="F24" i="11"/>
  <c r="F34" i="11"/>
  <c r="F38" i="11"/>
  <c r="F46" i="11"/>
  <c r="F23" i="11"/>
  <c r="F33" i="11"/>
  <c r="F37" i="11"/>
  <c r="F45" i="11"/>
  <c r="F60" i="11"/>
  <c r="H42" i="9"/>
  <c r="X68" i="18" l="1"/>
  <c r="Y68" i="18"/>
  <c r="Y97" i="18"/>
  <c r="Y136" i="18"/>
  <c r="B7" i="25"/>
  <c r="D7" i="25" s="1"/>
  <c r="E7" i="25"/>
  <c r="G7" i="25" s="1"/>
  <c r="B10" i="25"/>
  <c r="D10" i="25" s="1"/>
  <c r="E10" i="25"/>
  <c r="G10" i="25" s="1"/>
  <c r="B42" i="25"/>
  <c r="D42" i="25" s="1"/>
  <c r="E42" i="25"/>
  <c r="G42" i="25" s="1"/>
  <c r="B60" i="25"/>
  <c r="D60" i="25" s="1"/>
  <c r="E60" i="25"/>
  <c r="G60" i="25" s="1"/>
  <c r="B63" i="25"/>
  <c r="D63" i="25" s="1"/>
  <c r="E63" i="25"/>
  <c r="G63" i="25" s="1"/>
  <c r="B7" i="23"/>
  <c r="D7" i="23" s="1"/>
  <c r="B10" i="23"/>
  <c r="D10" i="23" s="1"/>
  <c r="E10" i="23"/>
  <c r="G10" i="23" s="1"/>
  <c r="B16" i="23"/>
  <c r="D16" i="23" s="1"/>
  <c r="B42" i="23"/>
  <c r="D42" i="23" s="1"/>
  <c r="E42" i="23"/>
  <c r="G42" i="23" s="1"/>
  <c r="B60" i="23"/>
  <c r="D60" i="23" s="1"/>
  <c r="E60" i="23"/>
  <c r="G60" i="23" s="1"/>
  <c r="E63" i="23"/>
  <c r="G63" i="23" s="1"/>
  <c r="B13" i="23"/>
  <c r="D13" i="23" s="1"/>
  <c r="E13" i="23"/>
  <c r="E16" i="23"/>
  <c r="B19" i="23"/>
  <c r="D19" i="23" s="1"/>
  <c r="E19" i="23"/>
  <c r="B19" i="25"/>
  <c r="D19" i="25" s="1"/>
  <c r="E19" i="25"/>
  <c r="F66" i="22"/>
  <c r="E21" i="22"/>
  <c r="B22" i="23"/>
  <c r="D22" i="23" s="1"/>
  <c r="E22" i="23"/>
  <c r="G22" i="23" s="1"/>
  <c r="B22" i="25"/>
  <c r="D22" i="25" s="1"/>
  <c r="E22" i="25"/>
  <c r="B24" i="23"/>
  <c r="D24" i="23" s="1"/>
  <c r="E24" i="23"/>
  <c r="B24" i="25"/>
  <c r="E24" i="25"/>
  <c r="G24" i="25" s="1"/>
  <c r="B27" i="23"/>
  <c r="E27" i="23"/>
  <c r="B27" i="25"/>
  <c r="E27" i="25"/>
  <c r="B29" i="23"/>
  <c r="D29" i="23" s="1"/>
  <c r="E29" i="23"/>
  <c r="G29" i="23" s="1"/>
  <c r="B29" i="25"/>
  <c r="E29" i="25"/>
  <c r="B32" i="23"/>
  <c r="D32" i="23" s="1"/>
  <c r="E32" i="23"/>
  <c r="G32" i="23" s="1"/>
  <c r="B32" i="25"/>
  <c r="E32" i="25"/>
  <c r="G32" i="25" s="1"/>
  <c r="B35" i="23"/>
  <c r="D35" i="23" s="1"/>
  <c r="E35" i="23"/>
  <c r="B35" i="25"/>
  <c r="E35" i="25"/>
  <c r="G35" i="25" s="1"/>
  <c r="B37" i="23"/>
  <c r="D37" i="23" s="1"/>
  <c r="E37" i="23"/>
  <c r="B37" i="25"/>
  <c r="D37" i="25" s="1"/>
  <c r="E37" i="25"/>
  <c r="B39" i="23"/>
  <c r="D39" i="23" s="1"/>
  <c r="E39" i="23"/>
  <c r="G39" i="23" s="1"/>
  <c r="B39" i="25"/>
  <c r="E39" i="25"/>
  <c r="B45" i="23"/>
  <c r="D45" i="23" s="1"/>
  <c r="E45" i="23"/>
  <c r="B45" i="25"/>
  <c r="E45" i="25"/>
  <c r="G45" i="25" s="1"/>
  <c r="B48" i="23"/>
  <c r="E48" i="23"/>
  <c r="B48" i="25"/>
  <c r="E48" i="25"/>
  <c r="B50" i="23"/>
  <c r="D50" i="23" s="1"/>
  <c r="E50" i="23"/>
  <c r="G50" i="23" s="1"/>
  <c r="B50" i="25"/>
  <c r="D50" i="25" s="1"/>
  <c r="E50" i="25"/>
  <c r="G50" i="25" s="1"/>
  <c r="B52" i="23"/>
  <c r="D52" i="23" s="1"/>
  <c r="E52" i="23"/>
  <c r="B52" i="25"/>
  <c r="D52" i="25" s="1"/>
  <c r="E52" i="25"/>
  <c r="G52" i="25" s="1"/>
  <c r="B55" i="23"/>
  <c r="D55" i="23" s="1"/>
  <c r="E55" i="23"/>
  <c r="G55" i="23" s="1"/>
  <c r="B55" i="25"/>
  <c r="D55" i="25" s="1"/>
  <c r="E55" i="25"/>
  <c r="B58" i="23"/>
  <c r="D58" i="23" s="1"/>
  <c r="E58" i="23"/>
  <c r="G58" i="23" s="1"/>
  <c r="B58" i="25"/>
  <c r="E58" i="25"/>
  <c r="C47" i="5"/>
  <c r="B47" i="5"/>
  <c r="E47" i="1"/>
  <c r="C47" i="1"/>
  <c r="B47" i="1"/>
  <c r="E64" i="12"/>
  <c r="G64" i="12" s="1"/>
  <c r="B49" i="12"/>
  <c r="D49" i="12" s="1"/>
  <c r="E49" i="12"/>
  <c r="G49" i="12" s="1"/>
  <c r="B48" i="10"/>
  <c r="D48" i="10" s="1"/>
  <c r="E48" i="10"/>
  <c r="G48" i="10" s="1"/>
  <c r="B45" i="10"/>
  <c r="H45" i="10" s="1"/>
  <c r="B44" i="10"/>
  <c r="H44" i="10" s="1"/>
  <c r="B43" i="10"/>
  <c r="H43" i="10" s="1"/>
  <c r="B42" i="10"/>
  <c r="H42" i="10" s="1"/>
  <c r="B49" i="2"/>
  <c r="H49" i="2" l="1"/>
  <c r="J49" i="2" s="1"/>
  <c r="D49" i="2"/>
  <c r="D47" i="1"/>
  <c r="H48" i="10"/>
  <c r="J48" i="10" s="1"/>
  <c r="H49" i="12"/>
  <c r="J49" i="12" s="1"/>
  <c r="D47" i="5"/>
  <c r="E47" i="9"/>
  <c r="C48" i="11"/>
  <c r="G19" i="25"/>
  <c r="X38" i="18"/>
  <c r="G47" i="1"/>
  <c r="I47" i="1" s="1"/>
  <c r="B47" i="9"/>
  <c r="G47" i="9"/>
  <c r="E48" i="11"/>
  <c r="E47" i="5"/>
  <c r="G47" i="5"/>
  <c r="C47" i="9"/>
  <c r="G48" i="11"/>
  <c r="D45" i="25"/>
  <c r="D35" i="25"/>
  <c r="G13" i="23"/>
  <c r="Y38" i="18"/>
  <c r="Y189" i="18"/>
  <c r="G37" i="23"/>
  <c r="Y11" i="18"/>
  <c r="Y151" i="18"/>
  <c r="D32" i="25"/>
  <c r="D24" i="25"/>
  <c r="G16" i="23"/>
  <c r="B48" i="2"/>
  <c r="B48" i="11"/>
  <c r="G52" i="23"/>
  <c r="G37" i="25"/>
  <c r="G35" i="23"/>
  <c r="G29" i="25"/>
  <c r="X85" i="18"/>
  <c r="Y102" i="18"/>
  <c r="Y85" i="18"/>
  <c r="Y75" i="18"/>
  <c r="X189" i="18"/>
  <c r="X151" i="18"/>
  <c r="X136" i="18"/>
  <c r="X102" i="18"/>
  <c r="X97" i="18"/>
  <c r="X75" i="18"/>
  <c r="X11" i="18"/>
  <c r="G58" i="25"/>
  <c r="G39" i="25"/>
  <c r="C66" i="22"/>
  <c r="G22" i="25"/>
  <c r="D58" i="25"/>
  <c r="D39" i="25"/>
  <c r="G19" i="23"/>
  <c r="G24" i="23"/>
  <c r="G55" i="25"/>
  <c r="G45" i="23"/>
  <c r="D29" i="25"/>
  <c r="D66" i="22"/>
  <c r="J66" i="22"/>
  <c r="G13" i="25"/>
  <c r="D13" i="25"/>
  <c r="M66" i="22"/>
  <c r="L66" i="22"/>
  <c r="I66" i="22"/>
  <c r="B16" i="25"/>
  <c r="D16" i="25" s="1"/>
  <c r="B65" i="23"/>
  <c r="G66" i="22"/>
  <c r="E16" i="25"/>
  <c r="G16" i="25" s="1"/>
  <c r="E65" i="23"/>
  <c r="G65" i="23" s="1"/>
  <c r="H48" i="5"/>
  <c r="H48" i="1"/>
  <c r="F48" i="1"/>
  <c r="H48" i="9"/>
  <c r="F48" i="9"/>
  <c r="H48" i="2" l="1"/>
  <c r="J48" i="2" s="1"/>
  <c r="D48" i="2"/>
  <c r="D48" i="11"/>
  <c r="D65" i="23"/>
  <c r="I47" i="5"/>
  <c r="I48" i="12"/>
  <c r="D47" i="9"/>
  <c r="I48" i="11"/>
  <c r="I47" i="10"/>
  <c r="I47" i="9"/>
  <c r="Y36" i="18"/>
  <c r="Y9" i="18" s="1"/>
  <c r="X36" i="18"/>
  <c r="X9" i="18" s="1"/>
  <c r="E65" i="25"/>
  <c r="G65" i="25" s="1"/>
  <c r="B65" i="25"/>
  <c r="D65" i="25" s="1"/>
  <c r="F20" i="11"/>
  <c r="F68" i="9" l="1"/>
  <c r="F13" i="9"/>
  <c r="F8" i="9"/>
  <c r="F9" i="9"/>
  <c r="F10" i="9"/>
  <c r="H9" i="11" l="1"/>
  <c r="H10" i="11"/>
  <c r="H11" i="11"/>
  <c r="F64" i="11"/>
  <c r="F62" i="11"/>
  <c r="F61" i="11"/>
  <c r="F59" i="11"/>
  <c r="F58" i="11"/>
  <c r="F57" i="11"/>
  <c r="F56" i="11"/>
  <c r="F55" i="11"/>
  <c r="F54" i="11"/>
  <c r="F53" i="11"/>
  <c r="F52" i="11"/>
  <c r="F44" i="11"/>
  <c r="F43" i="11"/>
  <c r="F32" i="11"/>
  <c r="F29" i="11"/>
  <c r="F28" i="11"/>
  <c r="F27" i="11"/>
  <c r="F26" i="11"/>
  <c r="F25" i="11"/>
  <c r="F19" i="11"/>
  <c r="F18" i="11"/>
  <c r="F17" i="11"/>
  <c r="F16" i="11"/>
  <c r="F15" i="11"/>
  <c r="F14" i="11"/>
  <c r="F11" i="11"/>
  <c r="F10" i="11"/>
  <c r="F9" i="11"/>
  <c r="G42" i="11" l="1"/>
  <c r="H9" i="9"/>
  <c r="H10" i="9"/>
  <c r="H8" i="5"/>
  <c r="H9" i="5"/>
  <c r="H10" i="5"/>
  <c r="B8" i="2"/>
  <c r="B9" i="2"/>
  <c r="B10" i="2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8" i="1"/>
  <c r="H9" i="1"/>
  <c r="H10" i="1"/>
  <c r="F38" i="1"/>
  <c r="F56" i="1"/>
  <c r="F57" i="1"/>
  <c r="D10" i="2" l="1"/>
  <c r="H10" i="2"/>
  <c r="J10" i="2" s="1"/>
  <c r="H9" i="2"/>
  <c r="J9" i="2" s="1"/>
  <c r="D9" i="2"/>
  <c r="H8" i="2"/>
  <c r="J8" i="2" s="1"/>
  <c r="D8" i="2"/>
  <c r="H14" i="11"/>
  <c r="H62" i="11" l="1"/>
  <c r="H61" i="11"/>
  <c r="H58" i="11"/>
  <c r="H57" i="11"/>
  <c r="H21" i="11"/>
  <c r="E10" i="12"/>
  <c r="G10" i="12" s="1"/>
  <c r="E11" i="12"/>
  <c r="G11" i="12" s="1"/>
  <c r="E51" i="12"/>
  <c r="G51" i="12" s="1"/>
  <c r="E52" i="12"/>
  <c r="G52" i="12" s="1"/>
  <c r="E53" i="12"/>
  <c r="G53" i="12" s="1"/>
  <c r="E54" i="12"/>
  <c r="G54" i="12" s="1"/>
  <c r="E55" i="12"/>
  <c r="G55" i="12" s="1"/>
  <c r="E56" i="12"/>
  <c r="G56" i="12" s="1"/>
  <c r="E57" i="12"/>
  <c r="G57" i="12" s="1"/>
  <c r="E58" i="12"/>
  <c r="G58" i="12" s="1"/>
  <c r="E59" i="12"/>
  <c r="G59" i="12" s="1"/>
  <c r="E60" i="12"/>
  <c r="E61" i="12"/>
  <c r="G61" i="12" s="1"/>
  <c r="E62" i="12"/>
  <c r="G62" i="12" s="1"/>
  <c r="E50" i="12"/>
  <c r="G50" i="12" s="1"/>
  <c r="E44" i="12"/>
  <c r="G44" i="12" s="1"/>
  <c r="E45" i="12"/>
  <c r="G45" i="12" s="1"/>
  <c r="E46" i="12"/>
  <c r="E43" i="12"/>
  <c r="G43" i="12" s="1"/>
  <c r="E40" i="12"/>
  <c r="E15" i="12"/>
  <c r="G15" i="12" s="1"/>
  <c r="E16" i="12"/>
  <c r="G16" i="12" s="1"/>
  <c r="E17" i="12"/>
  <c r="G17" i="12" s="1"/>
  <c r="E18" i="12"/>
  <c r="G18" i="12" s="1"/>
  <c r="E19" i="12"/>
  <c r="G19" i="12" s="1"/>
  <c r="E20" i="12"/>
  <c r="G20" i="12" s="1"/>
  <c r="E21" i="12"/>
  <c r="E22" i="12"/>
  <c r="G22" i="12" s="1"/>
  <c r="E23" i="12"/>
  <c r="G23" i="12" s="1"/>
  <c r="E24" i="12"/>
  <c r="G24" i="12" s="1"/>
  <c r="E25" i="12"/>
  <c r="G25" i="12" s="1"/>
  <c r="E26" i="12"/>
  <c r="G26" i="12" s="1"/>
  <c r="E27" i="12"/>
  <c r="G27" i="12" s="1"/>
  <c r="E28" i="12"/>
  <c r="G28" i="12" s="1"/>
  <c r="E29" i="12"/>
  <c r="G29" i="12" s="1"/>
  <c r="E30" i="12"/>
  <c r="G30" i="12" s="1"/>
  <c r="E31" i="12"/>
  <c r="G31" i="12" s="1"/>
  <c r="E32" i="12"/>
  <c r="G32" i="12" s="1"/>
  <c r="E33" i="12"/>
  <c r="E34" i="12"/>
  <c r="G34" i="12" s="1"/>
  <c r="E35" i="12"/>
  <c r="G35" i="12" s="1"/>
  <c r="E36" i="12"/>
  <c r="E37" i="12"/>
  <c r="E38" i="12"/>
  <c r="E39" i="12"/>
  <c r="E14" i="12"/>
  <c r="G14" i="12" s="1"/>
  <c r="E9" i="12"/>
  <c r="G9" i="12" s="1"/>
  <c r="B64" i="12"/>
  <c r="D64" i="12" s="1"/>
  <c r="B51" i="12"/>
  <c r="B52" i="12"/>
  <c r="D52" i="12" s="1"/>
  <c r="B53" i="12"/>
  <c r="D53" i="12" s="1"/>
  <c r="B54" i="12"/>
  <c r="D54" i="12" s="1"/>
  <c r="B55" i="12"/>
  <c r="D55" i="12" s="1"/>
  <c r="B56" i="12"/>
  <c r="D56" i="12" s="1"/>
  <c r="B57" i="12"/>
  <c r="D57" i="12" s="1"/>
  <c r="B58" i="12"/>
  <c r="D58" i="12" s="1"/>
  <c r="B59" i="12"/>
  <c r="D59" i="12" s="1"/>
  <c r="B60" i="12"/>
  <c r="H60" i="12" s="1"/>
  <c r="B61" i="12"/>
  <c r="D61" i="12" s="1"/>
  <c r="B62" i="12"/>
  <c r="D62" i="12" s="1"/>
  <c r="B50" i="12"/>
  <c r="D50" i="12" s="1"/>
  <c r="B44" i="12"/>
  <c r="D44" i="12" s="1"/>
  <c r="B45" i="12"/>
  <c r="D45" i="12" s="1"/>
  <c r="B46" i="12"/>
  <c r="H46" i="12" s="1"/>
  <c r="B43" i="12"/>
  <c r="D43" i="12" s="1"/>
  <c r="B15" i="12"/>
  <c r="D15" i="12" s="1"/>
  <c r="B16" i="12"/>
  <c r="D16" i="12" s="1"/>
  <c r="B17" i="12"/>
  <c r="D17" i="12" s="1"/>
  <c r="B18" i="12"/>
  <c r="D18" i="12" s="1"/>
  <c r="B19" i="12"/>
  <c r="D19" i="12" s="1"/>
  <c r="B20" i="12"/>
  <c r="D20" i="12" s="1"/>
  <c r="B21" i="12"/>
  <c r="B22" i="12"/>
  <c r="D22" i="12" s="1"/>
  <c r="B23" i="12"/>
  <c r="D23" i="12" s="1"/>
  <c r="B24" i="12"/>
  <c r="D24" i="12" s="1"/>
  <c r="B25" i="12"/>
  <c r="D25" i="12" s="1"/>
  <c r="B26" i="12"/>
  <c r="D26" i="12" s="1"/>
  <c r="B27" i="12"/>
  <c r="D27" i="12" s="1"/>
  <c r="B28" i="12"/>
  <c r="D28" i="12" s="1"/>
  <c r="B29" i="12"/>
  <c r="D29" i="12" s="1"/>
  <c r="B30" i="12"/>
  <c r="D30" i="12" s="1"/>
  <c r="B31" i="12"/>
  <c r="D31" i="12" s="1"/>
  <c r="B32" i="12"/>
  <c r="D32" i="12" s="1"/>
  <c r="B33" i="12"/>
  <c r="H33" i="12" s="1"/>
  <c r="B34" i="12"/>
  <c r="D34" i="12" s="1"/>
  <c r="B35" i="12"/>
  <c r="D35" i="12" s="1"/>
  <c r="B36" i="12"/>
  <c r="H36" i="12" s="1"/>
  <c r="B37" i="12"/>
  <c r="H37" i="12" s="1"/>
  <c r="B38" i="12"/>
  <c r="H38" i="12" s="1"/>
  <c r="B39" i="12"/>
  <c r="H39" i="12" s="1"/>
  <c r="B40" i="12"/>
  <c r="H40" i="12" s="1"/>
  <c r="B14" i="12"/>
  <c r="D14" i="12" s="1"/>
  <c r="B10" i="12"/>
  <c r="D10" i="12" s="1"/>
  <c r="B11" i="12"/>
  <c r="D11" i="12" s="1"/>
  <c r="B9" i="12"/>
  <c r="D9" i="12" s="1"/>
  <c r="D64" i="11"/>
  <c r="H51" i="12" l="1"/>
  <c r="J51" i="12" s="1"/>
  <c r="D51" i="12"/>
  <c r="H45" i="12"/>
  <c r="J45" i="12" s="1"/>
  <c r="H34" i="12"/>
  <c r="J34" i="12" s="1"/>
  <c r="H31" i="12"/>
  <c r="J31" i="12" s="1"/>
  <c r="H32" i="12"/>
  <c r="J32" i="12" s="1"/>
  <c r="H20" i="12"/>
  <c r="J20" i="12" s="1"/>
  <c r="H16" i="12"/>
  <c r="J16" i="12" s="1"/>
  <c r="H61" i="12"/>
  <c r="J61" i="12" s="1"/>
  <c r="H57" i="12"/>
  <c r="J57" i="12" s="1"/>
  <c r="H53" i="12"/>
  <c r="J53" i="12" s="1"/>
  <c r="H9" i="12"/>
  <c r="J9" i="12" s="1"/>
  <c r="H24" i="12"/>
  <c r="J24" i="12" s="1"/>
  <c r="H11" i="12"/>
  <c r="J11" i="12" s="1"/>
  <c r="H35" i="12"/>
  <c r="J35" i="12" s="1"/>
  <c r="H27" i="12"/>
  <c r="J27" i="12" s="1"/>
  <c r="H23" i="12"/>
  <c r="J23" i="12" s="1"/>
  <c r="H19" i="12"/>
  <c r="J19" i="12" s="1"/>
  <c r="H15" i="12"/>
  <c r="J15" i="12" s="1"/>
  <c r="H44" i="12"/>
  <c r="J44" i="12" s="1"/>
  <c r="H56" i="12"/>
  <c r="J56" i="12" s="1"/>
  <c r="H52" i="12"/>
  <c r="J52" i="12" s="1"/>
  <c r="H30" i="12"/>
  <c r="J30" i="12" s="1"/>
  <c r="H22" i="12"/>
  <c r="J22" i="12" s="1"/>
  <c r="H18" i="12"/>
  <c r="J18" i="12" s="1"/>
  <c r="H43" i="12"/>
  <c r="J43" i="12" s="1"/>
  <c r="H50" i="12"/>
  <c r="J50" i="12" s="1"/>
  <c r="H59" i="12"/>
  <c r="J59" i="12" s="1"/>
  <c r="H55" i="12"/>
  <c r="J55" i="12" s="1"/>
  <c r="H28" i="12"/>
  <c r="J28" i="12" s="1"/>
  <c r="H10" i="12"/>
  <c r="J10" i="12" s="1"/>
  <c r="H26" i="12"/>
  <c r="J26" i="12" s="1"/>
  <c r="H14" i="12"/>
  <c r="J14" i="12" s="1"/>
  <c r="H29" i="12"/>
  <c r="J29" i="12" s="1"/>
  <c r="H25" i="12"/>
  <c r="J25" i="12" s="1"/>
  <c r="H21" i="12"/>
  <c r="H17" i="12"/>
  <c r="J17" i="12" s="1"/>
  <c r="H62" i="12"/>
  <c r="J62" i="12" s="1"/>
  <c r="H58" i="12"/>
  <c r="J58" i="12" s="1"/>
  <c r="H54" i="12"/>
  <c r="J54" i="12" s="1"/>
  <c r="E48" i="12"/>
  <c r="G48" i="12" s="1"/>
  <c r="B48" i="12"/>
  <c r="D48" i="12" s="1"/>
  <c r="H64" i="12"/>
  <c r="J64" i="12" s="1"/>
  <c r="I68" i="10"/>
  <c r="E14" i="10"/>
  <c r="G14" i="10" s="1"/>
  <c r="E15" i="10"/>
  <c r="G15" i="10" s="1"/>
  <c r="E16" i="10"/>
  <c r="E17" i="10"/>
  <c r="G17" i="10" s="1"/>
  <c r="E18" i="10"/>
  <c r="E19" i="10"/>
  <c r="E20" i="10"/>
  <c r="E21" i="10"/>
  <c r="E22" i="10"/>
  <c r="E23" i="10"/>
  <c r="E24" i="10"/>
  <c r="G24" i="10" s="1"/>
  <c r="E25" i="10"/>
  <c r="E26" i="10"/>
  <c r="E27" i="10"/>
  <c r="E28" i="10"/>
  <c r="G28" i="10" s="1"/>
  <c r="E33" i="10"/>
  <c r="E34" i="10"/>
  <c r="E35" i="10"/>
  <c r="E36" i="10"/>
  <c r="E37" i="10"/>
  <c r="G37" i="10" s="1"/>
  <c r="E38" i="10"/>
  <c r="E39" i="10"/>
  <c r="E13" i="10"/>
  <c r="G13" i="10" s="1"/>
  <c r="E9" i="10"/>
  <c r="G9" i="10" s="1"/>
  <c r="E10" i="10"/>
  <c r="G10" i="10" s="1"/>
  <c r="E8" i="10"/>
  <c r="G8" i="10" s="1"/>
  <c r="B68" i="10"/>
  <c r="D68" i="10" s="1"/>
  <c r="B14" i="10"/>
  <c r="D14" i="10" s="1"/>
  <c r="B15" i="10"/>
  <c r="B16" i="10"/>
  <c r="H16" i="10" s="1"/>
  <c r="B17" i="10"/>
  <c r="D17" i="10" s="1"/>
  <c r="B18" i="10"/>
  <c r="H18" i="10" s="1"/>
  <c r="B19" i="10"/>
  <c r="H19" i="10" s="1"/>
  <c r="B20" i="10"/>
  <c r="H20" i="10" s="1"/>
  <c r="B21" i="10"/>
  <c r="H21" i="10" s="1"/>
  <c r="B22" i="10"/>
  <c r="H22" i="10" s="1"/>
  <c r="B23" i="10"/>
  <c r="H23" i="10" s="1"/>
  <c r="B24" i="10"/>
  <c r="D24" i="10" s="1"/>
  <c r="B25" i="10"/>
  <c r="H25" i="10" s="1"/>
  <c r="B26" i="10"/>
  <c r="H26" i="10" s="1"/>
  <c r="B27" i="10"/>
  <c r="H27" i="10" s="1"/>
  <c r="B28" i="10"/>
  <c r="D28" i="10" s="1"/>
  <c r="B29" i="10"/>
  <c r="H29" i="10" s="1"/>
  <c r="B30" i="10"/>
  <c r="H30" i="10" s="1"/>
  <c r="B31" i="10"/>
  <c r="H31" i="10" s="1"/>
  <c r="B32" i="10"/>
  <c r="D32" i="10" s="1"/>
  <c r="B33" i="10"/>
  <c r="H33" i="10" s="1"/>
  <c r="B34" i="10"/>
  <c r="H34" i="10" s="1"/>
  <c r="B35" i="10"/>
  <c r="H35" i="10" s="1"/>
  <c r="B36" i="10"/>
  <c r="H36" i="10" s="1"/>
  <c r="B37" i="10"/>
  <c r="D37" i="10" s="1"/>
  <c r="B38" i="10"/>
  <c r="H38" i="10" s="1"/>
  <c r="B39" i="10"/>
  <c r="H39" i="10" s="1"/>
  <c r="B13" i="10"/>
  <c r="D13" i="10" s="1"/>
  <c r="B9" i="10"/>
  <c r="D9" i="10" s="1"/>
  <c r="B10" i="10"/>
  <c r="D10" i="10" s="1"/>
  <c r="B8" i="10"/>
  <c r="D8" i="10" s="1"/>
  <c r="I68" i="9"/>
  <c r="H68" i="9"/>
  <c r="H13" i="9"/>
  <c r="H8" i="9"/>
  <c r="D68" i="9"/>
  <c r="E41" i="5"/>
  <c r="H9" i="10" l="1"/>
  <c r="J9" i="10" s="1"/>
  <c r="H10" i="10"/>
  <c r="J10" i="10" s="1"/>
  <c r="H14" i="10"/>
  <c r="J14" i="10" s="1"/>
  <c r="H17" i="10"/>
  <c r="J17" i="10" s="1"/>
  <c r="H48" i="12"/>
  <c r="J48" i="12" s="1"/>
  <c r="H37" i="10"/>
  <c r="J37" i="10" s="1"/>
  <c r="H13" i="10"/>
  <c r="J13" i="10" s="1"/>
  <c r="H32" i="10"/>
  <c r="J32" i="10" s="1"/>
  <c r="H28" i="10"/>
  <c r="J28" i="10" s="1"/>
  <c r="H24" i="10"/>
  <c r="J24" i="10" s="1"/>
  <c r="H8" i="10"/>
  <c r="J8" i="10" s="1"/>
  <c r="H15" i="10"/>
  <c r="J15" i="10" s="1"/>
  <c r="B47" i="10"/>
  <c r="H68" i="10"/>
  <c r="J68" i="10" s="1"/>
  <c r="Q189" i="18"/>
  <c r="P189" i="18"/>
  <c r="Q151" i="18"/>
  <c r="P151" i="18"/>
  <c r="Q136" i="18"/>
  <c r="P136" i="18"/>
  <c r="Q102" i="18"/>
  <c r="P102" i="18"/>
  <c r="Q97" i="18"/>
  <c r="P97" i="18"/>
  <c r="Q85" i="18"/>
  <c r="P85" i="18"/>
  <c r="Q75" i="18"/>
  <c r="P75" i="18"/>
  <c r="Q68" i="18"/>
  <c r="P68" i="18"/>
  <c r="Q38" i="18"/>
  <c r="P38" i="18"/>
  <c r="Q11" i="18"/>
  <c r="P11" i="18"/>
  <c r="D47" i="10" l="1"/>
  <c r="Q36" i="18"/>
  <c r="Q9" i="18" s="1"/>
  <c r="P36" i="18"/>
  <c r="P9" i="18" s="1"/>
  <c r="AA206" i="18" l="1"/>
  <c r="Z206" i="18"/>
  <c r="AA203" i="18"/>
  <c r="Z203" i="18"/>
  <c r="AA200" i="18"/>
  <c r="Z200" i="18"/>
  <c r="AA199" i="18"/>
  <c r="Z199" i="18"/>
  <c r="AA198" i="18"/>
  <c r="Z198" i="18"/>
  <c r="AA197" i="18"/>
  <c r="Z197" i="18"/>
  <c r="AA196" i="18"/>
  <c r="Z196" i="18"/>
  <c r="AA195" i="18"/>
  <c r="Z195" i="18"/>
  <c r="AA194" i="18"/>
  <c r="Z194" i="18"/>
  <c r="AA193" i="18"/>
  <c r="Z193" i="18"/>
  <c r="AA192" i="18"/>
  <c r="Z192" i="18"/>
  <c r="AA191" i="18"/>
  <c r="Z191" i="18"/>
  <c r="AA190" i="18"/>
  <c r="Z190" i="18"/>
  <c r="W189" i="18"/>
  <c r="V189" i="18"/>
  <c r="U189" i="18"/>
  <c r="T189" i="18"/>
  <c r="S189" i="18"/>
  <c r="R189" i="18"/>
  <c r="O189" i="18"/>
  <c r="N189" i="18"/>
  <c r="M189" i="18"/>
  <c r="L189" i="18"/>
  <c r="K189" i="18"/>
  <c r="J189" i="18"/>
  <c r="I189" i="18"/>
  <c r="H189" i="18"/>
  <c r="G189" i="18"/>
  <c r="F189" i="18"/>
  <c r="E189" i="18"/>
  <c r="D189" i="18"/>
  <c r="C189" i="18"/>
  <c r="B189" i="18"/>
  <c r="AA188" i="18"/>
  <c r="Z188" i="18"/>
  <c r="AA187" i="18"/>
  <c r="Z187" i="18"/>
  <c r="Z186" i="18"/>
  <c r="AA185" i="18"/>
  <c r="Z185" i="18"/>
  <c r="AA184" i="18"/>
  <c r="Z184" i="18"/>
  <c r="AA183" i="18"/>
  <c r="Z183" i="18"/>
  <c r="AA182" i="18"/>
  <c r="Z182" i="18"/>
  <c r="AA181" i="18"/>
  <c r="Z181" i="18"/>
  <c r="AA180" i="18"/>
  <c r="Z180" i="18"/>
  <c r="AA179" i="18"/>
  <c r="Z179" i="18"/>
  <c r="AA178" i="18"/>
  <c r="Z178" i="18"/>
  <c r="AA177" i="18"/>
  <c r="Z177" i="18"/>
  <c r="AA176" i="18"/>
  <c r="Z176" i="18"/>
  <c r="AA175" i="18"/>
  <c r="Z175" i="18"/>
  <c r="AA174" i="18"/>
  <c r="Z174" i="18"/>
  <c r="AA173" i="18"/>
  <c r="Z173" i="18"/>
  <c r="AA172" i="18"/>
  <c r="Z172" i="18"/>
  <c r="AA171" i="18"/>
  <c r="Z171" i="18"/>
  <c r="AA170" i="18"/>
  <c r="Z170" i="18"/>
  <c r="AA169" i="18"/>
  <c r="Z169" i="18"/>
  <c r="AA168" i="18"/>
  <c r="Z168" i="18"/>
  <c r="AA167" i="18"/>
  <c r="Z167" i="18"/>
  <c r="AA166" i="18"/>
  <c r="Z166" i="18"/>
  <c r="AA165" i="18"/>
  <c r="Z165" i="18"/>
  <c r="AA164" i="18"/>
  <c r="Z164" i="18"/>
  <c r="AA163" i="18"/>
  <c r="Z163" i="18"/>
  <c r="AA162" i="18"/>
  <c r="Z162" i="18"/>
  <c r="AA161" i="18"/>
  <c r="Z161" i="18"/>
  <c r="AA160" i="18"/>
  <c r="Z160" i="18"/>
  <c r="AA159" i="18"/>
  <c r="Z159" i="18"/>
  <c r="AA158" i="18"/>
  <c r="Z158" i="18"/>
  <c r="AA157" i="18"/>
  <c r="Z157" i="18"/>
  <c r="AA156" i="18"/>
  <c r="Z156" i="18"/>
  <c r="AA155" i="18"/>
  <c r="Z155" i="18"/>
  <c r="AA154" i="18"/>
  <c r="Z154" i="18"/>
  <c r="AA153" i="18"/>
  <c r="Z153" i="18"/>
  <c r="AA152" i="18"/>
  <c r="Z152" i="18"/>
  <c r="W151" i="18"/>
  <c r="V151" i="18"/>
  <c r="U151" i="18"/>
  <c r="T151" i="18"/>
  <c r="S151" i="18"/>
  <c r="R151" i="18"/>
  <c r="O151" i="18"/>
  <c r="N151" i="18"/>
  <c r="M151" i="18"/>
  <c r="L151" i="18"/>
  <c r="K151" i="18"/>
  <c r="J151" i="18"/>
  <c r="I151" i="18"/>
  <c r="H151" i="18"/>
  <c r="G151" i="18"/>
  <c r="F151" i="18"/>
  <c r="E151" i="18"/>
  <c r="D151" i="18"/>
  <c r="C151" i="18"/>
  <c r="B151" i="18"/>
  <c r="AA150" i="18"/>
  <c r="Z150" i="18"/>
  <c r="AA149" i="18"/>
  <c r="Z149" i="18"/>
  <c r="AA148" i="18"/>
  <c r="Z148" i="18"/>
  <c r="AA147" i="18"/>
  <c r="Z147" i="18"/>
  <c r="AA146" i="18"/>
  <c r="Z146" i="18"/>
  <c r="AA145" i="18"/>
  <c r="Z145" i="18"/>
  <c r="AA144" i="18"/>
  <c r="Z144" i="18"/>
  <c r="AA143" i="18"/>
  <c r="Z143" i="18"/>
  <c r="AA142" i="18"/>
  <c r="Z142" i="18"/>
  <c r="AA141" i="18"/>
  <c r="Z141" i="18"/>
  <c r="AA140" i="18"/>
  <c r="Z140" i="18"/>
  <c r="AA139" i="18"/>
  <c r="Z139" i="18"/>
  <c r="AA138" i="18"/>
  <c r="Z138" i="18"/>
  <c r="AA137" i="18"/>
  <c r="Z137" i="18"/>
  <c r="W136" i="18"/>
  <c r="V136" i="18"/>
  <c r="U136" i="18"/>
  <c r="T136" i="18"/>
  <c r="S136" i="18"/>
  <c r="R136" i="18"/>
  <c r="O136" i="18"/>
  <c r="N136" i="18"/>
  <c r="M136" i="18"/>
  <c r="L136" i="18"/>
  <c r="K136" i="18"/>
  <c r="J136" i="18"/>
  <c r="I136" i="18"/>
  <c r="H136" i="18"/>
  <c r="G136" i="18"/>
  <c r="F136" i="18"/>
  <c r="E136" i="18"/>
  <c r="D136" i="18"/>
  <c r="C136" i="18"/>
  <c r="B136" i="18"/>
  <c r="AA134" i="18"/>
  <c r="Z134" i="18"/>
  <c r="AA133" i="18"/>
  <c r="Z133" i="18"/>
  <c r="AA132" i="18"/>
  <c r="Z132" i="18"/>
  <c r="AA131" i="18"/>
  <c r="Z131" i="18"/>
  <c r="AA130" i="18"/>
  <c r="Z130" i="18"/>
  <c r="AA129" i="18"/>
  <c r="Z129" i="18"/>
  <c r="AA128" i="18"/>
  <c r="Z128" i="18"/>
  <c r="AA127" i="18"/>
  <c r="Z127" i="18"/>
  <c r="AA126" i="18"/>
  <c r="Z126" i="18"/>
  <c r="AA125" i="18"/>
  <c r="Z125" i="18"/>
  <c r="AA124" i="18"/>
  <c r="Z124" i="18"/>
  <c r="AA123" i="18"/>
  <c r="Z123" i="18"/>
  <c r="AA122" i="18"/>
  <c r="Z122" i="18"/>
  <c r="AA121" i="18"/>
  <c r="Z121" i="18"/>
  <c r="AA120" i="18"/>
  <c r="Z120" i="18"/>
  <c r="AA119" i="18"/>
  <c r="Z119" i="18"/>
  <c r="AA118" i="18"/>
  <c r="Z118" i="18"/>
  <c r="AA117" i="18"/>
  <c r="Z117" i="18"/>
  <c r="AA116" i="18"/>
  <c r="Z116" i="18"/>
  <c r="AA115" i="18"/>
  <c r="Z115" i="18"/>
  <c r="AA114" i="18"/>
  <c r="Z114" i="18"/>
  <c r="AA113" i="18"/>
  <c r="Z113" i="18"/>
  <c r="AA112" i="18"/>
  <c r="Z112" i="18"/>
  <c r="AA111" i="18"/>
  <c r="Z111" i="18"/>
  <c r="AA110" i="18"/>
  <c r="Z110" i="18"/>
  <c r="AA109" i="18"/>
  <c r="Z109" i="18"/>
  <c r="AA108" i="18"/>
  <c r="Z108" i="18"/>
  <c r="AA107" i="18"/>
  <c r="Z107" i="18"/>
  <c r="AA106" i="18"/>
  <c r="Z106" i="18"/>
  <c r="AA105" i="18"/>
  <c r="Z105" i="18"/>
  <c r="AA104" i="18"/>
  <c r="Z104" i="18"/>
  <c r="AA103" i="18"/>
  <c r="Z103" i="18"/>
  <c r="W102" i="18"/>
  <c r="V102" i="18"/>
  <c r="U102" i="18"/>
  <c r="T102" i="18"/>
  <c r="S102" i="18"/>
  <c r="R102" i="18"/>
  <c r="O102" i="18"/>
  <c r="N102" i="18"/>
  <c r="M102" i="18"/>
  <c r="L102" i="18"/>
  <c r="K102" i="18"/>
  <c r="J102" i="18"/>
  <c r="I102" i="18"/>
  <c r="H102" i="18"/>
  <c r="G102" i="18"/>
  <c r="F102" i="18"/>
  <c r="E102" i="18"/>
  <c r="D102" i="18"/>
  <c r="C102" i="18"/>
  <c r="B102" i="18"/>
  <c r="AA100" i="18"/>
  <c r="Z100" i="18"/>
  <c r="AA99" i="18"/>
  <c r="Z99" i="18"/>
  <c r="AA98" i="18"/>
  <c r="Z98" i="18"/>
  <c r="W97" i="18"/>
  <c r="V97" i="18"/>
  <c r="U97" i="18"/>
  <c r="T97" i="18"/>
  <c r="S97" i="18"/>
  <c r="R97" i="18"/>
  <c r="O97" i="18"/>
  <c r="N97" i="18"/>
  <c r="M97" i="18"/>
  <c r="L97" i="18"/>
  <c r="K97" i="18"/>
  <c r="J97" i="18"/>
  <c r="I97" i="18"/>
  <c r="H97" i="18"/>
  <c r="G97" i="18"/>
  <c r="F97" i="18"/>
  <c r="E97" i="18"/>
  <c r="D97" i="18"/>
  <c r="C97" i="18"/>
  <c r="B97" i="18"/>
  <c r="AA95" i="18"/>
  <c r="Z95" i="18"/>
  <c r="AA94" i="18"/>
  <c r="Z94" i="18"/>
  <c r="AA93" i="18"/>
  <c r="Z93" i="18"/>
  <c r="AA92" i="18"/>
  <c r="Z92" i="18"/>
  <c r="AA91" i="18"/>
  <c r="Z91" i="18"/>
  <c r="AA90" i="18"/>
  <c r="Z90" i="18"/>
  <c r="AA89" i="18"/>
  <c r="Z89" i="18"/>
  <c r="AA88" i="18"/>
  <c r="Z88" i="18"/>
  <c r="AA87" i="18"/>
  <c r="Z87" i="18"/>
  <c r="AA86" i="18"/>
  <c r="Z86" i="18"/>
  <c r="W85" i="18"/>
  <c r="V85" i="18"/>
  <c r="U85" i="18"/>
  <c r="T85" i="18"/>
  <c r="S85" i="18"/>
  <c r="R85" i="18"/>
  <c r="O85" i="18"/>
  <c r="N85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AA83" i="18"/>
  <c r="Z83" i="18"/>
  <c r="AA82" i="18"/>
  <c r="Z82" i="18"/>
  <c r="AA81" i="18"/>
  <c r="Z81" i="18"/>
  <c r="AA80" i="18"/>
  <c r="Z80" i="18"/>
  <c r="AA79" i="18"/>
  <c r="Z79" i="18"/>
  <c r="AA78" i="18"/>
  <c r="Z78" i="18"/>
  <c r="AA77" i="18"/>
  <c r="Z77" i="18"/>
  <c r="AA76" i="18"/>
  <c r="Z76" i="18"/>
  <c r="W75" i="18"/>
  <c r="V75" i="18"/>
  <c r="U75" i="18"/>
  <c r="T75" i="18"/>
  <c r="S75" i="18"/>
  <c r="R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C75" i="18"/>
  <c r="B75" i="18"/>
  <c r="AA73" i="18"/>
  <c r="Z73" i="18"/>
  <c r="AA72" i="18"/>
  <c r="Z72" i="18"/>
  <c r="AA71" i="18"/>
  <c r="Z71" i="18"/>
  <c r="AA70" i="18"/>
  <c r="Z70" i="18"/>
  <c r="AA69" i="18"/>
  <c r="Z69" i="18"/>
  <c r="W68" i="18"/>
  <c r="V68" i="18"/>
  <c r="U68" i="18"/>
  <c r="T68" i="18"/>
  <c r="S68" i="18"/>
  <c r="R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B68" i="18"/>
  <c r="AA66" i="18"/>
  <c r="Z66" i="18"/>
  <c r="AA65" i="18"/>
  <c r="Z65" i="18"/>
  <c r="AA64" i="18"/>
  <c r="Z64" i="18"/>
  <c r="AA63" i="18"/>
  <c r="Z63" i="18"/>
  <c r="AA62" i="18"/>
  <c r="Z62" i="18"/>
  <c r="AA61" i="18"/>
  <c r="Z61" i="18"/>
  <c r="AA60" i="18"/>
  <c r="Z60" i="18"/>
  <c r="AA59" i="18"/>
  <c r="Z59" i="18"/>
  <c r="AA58" i="18"/>
  <c r="Z58" i="18"/>
  <c r="AA57" i="18"/>
  <c r="Z57" i="18"/>
  <c r="AA56" i="18"/>
  <c r="Z56" i="18"/>
  <c r="AA55" i="18"/>
  <c r="Z55" i="18"/>
  <c r="AA54" i="18"/>
  <c r="Z54" i="18"/>
  <c r="AA53" i="18"/>
  <c r="Z53" i="18"/>
  <c r="AA52" i="18"/>
  <c r="Z52" i="18"/>
  <c r="AA51" i="18"/>
  <c r="Z51" i="18"/>
  <c r="AA50" i="18"/>
  <c r="Z50" i="18"/>
  <c r="AA49" i="18"/>
  <c r="Z49" i="18"/>
  <c r="AA48" i="18"/>
  <c r="Z48" i="18"/>
  <c r="AA47" i="18"/>
  <c r="Z47" i="18"/>
  <c r="AA46" i="18"/>
  <c r="Z46" i="18"/>
  <c r="AA45" i="18"/>
  <c r="Z45" i="18"/>
  <c r="AA44" i="18"/>
  <c r="Z44" i="18"/>
  <c r="AA43" i="18"/>
  <c r="Z43" i="18"/>
  <c r="AA42" i="18"/>
  <c r="Z42" i="18"/>
  <c r="AA41" i="18"/>
  <c r="Z41" i="18"/>
  <c r="AA40" i="18"/>
  <c r="Z40" i="18"/>
  <c r="AA39" i="18"/>
  <c r="Z39" i="18"/>
  <c r="W38" i="18"/>
  <c r="V38" i="18"/>
  <c r="U38" i="18"/>
  <c r="T38" i="18"/>
  <c r="T36" i="18" s="1"/>
  <c r="S38" i="18"/>
  <c r="R38" i="18"/>
  <c r="O38" i="18"/>
  <c r="N38" i="18"/>
  <c r="N36" i="18" s="1"/>
  <c r="M38" i="18"/>
  <c r="M36" i="18" s="1"/>
  <c r="L38" i="18"/>
  <c r="K38" i="18"/>
  <c r="J38" i="18"/>
  <c r="J36" i="18" s="1"/>
  <c r="I38" i="18"/>
  <c r="H38" i="18"/>
  <c r="H36" i="18" s="1"/>
  <c r="G38" i="18"/>
  <c r="F38" i="18"/>
  <c r="F36" i="18" s="1"/>
  <c r="E38" i="18"/>
  <c r="D38" i="18"/>
  <c r="C38" i="18"/>
  <c r="B38" i="18"/>
  <c r="B36" i="18" s="1"/>
  <c r="L36" i="18"/>
  <c r="AA34" i="18"/>
  <c r="Z34" i="18"/>
  <c r="AA33" i="18"/>
  <c r="Z33" i="18"/>
  <c r="AA32" i="18"/>
  <c r="Z32" i="18"/>
  <c r="AA31" i="18"/>
  <c r="Z31" i="18"/>
  <c r="AA30" i="18"/>
  <c r="Z30" i="18"/>
  <c r="AA29" i="18"/>
  <c r="Z29" i="18"/>
  <c r="AA28" i="18"/>
  <c r="Z28" i="18"/>
  <c r="AA27" i="18"/>
  <c r="Z27" i="18"/>
  <c r="AA26" i="18"/>
  <c r="Z26" i="18"/>
  <c r="AA25" i="18"/>
  <c r="Z25" i="18"/>
  <c r="AA24" i="18"/>
  <c r="Z24" i="18"/>
  <c r="AA23" i="18"/>
  <c r="Z23" i="18"/>
  <c r="AA22" i="18"/>
  <c r="Z22" i="18"/>
  <c r="AA21" i="18"/>
  <c r="Z21" i="18"/>
  <c r="AA20" i="18"/>
  <c r="Z20" i="18"/>
  <c r="AA19" i="18"/>
  <c r="Z19" i="18"/>
  <c r="AA18" i="18"/>
  <c r="Z18" i="18"/>
  <c r="AA17" i="18"/>
  <c r="Z17" i="18"/>
  <c r="AA16" i="18"/>
  <c r="Z16" i="18"/>
  <c r="AA15" i="18"/>
  <c r="Z15" i="18"/>
  <c r="AA14" i="18"/>
  <c r="Z14" i="18"/>
  <c r="AA13" i="18"/>
  <c r="Z13" i="18"/>
  <c r="AA12" i="18"/>
  <c r="Z12" i="18"/>
  <c r="W11" i="18"/>
  <c r="V11" i="18"/>
  <c r="U11" i="18"/>
  <c r="T11" i="18"/>
  <c r="S11" i="18"/>
  <c r="R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B11" i="18"/>
  <c r="N9" i="18" l="1"/>
  <c r="J9" i="18"/>
  <c r="D36" i="18"/>
  <c r="D9" i="18" s="1"/>
  <c r="L9" i="18"/>
  <c r="I36" i="18"/>
  <c r="I9" i="18" s="1"/>
  <c r="K36" i="18"/>
  <c r="K9" i="18" s="1"/>
  <c r="M9" i="18"/>
  <c r="F9" i="18"/>
  <c r="V36" i="18"/>
  <c r="V9" i="18" s="1"/>
  <c r="G36" i="18"/>
  <c r="G9" i="18" s="1"/>
  <c r="H9" i="18"/>
  <c r="C36" i="18"/>
  <c r="C9" i="18" s="1"/>
  <c r="O36" i="18"/>
  <c r="O9" i="18" s="1"/>
  <c r="W36" i="18"/>
  <c r="W9" i="18" s="1"/>
  <c r="Z189" i="18"/>
  <c r="AA136" i="18"/>
  <c r="T9" i="18"/>
  <c r="AA68" i="18"/>
  <c r="AA189" i="18"/>
  <c r="S36" i="18"/>
  <c r="R36" i="18"/>
  <c r="Z75" i="18"/>
  <c r="AA97" i="18"/>
  <c r="Z151" i="18"/>
  <c r="AA38" i="18"/>
  <c r="AA11" i="18"/>
  <c r="AA85" i="18"/>
  <c r="Z85" i="18"/>
  <c r="Z97" i="18"/>
  <c r="Z38" i="18"/>
  <c r="Z68" i="18"/>
  <c r="Z102" i="18"/>
  <c r="Z136" i="18"/>
  <c r="B9" i="18"/>
  <c r="Z11" i="18"/>
  <c r="E36" i="18"/>
  <c r="E9" i="18" s="1"/>
  <c r="U36" i="18"/>
  <c r="AA102" i="18"/>
  <c r="AA151" i="18"/>
  <c r="AA75" i="18"/>
  <c r="S9" i="18" l="1"/>
  <c r="Z36" i="18"/>
  <c r="U9" i="18"/>
  <c r="R9" i="18"/>
  <c r="AA36" i="18"/>
  <c r="AA9" i="18" l="1"/>
  <c r="Z9" i="18"/>
  <c r="B72" i="2"/>
  <c r="H72" i="2" s="1"/>
  <c r="B14" i="2"/>
  <c r="B15" i="2"/>
  <c r="B16" i="2"/>
  <c r="B17" i="2"/>
  <c r="B18" i="2"/>
  <c r="B19" i="2"/>
  <c r="B20" i="2"/>
  <c r="H20" i="2" s="1"/>
  <c r="B21" i="2"/>
  <c r="B22" i="2"/>
  <c r="H22" i="2" s="1"/>
  <c r="B23" i="2"/>
  <c r="H23" i="2" s="1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13" i="2"/>
  <c r="B67" i="2"/>
  <c r="H67" i="2" s="1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43" i="2"/>
  <c r="B44" i="2"/>
  <c r="B45" i="2"/>
  <c r="H45" i="2" s="1"/>
  <c r="B42" i="2"/>
  <c r="F39" i="1"/>
  <c r="F44" i="1"/>
  <c r="D72" i="2" l="1"/>
  <c r="J72" i="2"/>
  <c r="J67" i="2"/>
  <c r="D67" i="2"/>
  <c r="H60" i="2"/>
  <c r="J60" i="2" s="1"/>
  <c r="D60" i="2"/>
  <c r="H57" i="2"/>
  <c r="J57" i="2" s="1"/>
  <c r="D57" i="2"/>
  <c r="D65" i="2"/>
  <c r="H65" i="2"/>
  <c r="J65" i="2" s="1"/>
  <c r="D53" i="2"/>
  <c r="H53" i="2"/>
  <c r="J53" i="2" s="1"/>
  <c r="H50" i="2"/>
  <c r="J50" i="2" s="1"/>
  <c r="D50" i="2"/>
  <c r="H54" i="2"/>
  <c r="J54" i="2" s="1"/>
  <c r="D54" i="2"/>
  <c r="H59" i="2"/>
  <c r="J59" i="2" s="1"/>
  <c r="D59" i="2"/>
  <c r="H64" i="2"/>
  <c r="J64" i="2" s="1"/>
  <c r="D64" i="2"/>
  <c r="D58" i="2"/>
  <c r="H58" i="2"/>
  <c r="J58" i="2" s="1"/>
  <c r="D52" i="2"/>
  <c r="H52" i="2"/>
  <c r="J52" i="2" s="1"/>
  <c r="H63" i="2"/>
  <c r="J63" i="2" s="1"/>
  <c r="D63" i="2"/>
  <c r="H51" i="2"/>
  <c r="J51" i="2" s="1"/>
  <c r="D51" i="2"/>
  <c r="H62" i="2"/>
  <c r="J62" i="2" s="1"/>
  <c r="D62" i="2"/>
  <c r="H56" i="2"/>
  <c r="J56" i="2" s="1"/>
  <c r="D56" i="2"/>
  <c r="H61" i="2"/>
  <c r="J61" i="2" s="1"/>
  <c r="D61" i="2"/>
  <c r="H55" i="2"/>
  <c r="J55" i="2" s="1"/>
  <c r="D55" i="2"/>
  <c r="H43" i="2"/>
  <c r="J43" i="2" s="1"/>
  <c r="D43" i="2"/>
  <c r="H44" i="2"/>
  <c r="J44" i="2" s="1"/>
  <c r="D44" i="2"/>
  <c r="H42" i="2"/>
  <c r="J42" i="2" s="1"/>
  <c r="D42" i="2"/>
  <c r="D16" i="2"/>
  <c r="H16" i="2"/>
  <c r="J16" i="2" s="1"/>
  <c r="H15" i="2"/>
  <c r="J15" i="2" s="1"/>
  <c r="D15" i="2"/>
  <c r="H39" i="2"/>
  <c r="J39" i="2" s="1"/>
  <c r="D39" i="2"/>
  <c r="H38" i="2"/>
  <c r="J38" i="2" s="1"/>
  <c r="D38" i="2"/>
  <c r="H14" i="2"/>
  <c r="J14" i="2" s="1"/>
  <c r="D14" i="2"/>
  <c r="H34" i="2"/>
  <c r="J34" i="2" s="1"/>
  <c r="D34" i="2"/>
  <c r="H27" i="2"/>
  <c r="J27" i="2" s="1"/>
  <c r="D27" i="2"/>
  <c r="H32" i="2"/>
  <c r="J32" i="2" s="1"/>
  <c r="D32" i="2"/>
  <c r="H25" i="2"/>
  <c r="J25" i="2" s="1"/>
  <c r="D25" i="2"/>
  <c r="H19" i="2"/>
  <c r="J19" i="2" s="1"/>
  <c r="D19" i="2"/>
  <c r="H26" i="2"/>
  <c r="J26" i="2" s="1"/>
  <c r="D26" i="2"/>
  <c r="H37" i="2"/>
  <c r="J37" i="2" s="1"/>
  <c r="D37" i="2"/>
  <c r="H30" i="2"/>
  <c r="J30" i="2" s="1"/>
  <c r="D30" i="2"/>
  <c r="H24" i="2"/>
  <c r="J24" i="2" s="1"/>
  <c r="D24" i="2"/>
  <c r="H18" i="2"/>
  <c r="J18" i="2" s="1"/>
  <c r="D18" i="2"/>
  <c r="H28" i="2"/>
  <c r="J28" i="2" s="1"/>
  <c r="D28" i="2"/>
  <c r="H33" i="2"/>
  <c r="J33" i="2" s="1"/>
  <c r="D33" i="2"/>
  <c r="H21" i="2"/>
  <c r="J21" i="2" s="1"/>
  <c r="D21" i="2"/>
  <c r="H31" i="2"/>
  <c r="J31" i="2" s="1"/>
  <c r="D31" i="2"/>
  <c r="H36" i="2"/>
  <c r="J36" i="2" s="1"/>
  <c r="D36" i="2"/>
  <c r="D35" i="2"/>
  <c r="H35" i="2"/>
  <c r="J35" i="2" s="1"/>
  <c r="H29" i="2"/>
  <c r="J29" i="2" s="1"/>
  <c r="D29" i="2"/>
  <c r="D17" i="2"/>
  <c r="H17" i="2"/>
  <c r="J17" i="2" s="1"/>
  <c r="H13" i="2"/>
  <c r="J13" i="2" s="1"/>
  <c r="D13" i="2"/>
  <c r="B47" i="2"/>
  <c r="F13" i="5"/>
  <c r="H47" i="2" l="1"/>
  <c r="J47" i="2" s="1"/>
  <c r="D47" i="2"/>
  <c r="G41" i="5"/>
  <c r="I41" i="5" s="1"/>
  <c r="H53" i="11" l="1"/>
  <c r="H32" i="11"/>
  <c r="H28" i="11"/>
  <c r="H27" i="11"/>
  <c r="H20" i="11"/>
  <c r="G8" i="11"/>
  <c r="B8" i="11"/>
  <c r="F42" i="9"/>
  <c r="G7" i="9"/>
  <c r="H66" i="5"/>
  <c r="H64" i="5"/>
  <c r="H63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5" i="5"/>
  <c r="H44" i="5"/>
  <c r="H43" i="5"/>
  <c r="H42" i="5"/>
  <c r="F41" i="5"/>
  <c r="H41" i="5"/>
  <c r="C41" i="5"/>
  <c r="B41" i="5"/>
  <c r="D41" i="5" s="1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3" i="5"/>
  <c r="H22" i="5"/>
  <c r="F22" i="5"/>
  <c r="H21" i="5"/>
  <c r="H20" i="5"/>
  <c r="F20" i="5"/>
  <c r="H19" i="5"/>
  <c r="H18" i="5"/>
  <c r="H16" i="5"/>
  <c r="H14" i="5"/>
  <c r="H13" i="5"/>
  <c r="C12" i="5"/>
  <c r="C7" i="5"/>
  <c r="B7" i="5"/>
  <c r="H67" i="1"/>
  <c r="H65" i="1"/>
  <c r="F65" i="1"/>
  <c r="H64" i="1"/>
  <c r="H63" i="1"/>
  <c r="H62" i="1"/>
  <c r="H61" i="1"/>
  <c r="H60" i="1"/>
  <c r="H45" i="1"/>
  <c r="H44" i="1"/>
  <c r="H43" i="1"/>
  <c r="H42" i="1"/>
  <c r="B41" i="1"/>
  <c r="F27" i="1"/>
  <c r="F26" i="1"/>
  <c r="F25" i="1"/>
  <c r="F24" i="1"/>
  <c r="F23" i="1"/>
  <c r="F22" i="1"/>
  <c r="G7" i="1"/>
  <c r="B7" i="1"/>
  <c r="E7" i="1"/>
  <c r="C7" i="1"/>
  <c r="D12" i="5" l="1"/>
  <c r="D7" i="5"/>
  <c r="D7" i="1"/>
  <c r="F7" i="1"/>
  <c r="I7" i="1"/>
  <c r="G41" i="10"/>
  <c r="C41" i="9"/>
  <c r="B41" i="10"/>
  <c r="B7" i="9"/>
  <c r="B41" i="9"/>
  <c r="D41" i="9" s="1"/>
  <c r="E41" i="9"/>
  <c r="E41" i="10"/>
  <c r="G41" i="9"/>
  <c r="H41" i="9" s="1"/>
  <c r="C65" i="5"/>
  <c r="F28" i="1"/>
  <c r="F30" i="1"/>
  <c r="F32" i="1"/>
  <c r="F34" i="1"/>
  <c r="F36" i="1"/>
  <c r="F49" i="1"/>
  <c r="F51" i="1"/>
  <c r="F52" i="1"/>
  <c r="F54" i="1"/>
  <c r="F59" i="1"/>
  <c r="H59" i="1"/>
  <c r="F60" i="1"/>
  <c r="F24" i="5"/>
  <c r="F31" i="5"/>
  <c r="F35" i="5"/>
  <c r="F43" i="5"/>
  <c r="F45" i="5"/>
  <c r="F62" i="5"/>
  <c r="F64" i="5"/>
  <c r="F29" i="1"/>
  <c r="F31" i="1"/>
  <c r="F33" i="1"/>
  <c r="F35" i="1"/>
  <c r="F37" i="1"/>
  <c r="F50" i="1"/>
  <c r="F53" i="1"/>
  <c r="F55" i="1"/>
  <c r="F8" i="1"/>
  <c r="F9" i="1"/>
  <c r="F10" i="1"/>
  <c r="F13" i="1"/>
  <c r="F14" i="1"/>
  <c r="F15" i="1"/>
  <c r="F16" i="1"/>
  <c r="F17" i="1"/>
  <c r="F18" i="1"/>
  <c r="F19" i="1"/>
  <c r="F20" i="1"/>
  <c r="F21" i="1"/>
  <c r="F42" i="1"/>
  <c r="F43" i="1"/>
  <c r="F45" i="1"/>
  <c r="F61" i="1"/>
  <c r="F62" i="1"/>
  <c r="F63" i="1"/>
  <c r="F64" i="1"/>
  <c r="F23" i="5"/>
  <c r="F28" i="5"/>
  <c r="E7" i="10"/>
  <c r="G7" i="5"/>
  <c r="H7" i="5" s="1"/>
  <c r="H43" i="11"/>
  <c r="E41" i="1"/>
  <c r="B12" i="9"/>
  <c r="G12" i="9"/>
  <c r="H12" i="9" s="1"/>
  <c r="E7" i="5"/>
  <c r="F44" i="5"/>
  <c r="F38" i="5"/>
  <c r="F37" i="5"/>
  <c r="F39" i="5"/>
  <c r="G12" i="1"/>
  <c r="H12" i="1" s="1"/>
  <c r="B12" i="1"/>
  <c r="C41" i="1"/>
  <c r="D41" i="1" s="1"/>
  <c r="F58" i="1"/>
  <c r="F8" i="5"/>
  <c r="F18" i="5"/>
  <c r="F27" i="5"/>
  <c r="F30" i="5"/>
  <c r="F34" i="5"/>
  <c r="F42" i="5"/>
  <c r="F50" i="5"/>
  <c r="F53" i="5"/>
  <c r="F61" i="5"/>
  <c r="F66" i="5"/>
  <c r="E12" i="9"/>
  <c r="H18" i="11"/>
  <c r="E8" i="11"/>
  <c r="C42" i="11"/>
  <c r="F15" i="5"/>
  <c r="F26" i="5"/>
  <c r="F29" i="5"/>
  <c r="F33" i="5"/>
  <c r="F58" i="5"/>
  <c r="F63" i="5"/>
  <c r="B41" i="2"/>
  <c r="H15" i="5"/>
  <c r="F21" i="5"/>
  <c r="F25" i="5"/>
  <c r="F32" i="5"/>
  <c r="F36" i="5"/>
  <c r="F49" i="5"/>
  <c r="F54" i="5"/>
  <c r="F57" i="5"/>
  <c r="H44" i="11"/>
  <c r="H64" i="11"/>
  <c r="F14" i="5"/>
  <c r="F52" i="5"/>
  <c r="F56" i="5"/>
  <c r="F60" i="5"/>
  <c r="H19" i="11"/>
  <c r="E13" i="11"/>
  <c r="B42" i="11"/>
  <c r="H42" i="11"/>
  <c r="H50" i="11"/>
  <c r="H56" i="11"/>
  <c r="F10" i="5"/>
  <c r="E12" i="5"/>
  <c r="F17" i="5"/>
  <c r="F51" i="5"/>
  <c r="F55" i="5"/>
  <c r="F59" i="5"/>
  <c r="C7" i="9"/>
  <c r="C12" i="9"/>
  <c r="B7" i="10"/>
  <c r="C8" i="11"/>
  <c r="D8" i="11" s="1"/>
  <c r="H25" i="11"/>
  <c r="H26" i="11"/>
  <c r="H48" i="11"/>
  <c r="B12" i="10"/>
  <c r="C13" i="11"/>
  <c r="H54" i="11"/>
  <c r="H55" i="11"/>
  <c r="E8" i="12"/>
  <c r="E13" i="12"/>
  <c r="E42" i="12"/>
  <c r="B8" i="12"/>
  <c r="B13" i="12"/>
  <c r="B42" i="12"/>
  <c r="D42" i="12" s="1"/>
  <c r="G13" i="11"/>
  <c r="H29" i="11"/>
  <c r="E42" i="11"/>
  <c r="H52" i="11"/>
  <c r="H8" i="11"/>
  <c r="H15" i="11"/>
  <c r="H16" i="11"/>
  <c r="H17" i="11"/>
  <c r="E12" i="10"/>
  <c r="H7" i="9"/>
  <c r="F47" i="9"/>
  <c r="E7" i="9"/>
  <c r="F9" i="5"/>
  <c r="G12" i="5"/>
  <c r="F16" i="5"/>
  <c r="H17" i="5"/>
  <c r="F19" i="5"/>
  <c r="H24" i="5"/>
  <c r="F47" i="5"/>
  <c r="H62" i="5"/>
  <c r="B12" i="2"/>
  <c r="B7" i="2"/>
  <c r="H7" i="1"/>
  <c r="H49" i="1"/>
  <c r="H50" i="1"/>
  <c r="H51" i="1"/>
  <c r="H52" i="1"/>
  <c r="H53" i="1"/>
  <c r="H54" i="1"/>
  <c r="H55" i="1"/>
  <c r="H56" i="1"/>
  <c r="H57" i="1"/>
  <c r="H58" i="1"/>
  <c r="C12" i="1"/>
  <c r="E12" i="1"/>
  <c r="G41" i="1"/>
  <c r="F67" i="1"/>
  <c r="D7" i="9" l="1"/>
  <c r="H41" i="2"/>
  <c r="J41" i="2" s="1"/>
  <c r="D41" i="2"/>
  <c r="D12" i="2"/>
  <c r="H12" i="2"/>
  <c r="J12" i="2" s="1"/>
  <c r="H7" i="2"/>
  <c r="J7" i="2" s="1"/>
  <c r="D7" i="2"/>
  <c r="G8" i="12"/>
  <c r="D12" i="10"/>
  <c r="G42" i="12"/>
  <c r="H41" i="10"/>
  <c r="B67" i="10"/>
  <c r="G12" i="10"/>
  <c r="D13" i="12"/>
  <c r="H7" i="10"/>
  <c r="G13" i="12"/>
  <c r="D41" i="10"/>
  <c r="G7" i="10"/>
  <c r="H13" i="12"/>
  <c r="D12" i="9"/>
  <c r="H42" i="12"/>
  <c r="D42" i="11"/>
  <c r="I12" i="10"/>
  <c r="I12" i="5"/>
  <c r="I41" i="10"/>
  <c r="J41" i="10" s="1"/>
  <c r="F42" i="11"/>
  <c r="I42" i="11"/>
  <c r="H8" i="12"/>
  <c r="I13" i="12"/>
  <c r="F12" i="9"/>
  <c r="I12" i="9"/>
  <c r="I42" i="12"/>
  <c r="F7" i="9"/>
  <c r="I7" i="9"/>
  <c r="H12" i="10"/>
  <c r="F13" i="11"/>
  <c r="I13" i="11"/>
  <c r="F7" i="5"/>
  <c r="I7" i="5"/>
  <c r="D13" i="11"/>
  <c r="D8" i="12"/>
  <c r="I8" i="12"/>
  <c r="I7" i="10"/>
  <c r="D7" i="10"/>
  <c r="F8" i="11"/>
  <c r="I8" i="11"/>
  <c r="D65" i="5"/>
  <c r="F41" i="9"/>
  <c r="I41" i="9"/>
  <c r="B66" i="1"/>
  <c r="D12" i="1"/>
  <c r="F12" i="1"/>
  <c r="I12" i="1"/>
  <c r="F41" i="1"/>
  <c r="I41" i="1"/>
  <c r="H47" i="1"/>
  <c r="H47" i="5"/>
  <c r="F12" i="5"/>
  <c r="E63" i="12"/>
  <c r="G66" i="1"/>
  <c r="H66" i="1" s="1"/>
  <c r="C67" i="9"/>
  <c r="B67" i="9"/>
  <c r="C66" i="1"/>
  <c r="B63" i="11"/>
  <c r="G63" i="11"/>
  <c r="C63" i="11"/>
  <c r="E67" i="9"/>
  <c r="E65" i="5"/>
  <c r="B66" i="2"/>
  <c r="B63" i="12"/>
  <c r="H13" i="11"/>
  <c r="E63" i="11"/>
  <c r="F48" i="11"/>
  <c r="H12" i="5"/>
  <c r="G65" i="5"/>
  <c r="F47" i="1"/>
  <c r="E66" i="1"/>
  <c r="H41" i="1"/>
  <c r="H66" i="2" l="1"/>
  <c r="J66" i="2" s="1"/>
  <c r="D66" i="2"/>
  <c r="J7" i="10"/>
  <c r="D63" i="12"/>
  <c r="G63" i="12"/>
  <c r="J42" i="12"/>
  <c r="J12" i="10"/>
  <c r="D67" i="10"/>
  <c r="J13" i="12"/>
  <c r="H63" i="12"/>
  <c r="J8" i="12"/>
  <c r="D63" i="11"/>
  <c r="I67" i="10"/>
  <c r="F65" i="5"/>
  <c r="I65" i="5"/>
  <c r="I63" i="12"/>
  <c r="F67" i="9"/>
  <c r="I63" i="11"/>
  <c r="D67" i="9"/>
  <c r="F66" i="1"/>
  <c r="I66" i="1"/>
  <c r="D66" i="1"/>
  <c r="F63" i="11"/>
  <c r="H63" i="11"/>
  <c r="H65" i="5"/>
  <c r="J63" i="12" l="1"/>
  <c r="E47" i="10"/>
  <c r="G47" i="10" s="1"/>
  <c r="G67" i="9"/>
  <c r="H47" i="9"/>
  <c r="I67" i="9" l="1"/>
  <c r="E67" i="10"/>
  <c r="G67" i="10" s="1"/>
  <c r="H47" i="10"/>
  <c r="J47" i="10" s="1"/>
  <c r="H67" i="9"/>
  <c r="B19" i="27"/>
  <c r="D19" i="27" s="1"/>
  <c r="D15" i="27"/>
  <c r="G19" i="27"/>
  <c r="G15" i="27"/>
  <c r="H67" i="10" l="1"/>
  <c r="J67" i="10" s="1"/>
</calcChain>
</file>

<file path=xl/sharedStrings.xml><?xml version="1.0" encoding="utf-8"?>
<sst xmlns="http://schemas.openxmlformats.org/spreadsheetml/2006/main" count="1824" uniqueCount="522">
  <si>
    <r>
      <t>CCC CODE: 87120010</t>
    </r>
    <r>
      <rPr>
        <sz val="12"/>
        <color theme="1"/>
        <rFont val="新細明體"/>
        <family val="2"/>
        <charset val="136"/>
        <scheme val="minor"/>
      </rPr>
      <t xml:space="preserve"> Bicycles</t>
    </r>
    <phoneticPr fontId="6" type="noConversion"/>
  </si>
  <si>
    <t>平均單價</t>
  </si>
  <si>
    <t>(%)</t>
  </si>
  <si>
    <t>(台)</t>
  </si>
  <si>
    <t>(US$)</t>
  </si>
  <si>
    <t>北美自由貿易區</t>
  </si>
  <si>
    <t>(NAFTA)</t>
  </si>
  <si>
    <t>加拿大</t>
  </si>
  <si>
    <t>墨西哥</t>
  </si>
  <si>
    <t>歐盟(EU)</t>
  </si>
  <si>
    <t>西班牙</t>
  </si>
  <si>
    <t>義大利</t>
  </si>
  <si>
    <t>比利時</t>
  </si>
  <si>
    <t>葡萄牙</t>
  </si>
  <si>
    <t>愛爾蘭</t>
  </si>
  <si>
    <t>盧森堡</t>
  </si>
  <si>
    <t>奧地利</t>
  </si>
  <si>
    <t>斯洛維尼亞</t>
    <phoneticPr fontId="6" type="noConversion"/>
  </si>
  <si>
    <t>斯洛伐克</t>
    <phoneticPr fontId="6" type="noConversion"/>
  </si>
  <si>
    <t>克羅埃西亞</t>
    <phoneticPr fontId="4" type="noConversion"/>
  </si>
  <si>
    <t>歐協(EFTA)</t>
  </si>
  <si>
    <t>列支斯敦</t>
  </si>
  <si>
    <t>主要國家</t>
  </si>
  <si>
    <t>阿根廷</t>
  </si>
  <si>
    <t>以色列</t>
  </si>
  <si>
    <t>俄羅斯</t>
    <phoneticPr fontId="10" type="noConversion"/>
  </si>
  <si>
    <t>烏克蘭</t>
    <phoneticPr fontId="10" type="noConversion"/>
  </si>
  <si>
    <t>紐西蘭</t>
    <phoneticPr fontId="10" type="noConversion"/>
  </si>
  <si>
    <t>哥倫比亞</t>
    <phoneticPr fontId="4" type="noConversion"/>
  </si>
  <si>
    <t>馬來西亞</t>
    <phoneticPr fontId="4" type="noConversion"/>
  </si>
  <si>
    <t>其它國家</t>
  </si>
  <si>
    <t>總  計</t>
  </si>
  <si>
    <t>資料來源: 經濟部國貿局,臺灣自行車輸出業同業公會整理</t>
    <phoneticPr fontId="4" type="noConversion"/>
  </si>
  <si>
    <t>數量(台)</t>
  </si>
  <si>
    <t>金額(US$)</t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</si>
  <si>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</si>
  <si>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</si>
  <si>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</si>
  <si>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r>
      <t>CCC CODE: 87120010</t>
    </r>
    <r>
      <rPr>
        <sz val="12"/>
        <color theme="1"/>
        <rFont val="新細明體"/>
        <family val="2"/>
        <charset val="136"/>
        <scheme val="minor"/>
      </rPr>
      <t>(Bicycles)</t>
    </r>
    <phoneticPr fontId="6" type="noConversion"/>
  </si>
  <si>
    <t>數量: (台)        金額: (US$)</t>
  </si>
  <si>
    <t>月 別</t>
  </si>
  <si>
    <t>出口單月</t>
  </si>
  <si>
    <t>北  美</t>
  </si>
  <si>
    <t>歐  洲</t>
  </si>
  <si>
    <t>亞  洲</t>
  </si>
  <si>
    <t>中南美</t>
  </si>
  <si>
    <t>中  東</t>
  </si>
  <si>
    <t>大洋洲</t>
  </si>
  <si>
    <t>非  洲</t>
  </si>
  <si>
    <t>其  他</t>
  </si>
  <si>
    <t>數量/金額</t>
  </si>
  <si>
    <t>總 計</t>
  </si>
  <si>
    <t>月 份</t>
  </si>
  <si>
    <t>出口總數量(台)</t>
  </si>
  <si>
    <t>出口總金額(US$)</t>
  </si>
  <si>
    <t>累計平均單價</t>
    <phoneticPr fontId="4" type="noConversion"/>
  </si>
  <si>
    <t>(US$)</t>
    <phoneticPr fontId="6" type="noConversion"/>
  </si>
  <si>
    <t>資料來源: 經濟部國貿局,臺灣自行車輸出業同業公會整理</t>
  </si>
  <si>
    <t>輪幅</t>
    <phoneticPr fontId="4" type="noConversion"/>
  </si>
  <si>
    <t>輪圈及輪幅</t>
    <phoneticPr fontId="4" type="noConversion"/>
  </si>
  <si>
    <t>-</t>
    <phoneticPr fontId="4" type="noConversion"/>
  </si>
  <si>
    <t>資料來源: 經濟部國貿局,臺灣自行車輸出業同業公會整理</t>
    <phoneticPr fontId="10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</si>
  <si>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</si>
  <si>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品    名</t>
  </si>
  <si>
    <t>腳踏車用電器</t>
  </si>
  <si>
    <t>照明設備</t>
  </si>
  <si>
    <t>(</t>
  </si>
  <si>
    <t>腳踏車照明視</t>
  </si>
  <si>
    <t>覺信號設備</t>
  </si>
  <si>
    <t>pce)</t>
  </si>
  <si>
    <t>其他車架.前叉</t>
  </si>
  <si>
    <t>及相關零件</t>
  </si>
  <si>
    <t>輪圈</t>
  </si>
  <si>
    <t>輪轂(倒煞車輪</t>
  </si>
  <si>
    <t>及輪轂煞車除</t>
  </si>
  <si>
    <t>外)</t>
  </si>
  <si>
    <t>煞車鋼線及其</t>
  </si>
  <si>
    <t>零件</t>
  </si>
  <si>
    <t>其他煞車器及</t>
  </si>
  <si>
    <t>其零件</t>
  </si>
  <si>
    <t>腳踏車車座</t>
  </si>
  <si>
    <t>踏板及其零件</t>
  </si>
  <si>
    <t>曲柄齒輪及其</t>
  </si>
  <si>
    <t>腳踏車用滾子</t>
  </si>
  <si>
    <t>鏈</t>
  </si>
  <si>
    <t>腳踏車用變速</t>
  </si>
  <si>
    <t>器</t>
  </si>
  <si>
    <t>腳踏車用軸心</t>
  </si>
  <si>
    <t>腳踏車用把手</t>
  </si>
  <si>
    <t>豎管</t>
  </si>
  <si>
    <t>腳踏車用座管</t>
  </si>
  <si>
    <t>及上下管</t>
  </si>
  <si>
    <t>腳踏車用新橡</t>
  </si>
  <si>
    <t>膠氣胎</t>
  </si>
  <si>
    <t>腳踏車用橡膠</t>
  </si>
  <si>
    <t>內胎</t>
  </si>
  <si>
    <t>總    計</t>
  </si>
  <si>
    <r>
      <t>品</t>
    </r>
    <r>
      <rPr>
        <sz val="12"/>
        <color theme="1"/>
        <rFont val="新細明體"/>
        <family val="2"/>
        <charset val="136"/>
        <scheme val="minor"/>
      </rPr>
      <t xml:space="preserve">      </t>
    </r>
    <r>
      <rPr>
        <sz val="12"/>
        <rFont val="華康仿宋體"/>
        <family val="3"/>
        <charset val="136"/>
      </rPr>
      <t>名</t>
    </r>
    <phoneticPr fontId="4" type="noConversion"/>
  </si>
  <si>
    <t>數量(kg)</t>
    <phoneticPr fontId="4" type="noConversion"/>
  </si>
  <si>
    <t>金額(US$)</t>
    <phoneticPr fontId="4" type="noConversion"/>
  </si>
  <si>
    <t>及輪轂煞車除外</t>
    <phoneticPr fontId="4" type="noConversion"/>
  </si>
  <si>
    <t>出口國家</t>
  </si>
  <si>
    <t>金額(FOB-US$)</t>
  </si>
  <si>
    <t>進口國家</t>
  </si>
  <si>
    <t>金額(CIF-US$)</t>
  </si>
  <si>
    <t>其他國家</t>
  </si>
  <si>
    <t>總計</t>
  </si>
  <si>
    <t>CCC CODE: 87120010 Bicycles</t>
    <phoneticPr fontId="6" type="noConversion"/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</si>
  <si>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</si>
  <si>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</si>
  <si>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t>平均單價(US$)</t>
    <phoneticPr fontId="4" type="noConversion"/>
  </si>
  <si>
    <t>澳大利亞</t>
    <phoneticPr fontId="4" type="noConversion"/>
  </si>
  <si>
    <t>柬埔寨</t>
    <phoneticPr fontId="10" type="noConversion"/>
  </si>
  <si>
    <t>馬來西亞</t>
    <phoneticPr fontId="4" type="noConversion"/>
  </si>
  <si>
    <t>中國大陸</t>
    <phoneticPr fontId="4" type="noConversion"/>
  </si>
  <si>
    <t>累計平均單價</t>
    <phoneticPr fontId="4" type="noConversion"/>
  </si>
  <si>
    <t>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</si>
  <si>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</si>
  <si>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平均單價(US$)</t>
    <phoneticPr fontId="4" type="noConversion"/>
  </si>
  <si>
    <t>.</t>
    <phoneticPr fontId="4" type="noConversion"/>
  </si>
  <si>
    <t>資料來源: 經濟部國貿局,臺灣自行車輸出業同業公會整理</t>
    <phoneticPr fontId="10" type="noConversion"/>
  </si>
  <si>
    <t>單位: 台(UNIT)</t>
  </si>
  <si>
    <t>金額: US$(FOB)</t>
  </si>
  <si>
    <t>日期: 2020/6</t>
    <phoneticPr fontId="4" type="noConversion"/>
  </si>
  <si>
    <t xml:space="preserve"> 一月</t>
    <phoneticPr fontId="4" type="noConversion"/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</si>
  <si>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</si>
  <si>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</si>
  <si>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</si>
  <si>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</si>
  <si>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</si>
  <si>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</si>
  <si>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</si>
  <si>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</si>
  <si>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</si>
  <si>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</si>
  <si>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</si>
  <si>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輸出國家</t>
  </si>
  <si>
    <t>數量</t>
    <phoneticPr fontId="4" type="noConversion"/>
  </si>
  <si>
    <t>金額</t>
    <phoneticPr fontId="4" type="noConversion"/>
  </si>
  <si>
    <t>數量</t>
  </si>
  <si>
    <t>金額</t>
  </si>
  <si>
    <t>亞洲</t>
  </si>
  <si>
    <t>歐洲</t>
  </si>
  <si>
    <t>歐洲其它國家</t>
  </si>
  <si>
    <t>北美洲(NAFTA)</t>
  </si>
  <si>
    <t>中東</t>
  </si>
  <si>
    <t>N ANTIL(AN)</t>
  </si>
  <si>
    <t>FRENCH(PF)</t>
  </si>
  <si>
    <t>MYANMAR(MM)</t>
  </si>
  <si>
    <t>一月</t>
    <phoneticPr fontId="4" type="noConversion"/>
  </si>
  <si>
    <t>CODE NO 87120090004</t>
    <phoneticPr fontId="3" type="noConversion"/>
  </si>
  <si>
    <t>OTHER CYCLES</t>
    <phoneticPr fontId="4" type="noConversion"/>
  </si>
  <si>
    <r>
      <rPr>
        <sz val="12"/>
        <rFont val="SimSun"/>
        <charset val="134"/>
      </rPr>
      <t>產品</t>
    </r>
    <r>
      <rPr>
        <sz val="12"/>
        <rFont val="華康仿宋體"/>
        <family val="1"/>
      </rPr>
      <t xml:space="preserve">: </t>
    </r>
    <r>
      <rPr>
        <sz val="12"/>
        <rFont val="MS Gothic"/>
        <family val="3"/>
        <charset val="128"/>
      </rPr>
      <t>自行車</t>
    </r>
    <r>
      <rPr>
        <sz val="12"/>
        <rFont val="華康仿宋體"/>
        <family val="1"/>
      </rPr>
      <t>(CCC CODE 87120010)</t>
    </r>
    <phoneticPr fontId="4" type="noConversion"/>
  </si>
  <si>
    <t>CCC CODE: 87120090004 (Other Cycles)</t>
    <phoneticPr fontId="3" type="noConversion"/>
  </si>
  <si>
    <t>CCC CODE:  87120010109(Folding Bicycles)</t>
    <phoneticPr fontId="4" type="noConversion"/>
  </si>
  <si>
    <t>pce)</t>
    <phoneticPr fontId="3" type="noConversion"/>
  </si>
  <si>
    <t>CCC CODE:  87120010109(Folding Bicycles)</t>
    <phoneticPr fontId="3" type="noConversion"/>
  </si>
  <si>
    <t>ccc code : 87116020007 ( Cycles with electric motor for propulsion)  &amp;</t>
    <phoneticPr fontId="10" type="noConversion"/>
  </si>
  <si>
    <t xml:space="preserve">               87119030900 (Other cycles fitted with other auxiliary motor)</t>
    <phoneticPr fontId="10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</si>
  <si>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rgb="FFFF0000"/>
        <rFont val="華康仿宋體"/>
        <family val="1"/>
        <charset val="136"/>
      </rPr>
      <t>減</t>
    </r>
    <phoneticPr fontId="4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</si>
  <si>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</si>
  <si>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荷蘭</t>
    <phoneticPr fontId="3" type="noConversion"/>
  </si>
  <si>
    <t>英國</t>
    <phoneticPr fontId="3" type="noConversion"/>
  </si>
  <si>
    <t>美國</t>
    <phoneticPr fontId="3" type="noConversion"/>
  </si>
  <si>
    <t>德國</t>
    <phoneticPr fontId="3" type="noConversion"/>
  </si>
  <si>
    <t>丹麥</t>
    <phoneticPr fontId="3" type="noConversion"/>
  </si>
  <si>
    <t>捷克</t>
    <phoneticPr fontId="3" type="noConversion"/>
  </si>
  <si>
    <t>沙烏地阿拉伯</t>
    <phoneticPr fontId="3" type="noConversion"/>
  </si>
  <si>
    <t>中國大陸</t>
    <phoneticPr fontId="3" type="noConversion"/>
  </si>
  <si>
    <t>芬蘭</t>
    <phoneticPr fontId="3" type="noConversion"/>
  </si>
  <si>
    <t>法國</t>
    <phoneticPr fontId="3" type="noConversion"/>
  </si>
  <si>
    <t>泰國</t>
    <phoneticPr fontId="3" type="noConversion"/>
  </si>
  <si>
    <t>匈牙利</t>
    <phoneticPr fontId="3" type="noConversion"/>
  </si>
  <si>
    <t>加拿大</t>
    <phoneticPr fontId="3" type="noConversion"/>
  </si>
  <si>
    <t>紐西蘭</t>
    <phoneticPr fontId="3" type="noConversion"/>
  </si>
  <si>
    <t>澳大利亞</t>
    <phoneticPr fontId="3" type="noConversion"/>
  </si>
  <si>
    <t>波蘭</t>
    <phoneticPr fontId="3" type="noConversion"/>
  </si>
  <si>
    <t>韓國</t>
    <phoneticPr fontId="3" type="noConversion"/>
  </si>
  <si>
    <t>西班牙</t>
    <phoneticPr fontId="3" type="noConversion"/>
  </si>
  <si>
    <t>柬埔寨</t>
    <phoneticPr fontId="3" type="noConversion"/>
  </si>
  <si>
    <t>印尼</t>
    <phoneticPr fontId="3" type="noConversion"/>
  </si>
  <si>
    <t>越南</t>
    <phoneticPr fontId="3" type="noConversion"/>
  </si>
  <si>
    <t>馬來西亞</t>
    <phoneticPr fontId="3" type="noConversion"/>
  </si>
  <si>
    <t>瑞士</t>
    <phoneticPr fontId="3" type="noConversion"/>
  </si>
  <si>
    <t>南非</t>
    <phoneticPr fontId="3" type="noConversion"/>
  </si>
  <si>
    <t>保加利亞</t>
    <phoneticPr fontId="3" type="noConversion"/>
  </si>
  <si>
    <t>奧地利</t>
    <phoneticPr fontId="3" type="noConversion"/>
  </si>
  <si>
    <t>多明尼加</t>
    <phoneticPr fontId="3" type="noConversion"/>
  </si>
  <si>
    <t>比利時</t>
    <phoneticPr fontId="3" type="noConversion"/>
  </si>
  <si>
    <t>巴西</t>
    <phoneticPr fontId="3" type="noConversion"/>
  </si>
  <si>
    <t>羅馬尼亞</t>
    <phoneticPr fontId="3" type="noConversion"/>
  </si>
  <si>
    <t>葡萄牙</t>
    <phoneticPr fontId="3" type="noConversion"/>
  </si>
  <si>
    <t>菲律賓</t>
    <phoneticPr fontId="3" type="noConversion"/>
  </si>
  <si>
    <t>宏都拉斯</t>
    <phoneticPr fontId="3" type="noConversion"/>
  </si>
  <si>
    <t>愛爾蘭</t>
    <phoneticPr fontId="3" type="noConversion"/>
  </si>
  <si>
    <t>以色列</t>
    <phoneticPr fontId="3" type="noConversion"/>
  </si>
  <si>
    <t>墨西哥</t>
    <phoneticPr fontId="3" type="noConversion"/>
  </si>
  <si>
    <t>突尼西亞</t>
    <phoneticPr fontId="3" type="noConversion"/>
  </si>
  <si>
    <t>印度</t>
    <phoneticPr fontId="3" type="noConversion"/>
  </si>
  <si>
    <t>喀麥隆</t>
    <phoneticPr fontId="3" type="noConversion"/>
  </si>
  <si>
    <r>
      <rPr>
        <sz val="12"/>
        <rFont val="新細明體"/>
        <family val="1"/>
        <charset val="136"/>
      </rPr>
      <t>美國</t>
    </r>
    <phoneticPr fontId="6" type="noConversion"/>
  </si>
  <si>
    <r>
      <rPr>
        <sz val="12"/>
        <rFont val="新細明體"/>
        <family val="1"/>
        <charset val="136"/>
      </rPr>
      <t>荷蘭</t>
    </r>
    <phoneticPr fontId="3" type="noConversion"/>
  </si>
  <si>
    <r>
      <rPr>
        <sz val="12"/>
        <rFont val="新細明體"/>
        <family val="1"/>
        <charset val="136"/>
      </rPr>
      <t>德國</t>
    </r>
    <phoneticPr fontId="3" type="noConversion"/>
  </si>
  <si>
    <r>
      <rPr>
        <sz val="12"/>
        <rFont val="新細明體"/>
        <family val="1"/>
        <charset val="136"/>
      </rPr>
      <t>法國</t>
    </r>
    <phoneticPr fontId="3" type="noConversion"/>
  </si>
  <si>
    <r>
      <rPr>
        <sz val="12"/>
        <rFont val="新細明體"/>
        <family val="1"/>
        <charset val="136"/>
      </rPr>
      <t>丹麥</t>
    </r>
    <phoneticPr fontId="3" type="noConversion"/>
  </si>
  <si>
    <t>葡萄牙</t>
    <phoneticPr fontId="6" type="noConversion"/>
  </si>
  <si>
    <r>
      <rPr>
        <sz val="12"/>
        <rFont val="新細明體"/>
        <family val="1"/>
        <charset val="136"/>
      </rPr>
      <t>希臘</t>
    </r>
    <phoneticPr fontId="3" type="noConversion"/>
  </si>
  <si>
    <r>
      <rPr>
        <sz val="12"/>
        <rFont val="新細明體"/>
        <family val="1"/>
        <charset val="136"/>
      </rPr>
      <t>瑞典</t>
    </r>
    <phoneticPr fontId="3" type="noConversion"/>
  </si>
  <si>
    <r>
      <rPr>
        <sz val="12"/>
        <rFont val="新細明體"/>
        <family val="1"/>
        <charset val="136"/>
      </rPr>
      <t>芬蘭</t>
    </r>
    <phoneticPr fontId="3" type="noConversion"/>
  </si>
  <si>
    <t>波蘭</t>
    <phoneticPr fontId="6" type="noConversion"/>
  </si>
  <si>
    <t>捷克</t>
    <phoneticPr fontId="6" type="noConversion"/>
  </si>
  <si>
    <t>匈牙利</t>
    <phoneticPr fontId="6" type="noConversion"/>
  </si>
  <si>
    <t>馬爾他</t>
    <phoneticPr fontId="6" type="noConversion"/>
  </si>
  <si>
    <t>愛沙尼亞</t>
    <phoneticPr fontId="6" type="noConversion"/>
  </si>
  <si>
    <t>拉脫維亞</t>
    <phoneticPr fontId="6" type="noConversion"/>
  </si>
  <si>
    <t>立陶宛</t>
    <phoneticPr fontId="6" type="noConversion"/>
  </si>
  <si>
    <t>賽普勒斯</t>
    <phoneticPr fontId="6" type="noConversion"/>
  </si>
  <si>
    <t>羅馬尼亞</t>
    <phoneticPr fontId="6" type="noConversion"/>
  </si>
  <si>
    <t>保加利亞</t>
    <phoneticPr fontId="6" type="noConversion"/>
  </si>
  <si>
    <r>
      <rPr>
        <sz val="12"/>
        <rFont val="新細明體"/>
        <family val="1"/>
        <charset val="136"/>
      </rPr>
      <t>瑞士</t>
    </r>
    <phoneticPr fontId="3" type="noConversion"/>
  </si>
  <si>
    <r>
      <rPr>
        <sz val="12"/>
        <rFont val="新細明體"/>
        <family val="1"/>
        <charset val="136"/>
      </rPr>
      <t>挪威</t>
    </r>
    <phoneticPr fontId="3" type="noConversion"/>
  </si>
  <si>
    <r>
      <rPr>
        <sz val="12"/>
        <rFont val="新細明體"/>
        <family val="1"/>
        <charset val="136"/>
      </rPr>
      <t>冰島</t>
    </r>
    <phoneticPr fontId="3" type="noConversion"/>
  </si>
  <si>
    <r>
      <rPr>
        <sz val="12"/>
        <rFont val="新細明體"/>
        <family val="1"/>
        <charset val="136"/>
      </rPr>
      <t>日本</t>
    </r>
    <phoneticPr fontId="3" type="noConversion"/>
  </si>
  <si>
    <t>阿拉伯聯合大公國</t>
    <phoneticPr fontId="3" type="noConversion"/>
  </si>
  <si>
    <r>
      <rPr>
        <sz val="12"/>
        <rFont val="新細明體"/>
        <family val="1"/>
        <charset val="136"/>
      </rPr>
      <t>巴西</t>
    </r>
    <phoneticPr fontId="3" type="noConversion"/>
  </si>
  <si>
    <r>
      <rPr>
        <sz val="12"/>
        <rFont val="新細明體"/>
        <family val="1"/>
        <charset val="136"/>
      </rPr>
      <t>智利</t>
    </r>
    <phoneticPr fontId="3" type="noConversion"/>
  </si>
  <si>
    <t>澳大利亞</t>
    <phoneticPr fontId="6" type="noConversion"/>
  </si>
  <si>
    <t>中國大陸</t>
    <phoneticPr fontId="6" type="noConversion"/>
  </si>
  <si>
    <t>南非</t>
    <phoneticPr fontId="10" type="noConversion"/>
  </si>
  <si>
    <t>印尼</t>
    <phoneticPr fontId="4" type="noConversion"/>
  </si>
  <si>
    <t>泰國</t>
    <phoneticPr fontId="4" type="noConversion"/>
  </si>
  <si>
    <r>
      <t xml:space="preserve">             (</t>
    </r>
    <r>
      <rPr>
        <sz val="10"/>
        <rFont val="新細明體"/>
        <family val="1"/>
        <charset val="136"/>
      </rPr>
      <t>包含其他二輪腳踏車</t>
    </r>
    <r>
      <rPr>
        <sz val="10"/>
        <rFont val="細明體-ExtB"/>
        <family val="1"/>
        <charset val="136"/>
      </rPr>
      <t xml:space="preserve"> 87120010902</t>
    </r>
    <r>
      <rPr>
        <sz val="10"/>
        <rFont val="新細明體"/>
        <family val="1"/>
        <charset val="136"/>
      </rPr>
      <t>及折疊式腳踏車</t>
    </r>
    <r>
      <rPr>
        <sz val="10"/>
        <rFont val="細明體-ExtB"/>
        <family val="1"/>
        <charset val="136"/>
      </rPr>
      <t>87120010109)</t>
    </r>
    <phoneticPr fontId="3" type="noConversion"/>
  </si>
  <si>
    <r>
      <rPr>
        <sz val="12"/>
        <rFont val="新細明體"/>
        <family val="1"/>
        <charset val="136"/>
      </rPr>
      <t>新加坡</t>
    </r>
    <phoneticPr fontId="3" type="noConversion"/>
  </si>
  <si>
    <t>香港</t>
    <phoneticPr fontId="3" type="noConversion"/>
  </si>
  <si>
    <t>尼泊爾</t>
    <phoneticPr fontId="3" type="noConversion"/>
  </si>
  <si>
    <t>孟加拉</t>
    <phoneticPr fontId="3" type="noConversion"/>
  </si>
  <si>
    <t>澳門</t>
    <phoneticPr fontId="3" type="noConversion"/>
  </si>
  <si>
    <t>斯里蘭卡</t>
    <phoneticPr fontId="3" type="noConversion"/>
  </si>
  <si>
    <t>巴基斯坦</t>
    <phoneticPr fontId="3" type="noConversion"/>
  </si>
  <si>
    <t>阿富汗</t>
    <phoneticPr fontId="3" type="noConversion"/>
  </si>
  <si>
    <t>中國大陸</t>
  </si>
  <si>
    <t>北韓</t>
    <phoneticPr fontId="3" type="noConversion"/>
  </si>
  <si>
    <t>馬爾地夫</t>
    <phoneticPr fontId="3" type="noConversion"/>
  </si>
  <si>
    <t>汶萊</t>
    <phoneticPr fontId="3" type="noConversion"/>
  </si>
  <si>
    <t>哈薩克</t>
    <phoneticPr fontId="4" type="noConversion"/>
  </si>
  <si>
    <t>蒙古</t>
    <phoneticPr fontId="4" type="noConversion"/>
  </si>
  <si>
    <t>荷蘭</t>
  </si>
  <si>
    <t>德國</t>
  </si>
  <si>
    <t>法國</t>
  </si>
  <si>
    <r>
      <rPr>
        <sz val="12"/>
        <rFont val="新細明體"/>
        <family val="1"/>
        <charset val="136"/>
      </rPr>
      <t>義大利</t>
    </r>
    <phoneticPr fontId="3" type="noConversion"/>
  </si>
  <si>
    <t>丹麥</t>
  </si>
  <si>
    <t>希臘</t>
  </si>
  <si>
    <t>希臘</t>
    <phoneticPr fontId="3" type="noConversion"/>
  </si>
  <si>
    <t>盧森堡</t>
    <phoneticPr fontId="3" type="noConversion"/>
  </si>
  <si>
    <t>瑞典</t>
  </si>
  <si>
    <t>瑞典</t>
    <phoneticPr fontId="3" type="noConversion"/>
  </si>
  <si>
    <t>芬蘭</t>
  </si>
  <si>
    <t>波蘭</t>
  </si>
  <si>
    <t>捷克</t>
  </si>
  <si>
    <t>匈牙利</t>
  </si>
  <si>
    <t>馬爾他</t>
  </si>
  <si>
    <t>馬爾他</t>
    <phoneticPr fontId="3" type="noConversion"/>
  </si>
  <si>
    <t>斯洛維尼亞</t>
  </si>
  <si>
    <t>斯洛維尼亞</t>
    <phoneticPr fontId="3" type="noConversion"/>
  </si>
  <si>
    <t>斯洛伐克</t>
  </si>
  <si>
    <t>愛沙尼亞</t>
  </si>
  <si>
    <t>愛沙尼亞</t>
    <phoneticPr fontId="3" type="noConversion"/>
  </si>
  <si>
    <r>
      <rPr>
        <sz val="12"/>
        <rFont val="新細明體"/>
        <family val="1"/>
        <charset val="136"/>
      </rPr>
      <t>拉脫維亞</t>
    </r>
    <phoneticPr fontId="3" type="noConversion"/>
  </si>
  <si>
    <t>立陶宛</t>
  </si>
  <si>
    <t>立陶宛</t>
    <phoneticPr fontId="3" type="noConversion"/>
  </si>
  <si>
    <t>羅馬尼亞</t>
  </si>
  <si>
    <t>保加利亞</t>
  </si>
  <si>
    <t>克羅埃西亞</t>
  </si>
  <si>
    <t>克羅埃西亞</t>
    <phoneticPr fontId="3" type="noConversion"/>
  </si>
  <si>
    <t>挪威</t>
    <phoneticPr fontId="3" type="noConversion"/>
  </si>
  <si>
    <t>冰島</t>
    <phoneticPr fontId="3" type="noConversion"/>
  </si>
  <si>
    <t>摩納哥</t>
    <phoneticPr fontId="3" type="noConversion"/>
  </si>
  <si>
    <t>列支斯敦</t>
    <phoneticPr fontId="3" type="noConversion"/>
  </si>
  <si>
    <t>俄羅斯</t>
  </si>
  <si>
    <t>俄羅斯</t>
    <phoneticPr fontId="3" type="noConversion"/>
  </si>
  <si>
    <t>南斯拉夫</t>
    <phoneticPr fontId="3" type="noConversion"/>
  </si>
  <si>
    <t>安道爾</t>
    <phoneticPr fontId="3" type="noConversion"/>
  </si>
  <si>
    <t>喬治亞</t>
    <phoneticPr fontId="3" type="noConversion"/>
  </si>
  <si>
    <t>烏克蘭</t>
  </si>
  <si>
    <t>烏克蘭</t>
    <phoneticPr fontId="3" type="noConversion"/>
  </si>
  <si>
    <r>
      <rPr>
        <sz val="12"/>
        <rFont val="新細明體"/>
        <family val="1"/>
        <charset val="136"/>
      </rPr>
      <t>格凌蘭</t>
    </r>
    <r>
      <rPr>
        <sz val="12"/>
        <rFont val="細明體-ExtB"/>
        <family val="1"/>
        <charset val="136"/>
      </rPr>
      <t xml:space="preserve"> </t>
    </r>
    <phoneticPr fontId="4" type="noConversion"/>
  </si>
  <si>
    <t>白俄羅斯</t>
    <phoneticPr fontId="3" type="noConversion"/>
  </si>
  <si>
    <r>
      <rPr>
        <sz val="12"/>
        <rFont val="新細明體"/>
        <family val="1"/>
        <charset val="136"/>
      </rPr>
      <t>波士尼亞</t>
    </r>
    <r>
      <rPr>
        <sz val="12"/>
        <rFont val="細明體-ExtB"/>
        <family val="1"/>
        <charset val="136"/>
      </rPr>
      <t xml:space="preserve"> </t>
    </r>
    <phoneticPr fontId="4" type="noConversion"/>
  </si>
  <si>
    <t>新幾內亞</t>
    <phoneticPr fontId="3" type="noConversion"/>
  </si>
  <si>
    <t>紐西蘭</t>
  </si>
  <si>
    <t>關島</t>
    <phoneticPr fontId="3" type="noConversion"/>
  </si>
  <si>
    <t>大溪地</t>
    <phoneticPr fontId="3" type="noConversion"/>
  </si>
  <si>
    <t>斐濟</t>
    <phoneticPr fontId="3" type="noConversion"/>
  </si>
  <si>
    <t>所羅門群島</t>
    <phoneticPr fontId="3" type="noConversion"/>
  </si>
  <si>
    <t>東加</t>
    <phoneticPr fontId="3" type="noConversion"/>
  </si>
  <si>
    <t>帛琉群島</t>
    <phoneticPr fontId="3" type="noConversion"/>
  </si>
  <si>
    <t>貝里斯</t>
    <phoneticPr fontId="3" type="noConversion"/>
  </si>
  <si>
    <t>巴哈馬</t>
    <phoneticPr fontId="3" type="noConversion"/>
  </si>
  <si>
    <t>巴西</t>
  </si>
  <si>
    <t>阿根廷</t>
    <phoneticPr fontId="3" type="noConversion"/>
  </si>
  <si>
    <t>哥倫比亞</t>
    <phoneticPr fontId="3" type="noConversion"/>
  </si>
  <si>
    <t>巴拿馬</t>
    <phoneticPr fontId="3" type="noConversion"/>
  </si>
  <si>
    <t>巴拉圭</t>
    <phoneticPr fontId="3" type="noConversion"/>
  </si>
  <si>
    <t>哥斯大黎加</t>
    <phoneticPr fontId="3" type="noConversion"/>
  </si>
  <si>
    <t>智利</t>
  </si>
  <si>
    <t>智利</t>
    <phoneticPr fontId="3" type="noConversion"/>
  </si>
  <si>
    <t>瓜地馬拉</t>
    <phoneticPr fontId="3" type="noConversion"/>
  </si>
  <si>
    <t>委內瑞拉</t>
    <phoneticPr fontId="3" type="noConversion"/>
  </si>
  <si>
    <t>波多黎各</t>
    <phoneticPr fontId="3" type="noConversion"/>
  </si>
  <si>
    <t>薩爾瓦多</t>
    <phoneticPr fontId="3" type="noConversion"/>
  </si>
  <si>
    <t>玻利維亞</t>
    <phoneticPr fontId="3" type="noConversion"/>
  </si>
  <si>
    <t>尼加拉瓜</t>
    <phoneticPr fontId="3" type="noConversion"/>
  </si>
  <si>
    <t>蓋亞納</t>
    <phoneticPr fontId="3" type="noConversion"/>
  </si>
  <si>
    <t>瓜德魯普島</t>
    <phoneticPr fontId="3" type="noConversion"/>
  </si>
  <si>
    <t>牙買加</t>
    <phoneticPr fontId="3" type="noConversion"/>
  </si>
  <si>
    <t>海地</t>
    <phoneticPr fontId="3" type="noConversion"/>
  </si>
  <si>
    <t>吉里巴斯</t>
    <phoneticPr fontId="3" type="noConversion"/>
  </si>
  <si>
    <t>烏拉圭</t>
    <phoneticPr fontId="3" type="noConversion"/>
  </si>
  <si>
    <t>巴貝多</t>
    <phoneticPr fontId="3" type="noConversion"/>
  </si>
  <si>
    <t>多米尼克</t>
    <phoneticPr fontId="3" type="noConversion"/>
  </si>
  <si>
    <r>
      <rPr>
        <sz val="12"/>
        <rFont val="新細明體"/>
        <family val="1"/>
        <charset val="136"/>
      </rPr>
      <t>聖露西亞</t>
    </r>
    <phoneticPr fontId="3" type="noConversion"/>
  </si>
  <si>
    <t>蘇利南</t>
    <phoneticPr fontId="3" type="noConversion"/>
  </si>
  <si>
    <t>古巴</t>
    <phoneticPr fontId="3" type="noConversion"/>
  </si>
  <si>
    <t>百慕達</t>
    <phoneticPr fontId="3" type="noConversion"/>
  </si>
  <si>
    <t>法屬圭亞納</t>
    <phoneticPr fontId="3" type="noConversion"/>
  </si>
  <si>
    <t>科威特</t>
    <phoneticPr fontId="3" type="noConversion"/>
  </si>
  <si>
    <t>伊朗</t>
    <phoneticPr fontId="3" type="noConversion"/>
  </si>
  <si>
    <t>土耳其</t>
    <phoneticPr fontId="3" type="noConversion"/>
  </si>
  <si>
    <t>黎巴嫩</t>
    <phoneticPr fontId="3" type="noConversion"/>
  </si>
  <si>
    <t>約旦</t>
    <phoneticPr fontId="3" type="noConversion"/>
  </si>
  <si>
    <t>巴林</t>
    <phoneticPr fontId="3" type="noConversion"/>
  </si>
  <si>
    <t>葉門</t>
    <phoneticPr fontId="3" type="noConversion"/>
  </si>
  <si>
    <t>卡達</t>
    <phoneticPr fontId="3" type="noConversion"/>
  </si>
  <si>
    <t>阿曼</t>
    <phoneticPr fontId="3" type="noConversion"/>
  </si>
  <si>
    <t>敘利亞</t>
    <phoneticPr fontId="3" type="noConversion"/>
  </si>
  <si>
    <t>伊拉克</t>
    <phoneticPr fontId="4" type="noConversion"/>
  </si>
  <si>
    <t>非洲</t>
    <phoneticPr fontId="3" type="noConversion"/>
  </si>
  <si>
    <t>南非</t>
  </si>
  <si>
    <t>肯亞</t>
    <phoneticPr fontId="3" type="noConversion"/>
  </si>
  <si>
    <t>馬達加斯加</t>
    <phoneticPr fontId="3" type="noConversion"/>
  </si>
  <si>
    <t>甘比亞</t>
    <phoneticPr fontId="3" type="noConversion"/>
  </si>
  <si>
    <t>迦納</t>
    <phoneticPr fontId="3" type="noConversion"/>
  </si>
  <si>
    <t>馬拉威</t>
    <phoneticPr fontId="3" type="noConversion"/>
  </si>
  <si>
    <t>吐瓦魯</t>
    <phoneticPr fontId="3" type="noConversion"/>
  </si>
  <si>
    <t>模里西斯</t>
    <phoneticPr fontId="3" type="noConversion"/>
  </si>
  <si>
    <t>留尼旺</t>
    <phoneticPr fontId="3" type="noConversion"/>
  </si>
  <si>
    <t>埃及</t>
    <phoneticPr fontId="3" type="noConversion"/>
  </si>
  <si>
    <t>利比亞</t>
    <phoneticPr fontId="3" type="noConversion"/>
  </si>
  <si>
    <t>象牙海岸</t>
    <phoneticPr fontId="3" type="noConversion"/>
  </si>
  <si>
    <t>辛巴威</t>
    <phoneticPr fontId="3" type="noConversion"/>
  </si>
  <si>
    <t>加彭</t>
    <phoneticPr fontId="3" type="noConversion"/>
  </si>
  <si>
    <t>獅子山</t>
    <phoneticPr fontId="3" type="noConversion"/>
  </si>
  <si>
    <t>奈及利亞</t>
    <phoneticPr fontId="3" type="noConversion"/>
  </si>
  <si>
    <t>尚比亞</t>
    <phoneticPr fontId="3" type="noConversion"/>
  </si>
  <si>
    <t>多哥</t>
    <phoneticPr fontId="3" type="noConversion"/>
  </si>
  <si>
    <t>阿爾及利亞</t>
    <phoneticPr fontId="3" type="noConversion"/>
  </si>
  <si>
    <t>納米比亞</t>
    <phoneticPr fontId="3" type="noConversion"/>
  </si>
  <si>
    <t>剛果</t>
    <phoneticPr fontId="3" type="noConversion"/>
  </si>
  <si>
    <t>蘇丹</t>
    <phoneticPr fontId="3" type="noConversion"/>
  </si>
  <si>
    <t>貝南</t>
    <phoneticPr fontId="3" type="noConversion"/>
  </si>
  <si>
    <t>法屬馬丁尼克</t>
    <phoneticPr fontId="3" type="noConversion"/>
  </si>
  <si>
    <t>伊索比亞</t>
    <phoneticPr fontId="3" type="noConversion"/>
  </si>
  <si>
    <t>莫三比克</t>
    <phoneticPr fontId="3" type="noConversion"/>
  </si>
  <si>
    <t>摩洛哥</t>
    <phoneticPr fontId="3" type="noConversion"/>
  </si>
  <si>
    <t>賴比瑞亞</t>
    <phoneticPr fontId="3" type="noConversion"/>
  </si>
  <si>
    <t>坦尚尼亞</t>
    <phoneticPr fontId="3" type="noConversion"/>
  </si>
  <si>
    <t>烏干達</t>
    <phoneticPr fontId="4" type="noConversion"/>
  </si>
  <si>
    <t>塞內加爾</t>
    <phoneticPr fontId="3" type="noConversion"/>
  </si>
  <si>
    <t>安哥拉</t>
    <phoneticPr fontId="4" type="noConversion"/>
  </si>
  <si>
    <t>幾內亞</t>
    <phoneticPr fontId="3" type="noConversion"/>
  </si>
  <si>
    <t>賴索托</t>
    <phoneticPr fontId="4" type="noConversion"/>
  </si>
  <si>
    <t>其它</t>
    <phoneticPr fontId="3" type="noConversion"/>
  </si>
  <si>
    <r>
      <rPr>
        <sz val="12"/>
        <rFont val="新細明體"/>
        <family val="1"/>
        <charset val="136"/>
      </rPr>
      <t>馬其頓</t>
    </r>
    <r>
      <rPr>
        <sz val="12"/>
        <rFont val="細明體-ExtB"/>
        <family val="1"/>
        <charset val="136"/>
      </rPr>
      <t xml:space="preserve"> </t>
    </r>
    <phoneticPr fontId="4" type="noConversion"/>
  </si>
  <si>
    <t>TRINID(TT)</t>
    <phoneticPr fontId="3" type="noConversion"/>
  </si>
  <si>
    <t>吉布地</t>
    <phoneticPr fontId="4" type="noConversion"/>
  </si>
  <si>
    <t>塞席爾</t>
    <phoneticPr fontId="3" type="noConversion"/>
  </si>
  <si>
    <t>北馬里亞納群島</t>
    <phoneticPr fontId="3" type="noConversion"/>
  </si>
  <si>
    <t>美屬維爾京群島</t>
    <phoneticPr fontId="4" type="noConversion"/>
  </si>
  <si>
    <t>密克羅尼西亞</t>
    <phoneticPr fontId="4" type="noConversion"/>
  </si>
  <si>
    <t>蒙瑟拉特島</t>
    <phoneticPr fontId="4" type="noConversion"/>
  </si>
  <si>
    <r>
      <rPr>
        <sz val="12"/>
        <rFont val="新細明體"/>
        <family val="1"/>
        <charset val="136"/>
      </rPr>
      <t>美國</t>
    </r>
    <phoneticPr fontId="3" type="noConversion"/>
  </si>
  <si>
    <t>賽普路斯</t>
    <phoneticPr fontId="6" type="noConversion"/>
  </si>
  <si>
    <t>香港</t>
    <phoneticPr fontId="6" type="noConversion"/>
  </si>
  <si>
    <t>拉脫維亞</t>
  </si>
  <si>
    <t>賽普路斯</t>
  </si>
  <si>
    <t>日本</t>
  </si>
  <si>
    <t>澳大利亞</t>
  </si>
  <si>
    <r>
      <rPr>
        <sz val="12"/>
        <rFont val="新細明體"/>
        <family val="3"/>
        <charset val="136"/>
      </rPr>
      <t>美</t>
    </r>
    <r>
      <rPr>
        <sz val="12"/>
        <rFont val="新細明體"/>
        <family val="1"/>
        <charset val="136"/>
      </rPr>
      <t>國</t>
    </r>
    <phoneticPr fontId="3" type="noConversion"/>
  </si>
  <si>
    <t>越南</t>
    <phoneticPr fontId="10" type="noConversion"/>
  </si>
  <si>
    <t>泰國</t>
    <phoneticPr fontId="6" type="noConversion"/>
  </si>
  <si>
    <t>澳門</t>
    <phoneticPr fontId="6" type="noConversion"/>
  </si>
  <si>
    <t>香港</t>
    <phoneticPr fontId="4" type="noConversion"/>
  </si>
  <si>
    <t xml:space="preserve"> set)</t>
  </si>
  <si>
    <t xml:space="preserve"> set)</t>
    <phoneticPr fontId="3" type="noConversion"/>
  </si>
  <si>
    <t>新克里多亞</t>
    <phoneticPr fontId="3" type="noConversion"/>
  </si>
  <si>
    <t>厄瓜多</t>
    <phoneticPr fontId="3" type="noConversion"/>
  </si>
  <si>
    <t>祕魯</t>
    <phoneticPr fontId="3" type="noConversion"/>
  </si>
  <si>
    <t>馬紹爾群島共和國</t>
    <phoneticPr fontId="4" type="noConversion"/>
  </si>
  <si>
    <t>阿魯巴</t>
    <phoneticPr fontId="4" type="noConversion"/>
  </si>
  <si>
    <t>澤西島</t>
    <phoneticPr fontId="4" type="noConversion"/>
  </si>
  <si>
    <r>
      <rPr>
        <sz val="12"/>
        <rFont val="新細明體"/>
        <family val="1"/>
        <charset val="136"/>
      </rPr>
      <t>總計</t>
    </r>
    <phoneticPr fontId="3" type="noConversion"/>
  </si>
  <si>
    <t>總計</t>
    <phoneticPr fontId="3" type="noConversion"/>
  </si>
  <si>
    <r>
      <rPr>
        <sz val="12"/>
        <rFont val="新細明體"/>
        <family val="1"/>
        <charset val="136"/>
      </rPr>
      <t>腳踏車用滾子鏈</t>
    </r>
    <r>
      <rPr>
        <sz val="12"/>
        <rFont val="華康仿宋體"/>
        <family val="1"/>
      </rPr>
      <t>(73151100209)</t>
    </r>
    <phoneticPr fontId="4" type="noConversion"/>
  </si>
  <si>
    <t>賽普勒斯</t>
    <phoneticPr fontId="3" type="noConversion"/>
  </si>
  <si>
    <t>史瓦帝尼王國</t>
    <phoneticPr fontId="3" type="noConversion"/>
  </si>
  <si>
    <t>裝有棘輪機構之單一鏈輪</t>
    <phoneticPr fontId="3" type="noConversion"/>
  </si>
  <si>
    <t>其他飛輪之鏈輪</t>
    <phoneticPr fontId="3" type="noConversion"/>
  </si>
  <si>
    <t>其他飛輪之鏈輪</t>
    <phoneticPr fontId="3" type="noConversion"/>
  </si>
  <si>
    <t>其他飛輪之鏈輪</t>
    <phoneticPr fontId="3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</si>
  <si>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</si>
  <si>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</si>
  <si>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資料來源: 經濟部國貿局,臺灣自行車輸出業同業公會整理</t>
    <phoneticPr fontId="10" type="noConversion"/>
  </si>
  <si>
    <t>CCC CODE: 87120010(Bicycles)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</si>
  <si>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</si>
  <si>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資料來源: 經濟部國貿局,臺灣自行車輸出業同業公會整理</t>
    <phoneticPr fontId="4" type="noConversion"/>
  </si>
  <si>
    <t>CCC CODE: 87120010109 (Folding Bicycles)</t>
    <phoneticPr fontId="10" type="noConversion"/>
  </si>
  <si>
    <r>
      <rPr>
        <sz val="12"/>
        <color indexed="12"/>
        <rFont val="新細明體"/>
        <family val="1"/>
        <charset val="136"/>
      </rPr>
      <t>數量</t>
    </r>
    <r>
      <rPr>
        <sz val="12"/>
        <color indexed="12"/>
        <rFont val="Times New Roman"/>
        <family val="1"/>
      </rPr>
      <t>(</t>
    </r>
    <r>
      <rPr>
        <sz val="12"/>
        <color indexed="12"/>
        <rFont val="新細明體"/>
        <family val="1"/>
        <charset val="136"/>
      </rPr>
      <t>台</t>
    </r>
    <r>
      <rPr>
        <sz val="12"/>
        <color indexed="12"/>
        <rFont val="Times New Roman"/>
        <family val="1"/>
      </rPr>
      <t>)</t>
    </r>
  </si>
  <si>
    <r>
      <rPr>
        <sz val="12"/>
        <color indexed="12"/>
        <rFont val="新細明體"/>
        <family val="1"/>
        <charset val="136"/>
      </rPr>
      <t>金額</t>
    </r>
    <r>
      <rPr>
        <sz val="12"/>
        <color indexed="12"/>
        <rFont val="Times New Roman"/>
        <family val="1"/>
      </rPr>
      <t>(US$)</t>
    </r>
  </si>
  <si>
    <r>
      <rPr>
        <sz val="9"/>
        <color indexed="12"/>
        <rFont val="新細明體"/>
        <family val="1"/>
        <charset val="136"/>
      </rPr>
      <t>平均單價</t>
    </r>
    <r>
      <rPr>
        <sz val="9"/>
        <color indexed="12"/>
        <rFont val="Times New Roman"/>
        <family val="1"/>
      </rPr>
      <t>(US$)</t>
    </r>
    <phoneticPr fontId="4" type="noConversion"/>
  </si>
  <si>
    <t>CCC CODE: 87116020007 &amp; 87119030900</t>
    <phoneticPr fontId="3" type="noConversion"/>
  </si>
  <si>
    <t>2023年</t>
    <phoneticPr fontId="4" type="noConversion"/>
  </si>
  <si>
    <t>2022年</t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</si>
  <si>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</si>
  <si>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其他車架</t>
    </r>
    <r>
      <rPr>
        <sz val="12"/>
        <rFont val="華康仿宋體"/>
        <family val="1"/>
      </rPr>
      <t>,</t>
    </r>
    <r>
      <rPr>
        <sz val="12"/>
        <rFont val="新細明體"/>
        <family val="1"/>
        <charset val="136"/>
      </rPr>
      <t>前叉及其零件</t>
    </r>
    <r>
      <rPr>
        <sz val="12"/>
        <rFont val="華康仿宋體"/>
        <family val="1"/>
      </rPr>
      <t>(87149120007)</t>
    </r>
    <phoneticPr fontId="4" type="noConversion"/>
  </si>
  <si>
    <r>
      <rPr>
        <sz val="12"/>
        <rFont val="新細明體"/>
        <family val="1"/>
        <charset val="136"/>
      </rPr>
      <t>輪圈</t>
    </r>
    <r>
      <rPr>
        <sz val="12"/>
        <rFont val="細明體-ExtB"/>
        <family val="1"/>
        <charset val="136"/>
      </rPr>
      <t>(87149200108)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</si>
  <si>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</si>
  <si>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輪幅</t>
    </r>
    <r>
      <rPr>
        <sz val="12"/>
        <rFont val="華康仿宋體"/>
        <family val="1"/>
      </rPr>
      <t>(87149200206)</t>
    </r>
    <phoneticPr fontId="4" type="noConversion"/>
  </si>
  <si>
    <r>
      <rPr>
        <sz val="12"/>
        <rFont val="新細明體"/>
        <family val="1"/>
        <charset val="136"/>
      </rPr>
      <t>輪圈及輪幅</t>
    </r>
    <r>
      <rPr>
        <sz val="12"/>
        <rFont val="細明體-ExtB"/>
        <family val="1"/>
        <charset val="136"/>
      </rPr>
      <t>(87149200304)</t>
    </r>
    <phoneticPr fontId="4" type="noConversion"/>
  </si>
  <si>
    <r>
      <rPr>
        <sz val="12"/>
        <rFont val="新細明體"/>
        <family val="1"/>
        <charset val="136"/>
      </rPr>
      <t>輪轂</t>
    </r>
    <r>
      <rPr>
        <sz val="12"/>
        <rFont val="華康仿宋體"/>
        <family val="1"/>
      </rPr>
      <t>(</t>
    </r>
    <r>
      <rPr>
        <sz val="12"/>
        <rFont val="新細明體"/>
        <family val="1"/>
        <charset val="136"/>
      </rPr>
      <t>倒煞車輪及輪轂煞車除外</t>
    </r>
    <r>
      <rPr>
        <sz val="12"/>
        <rFont val="華康仿宋體"/>
        <family val="1"/>
      </rPr>
      <t>)(87149310007)</t>
    </r>
    <phoneticPr fontId="4" type="noConversion"/>
  </si>
  <si>
    <r>
      <rPr>
        <sz val="12"/>
        <rFont val="新細明體"/>
        <family val="1"/>
        <charset val="136"/>
      </rPr>
      <t>踏板及其零件</t>
    </r>
    <r>
      <rPr>
        <sz val="12"/>
        <rFont val="華康仿宋體"/>
        <family val="1"/>
      </rPr>
      <t>(87149610004)</t>
    </r>
    <phoneticPr fontId="4" type="noConversion"/>
  </si>
  <si>
    <r>
      <rPr>
        <sz val="12"/>
        <rFont val="新細明體"/>
        <family val="1"/>
        <charset val="136"/>
      </rPr>
      <t>腳踏車用把手</t>
    </r>
    <r>
      <rPr>
        <sz val="12"/>
        <rFont val="細明體-ExtB"/>
        <family val="1"/>
        <charset val="136"/>
      </rPr>
      <t>(87149990166)</t>
    </r>
    <phoneticPr fontId="4" type="noConversion"/>
  </si>
  <si>
    <r>
      <rPr>
        <sz val="12"/>
        <rFont val="新細明體"/>
        <family val="1"/>
        <charset val="136"/>
      </rPr>
      <t>腳踏車用橡膠內胎</t>
    </r>
    <r>
      <rPr>
        <sz val="12"/>
        <rFont val="華康仿宋體"/>
        <family val="1"/>
      </rPr>
      <t>(40132000003)</t>
    </r>
    <phoneticPr fontId="4" type="noConversion"/>
  </si>
  <si>
    <t>2023年</t>
    <phoneticPr fontId="3" type="noConversion"/>
  </si>
  <si>
    <t>2022年</t>
    <phoneticPr fontId="3" type="noConversion"/>
  </si>
  <si>
    <r>
      <rPr>
        <sz val="12"/>
        <rFont val="新細明體"/>
        <family val="1"/>
        <charset val="136"/>
      </rPr>
      <t>腳踏車用電器照明設備</t>
    </r>
    <r>
      <rPr>
        <sz val="12"/>
        <rFont val="華康仿宋體"/>
        <family val="1"/>
      </rPr>
      <t>(85121010001)</t>
    </r>
    <phoneticPr fontId="4" type="noConversion"/>
  </si>
  <si>
    <r>
      <rPr>
        <sz val="12"/>
        <rFont val="新細明體"/>
        <family val="1"/>
        <charset val="136"/>
      </rPr>
      <t>腳踏車照明視覺信號設備</t>
    </r>
    <r>
      <rPr>
        <sz val="12"/>
        <rFont val="華康仿宋體"/>
        <family val="1"/>
      </rPr>
      <t>(85121020009)</t>
    </r>
    <phoneticPr fontId="4" type="noConversion"/>
  </si>
  <si>
    <t>其他國家</t>
    <phoneticPr fontId="4" type="noConversion"/>
  </si>
  <si>
    <t>其他國家</t>
    <phoneticPr fontId="3" type="noConversion"/>
  </si>
  <si>
    <t>其他國家</t>
    <phoneticPr fontId="3" type="noConversion"/>
  </si>
  <si>
    <t>其他國家</t>
    <phoneticPr fontId="4" type="noConversion"/>
  </si>
  <si>
    <t>裝有棘輪機構之單一鏈輪(87149320103)</t>
    <phoneticPr fontId="4" type="noConversion"/>
  </si>
  <si>
    <r>
      <rPr>
        <sz val="12"/>
        <rFont val="新細明體"/>
        <family val="1"/>
        <charset val="136"/>
      </rPr>
      <t>煞車鋼線及其零件</t>
    </r>
    <r>
      <rPr>
        <sz val="12"/>
        <rFont val="華康仿宋體"/>
        <family val="1"/>
      </rPr>
      <t>(87149410006)</t>
    </r>
    <phoneticPr fontId="4" type="noConversion"/>
  </si>
  <si>
    <r>
      <rPr>
        <sz val="12"/>
        <rFont val="新細明體"/>
        <family val="1"/>
        <charset val="136"/>
      </rPr>
      <t>其他煞車器及其零件</t>
    </r>
    <r>
      <rPr>
        <sz val="12"/>
        <rFont val="華康仿宋體"/>
        <family val="1"/>
      </rPr>
      <t>(87149490009)</t>
    </r>
    <phoneticPr fontId="4" type="noConversion"/>
  </si>
  <si>
    <r>
      <rPr>
        <sz val="12"/>
        <rFont val="新細明體"/>
        <family val="1"/>
        <charset val="136"/>
      </rPr>
      <t>腳踏車車座</t>
    </r>
    <r>
      <rPr>
        <sz val="12"/>
        <rFont val="細明體-ExtB"/>
        <family val="1"/>
        <charset val="136"/>
      </rPr>
      <t>(87149500007)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</si>
  <si>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</si>
  <si>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曲柄齒輪及其零件</t>
    </r>
    <r>
      <rPr>
        <sz val="12"/>
        <rFont val="細明體-ExtB"/>
        <family val="1"/>
        <charset val="136"/>
      </rPr>
      <t>(87149620002)</t>
    </r>
    <phoneticPr fontId="4" type="noConversion"/>
  </si>
  <si>
    <r>
      <rPr>
        <sz val="12"/>
        <rFont val="新細明體"/>
        <family val="1"/>
        <charset val="136"/>
      </rPr>
      <t>腳踏車用變速器</t>
    </r>
    <r>
      <rPr>
        <sz val="12"/>
        <rFont val="華康仿宋體"/>
        <family val="1"/>
      </rPr>
      <t>(87149990111)</t>
    </r>
    <phoneticPr fontId="4" type="noConversion"/>
  </si>
  <si>
    <t>其他飛輪之鏈輪(87149320906)</t>
    <phoneticPr fontId="4" type="noConversion"/>
  </si>
  <si>
    <r>
      <rPr>
        <sz val="12"/>
        <rFont val="新細明體"/>
        <family val="1"/>
        <charset val="136"/>
      </rPr>
      <t>腳踏車用軸心</t>
    </r>
    <r>
      <rPr>
        <sz val="12"/>
        <rFont val="華康仿宋體"/>
        <family val="1"/>
      </rPr>
      <t>(87149990139)</t>
    </r>
    <phoneticPr fontId="4" type="noConversion"/>
  </si>
  <si>
    <r>
      <rPr>
        <sz val="12"/>
        <rFont val="新細明體"/>
        <family val="1"/>
        <charset val="136"/>
      </rPr>
      <t>腳踏車用把手豎管</t>
    </r>
    <r>
      <rPr>
        <sz val="12"/>
        <rFont val="細明體-ExtB"/>
        <family val="1"/>
        <charset val="136"/>
      </rPr>
      <t>(87149990148)</t>
    </r>
    <phoneticPr fontId="4" type="noConversion"/>
  </si>
  <si>
    <r>
      <rPr>
        <sz val="12"/>
        <rFont val="新細明體"/>
        <family val="1"/>
        <charset val="136"/>
      </rPr>
      <t>腳踏車用座管及上下管</t>
    </r>
    <r>
      <rPr>
        <sz val="12"/>
        <rFont val="細明體-ExtB"/>
        <family val="1"/>
        <charset val="136"/>
      </rPr>
      <t>(87149990157)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</si>
  <si>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</si>
  <si>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腳踏車用新橡膠氣胎</t>
    </r>
    <r>
      <rPr>
        <sz val="12"/>
        <rFont val="華康仿宋體"/>
        <family val="1"/>
      </rPr>
      <t>(40115000008)</t>
    </r>
    <phoneticPr fontId="4" type="noConversion"/>
  </si>
  <si>
    <t>其他國家</t>
    <phoneticPr fontId="3" type="noConversion"/>
  </si>
  <si>
    <t>阿拉伯聯合大公國</t>
    <phoneticPr fontId="3" type="noConversion"/>
  </si>
  <si>
    <t>南韓</t>
    <phoneticPr fontId="10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</si>
  <si>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2023-2022</t>
    </r>
    <r>
      <rPr>
        <sz val="12"/>
        <rFont val="新細明體"/>
        <family val="1"/>
        <charset val="136"/>
      </rPr>
      <t>年同期比較</t>
    </r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</si>
  <si>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2023-2022</t>
    </r>
    <r>
      <rPr>
        <sz val="12"/>
        <rFont val="新細明體"/>
        <family val="1"/>
        <charset val="136"/>
      </rPr>
      <t>年同期比較</t>
    </r>
    <phoneticPr fontId="4" type="noConversion"/>
  </si>
  <si>
    <r>
      <t>2023</t>
    </r>
    <r>
      <rPr>
        <sz val="12"/>
        <rFont val="新細明體"/>
        <family val="1"/>
        <charset val="136"/>
      </rPr>
      <t>年</t>
    </r>
    <phoneticPr fontId="4" type="noConversion"/>
  </si>
  <si>
    <t>南韓</t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</si>
  <si>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2023 -2022</t>
    </r>
    <r>
      <rPr>
        <sz val="12"/>
        <rFont val="新細明體"/>
        <family val="1"/>
        <charset val="136"/>
      </rPr>
      <t>年同期比較</t>
    </r>
    <phoneticPr fontId="3" type="noConversion"/>
  </si>
  <si>
    <t>美國</t>
  </si>
  <si>
    <t>越南</t>
  </si>
  <si>
    <t>英國</t>
  </si>
  <si>
    <t>柬埔寨</t>
  </si>
  <si>
    <t>中華民國</t>
  </si>
  <si>
    <t>瑞士</t>
  </si>
  <si>
    <t>馬來西亞</t>
  </si>
  <si>
    <t>緬甸</t>
  </si>
  <si>
    <t>泰國</t>
  </si>
  <si>
    <t>印尼</t>
  </si>
  <si>
    <t>哥斯大黎加</t>
  </si>
  <si>
    <t>菲律賓</t>
  </si>
  <si>
    <t>香港</t>
  </si>
  <si>
    <t>孟加拉</t>
  </si>
  <si>
    <t>印度</t>
  </si>
  <si>
    <t>阿拉伯聯合大公國</t>
  </si>
  <si>
    <t>新加坡</t>
  </si>
  <si>
    <r>
      <t>2022</t>
    </r>
    <r>
      <rPr>
        <sz val="12"/>
        <color rgb="FF0000FF"/>
        <rFont val="新細明體"/>
        <family val="1"/>
        <charset val="136"/>
      </rPr>
      <t>年</t>
    </r>
    <phoneticPr fontId="4" type="noConversion"/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</si>
  <si>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新細明體"/>
        <family val="1"/>
        <charset val="136"/>
      </rPr>
      <t>月台灣自行車主要出口國家統計</t>
    </r>
    <phoneticPr fontId="4" type="noConversion"/>
  </si>
  <si>
    <r>
      <t>2023</t>
    </r>
    <r>
      <rPr>
        <sz val="12"/>
        <rFont val="新細明體"/>
        <family val="1"/>
        <charset val="136"/>
      </rPr>
      <t>年5月</t>
    </r>
    <phoneticPr fontId="4" type="noConversion"/>
  </si>
  <si>
    <r>
      <t>5</t>
    </r>
    <r>
      <rPr>
        <sz val="12"/>
        <rFont val="新細明體"/>
        <family val="1"/>
        <charset val="136"/>
      </rPr>
      <t>月數量</t>
    </r>
    <phoneticPr fontId="4" type="noConversion"/>
  </si>
  <si>
    <r>
      <t>5</t>
    </r>
    <r>
      <rPr>
        <sz val="12"/>
        <rFont val="Microsoft JhengHei UI"/>
        <family val="3"/>
        <charset val="136"/>
      </rPr>
      <t>月金額</t>
    </r>
    <phoneticPr fontId="4" type="noConversion"/>
  </si>
  <si>
    <r>
      <t>1-5</t>
    </r>
    <r>
      <rPr>
        <sz val="12"/>
        <rFont val="新細明體"/>
        <family val="1"/>
        <charset val="136"/>
      </rPr>
      <t>月數量</t>
    </r>
    <phoneticPr fontId="4" type="noConversion"/>
  </si>
  <si>
    <r>
      <t>1-5</t>
    </r>
    <r>
      <rPr>
        <sz val="12"/>
        <rFont val="新細明體"/>
        <family val="1"/>
        <charset val="136"/>
      </rPr>
      <t>月金額</t>
    </r>
    <phoneticPr fontId="4" type="noConversion"/>
  </si>
  <si>
    <r>
      <t>5</t>
    </r>
    <r>
      <rPr>
        <sz val="12"/>
        <rFont val="新細明體"/>
        <family val="1"/>
        <charset val="136"/>
      </rPr>
      <t>月金額</t>
    </r>
    <phoneticPr fontId="4" type="noConversion"/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</si>
  <si>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2022</t>
    </r>
    <r>
      <rPr>
        <b/>
        <sz val="14"/>
        <rFont val="新細明體"/>
        <family val="1"/>
        <charset val="136"/>
      </rPr>
      <t>年同期台灣自行車出口統計比較</t>
    </r>
    <phoneticPr fontId="3" type="noConversion"/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</si>
  <si>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2022</t>
    </r>
    <r>
      <rPr>
        <b/>
        <sz val="14"/>
        <rFont val="新細明體"/>
        <family val="1"/>
        <charset val="136"/>
      </rPr>
      <t>年同期台灣其他自行車出口統計比較</t>
    </r>
    <phoneticPr fontId="3" type="noConversion"/>
  </si>
  <si>
    <r>
      <t>2023/2022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新細明體"/>
        <family val="1"/>
        <charset val="136"/>
      </rPr>
      <t>月台灣自行車出口主要國家比較</t>
    </r>
    <phoneticPr fontId="4" type="noConversion"/>
  </si>
  <si>
    <r>
      <t>2023/2022</t>
    </r>
    <r>
      <rPr>
        <sz val="10"/>
        <rFont val="新細明體"/>
        <family val="1"/>
        <charset val="136"/>
      </rPr>
      <t>年</t>
    </r>
    <r>
      <rPr>
        <sz val="10"/>
        <rFont val="細明體-ExtB"/>
        <family val="1"/>
        <charset val="136"/>
      </rPr>
      <t>1-5</t>
    </r>
    <r>
      <rPr>
        <sz val="10"/>
        <rFont val="新細明體"/>
        <family val="1"/>
        <charset val="136"/>
      </rPr>
      <t>月</t>
    </r>
    <phoneticPr fontId="3" type="noConversion"/>
  </si>
  <si>
    <r>
      <t>2023</t>
    </r>
    <r>
      <rPr>
        <b/>
        <sz val="14"/>
        <rFont val="新細明體"/>
        <family val="1"/>
        <charset val="136"/>
      </rPr>
      <t>年5月台灣自行車出口地區別統計</t>
    </r>
    <phoneticPr fontId="3" type="noConversion"/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</si>
  <si>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新細明體"/>
        <family val="1"/>
        <charset val="136"/>
      </rPr>
      <t>月台灣自行車主要</t>
    </r>
    <r>
      <rPr>
        <b/>
        <sz val="14"/>
        <color rgb="FFFF0000"/>
        <rFont val="新細明體"/>
        <family val="1"/>
        <charset val="136"/>
      </rPr>
      <t>進口</t>
    </r>
    <r>
      <rPr>
        <b/>
        <sz val="14"/>
        <rFont val="新細明體"/>
        <family val="1"/>
        <charset val="136"/>
      </rPr>
      <t>國家統計</t>
    </r>
    <phoneticPr fontId="4" type="noConversion"/>
  </si>
  <si>
    <r>
      <t>2023</t>
    </r>
    <r>
      <rPr>
        <sz val="12"/>
        <rFont val="Microsoft JhengHei UI"/>
        <family val="3"/>
        <charset val="136"/>
      </rPr>
      <t>年5</t>
    </r>
    <r>
      <rPr>
        <sz val="12"/>
        <rFont val="新細明體"/>
        <family val="1"/>
        <charset val="136"/>
      </rPr>
      <t>月</t>
    </r>
    <phoneticPr fontId="4" type="noConversion"/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</si>
  <si>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新細明體"/>
        <family val="1"/>
        <charset val="136"/>
      </rPr>
      <t>月台灣折疊式自行車主要出口國家統計</t>
    </r>
    <phoneticPr fontId="4" type="noConversion"/>
  </si>
  <si>
    <r>
      <t xml:space="preserve">     2023/2022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新細明體"/>
        <family val="1"/>
        <charset val="136"/>
      </rPr>
      <t>月台灣折疊式自行車主要出口國家比較</t>
    </r>
    <phoneticPr fontId="4" type="noConversion"/>
  </si>
  <si>
    <r>
      <t>2023/2022</t>
    </r>
    <r>
      <rPr>
        <sz val="10"/>
        <rFont val="新細明體"/>
        <family val="1"/>
        <charset val="136"/>
      </rPr>
      <t>年</t>
    </r>
    <r>
      <rPr>
        <sz val="10"/>
        <rFont val="華康仿宋體"/>
        <family val="1"/>
      </rPr>
      <t>1-5</t>
    </r>
    <r>
      <rPr>
        <sz val="10"/>
        <rFont val="新細明體"/>
        <family val="1"/>
        <charset val="136"/>
      </rPr>
      <t>月</t>
    </r>
    <phoneticPr fontId="3" type="noConversion"/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</si>
  <si>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新細明體"/>
        <family val="1"/>
        <charset val="136"/>
      </rPr>
      <t>台灣電動自行車主要出口國家統計</t>
    </r>
    <phoneticPr fontId="10" type="noConversion"/>
  </si>
  <si>
    <t xml:space="preserve">                                                2023/2022年1-5月台灣電動自行車主要出口國家比較        </t>
    <phoneticPr fontId="4" type="noConversion"/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</si>
  <si>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1-5</t>
    </r>
    <r>
      <rPr>
        <b/>
        <sz val="14"/>
        <rFont val="新細明體"/>
        <family val="1"/>
        <charset val="136"/>
      </rPr>
      <t>月與</t>
    </r>
    <r>
      <rPr>
        <b/>
        <sz val="14"/>
        <rFont val="華康仿宋體"/>
        <family val="1"/>
      </rPr>
      <t>2022</t>
    </r>
    <r>
      <rPr>
        <b/>
        <sz val="14"/>
        <rFont val="新細明體"/>
        <family val="1"/>
        <charset val="136"/>
      </rPr>
      <t>年同期台灣電動自行車出口統計比較</t>
    </r>
    <phoneticPr fontId="3" type="noConversion"/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</si>
  <si>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2022</t>
    </r>
    <r>
      <rPr>
        <b/>
        <sz val="14"/>
        <rFont val="新細明體"/>
        <family val="1"/>
        <charset val="136"/>
      </rPr>
      <t>年同期台灣折疊式自行車出口統計比較</t>
    </r>
    <phoneticPr fontId="3" type="noConversion"/>
  </si>
  <si>
    <t>數量: Kg</t>
  </si>
  <si>
    <t>金額: US$</t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</si>
  <si>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新細明體"/>
        <family val="1"/>
        <charset val="136"/>
      </rPr>
      <t>月份自行車主要零件進出口統計</t>
    </r>
    <phoneticPr fontId="4" type="noConversion"/>
  </si>
  <si>
    <t>5月出口量</t>
    <phoneticPr fontId="4" type="noConversion"/>
  </si>
  <si>
    <t>5月出口金額</t>
    <phoneticPr fontId="4" type="noConversion"/>
  </si>
  <si>
    <r>
      <t>1-5</t>
    </r>
    <r>
      <rPr>
        <b/>
        <sz val="12"/>
        <rFont val="新細明體"/>
        <family val="1"/>
        <charset val="136"/>
      </rPr>
      <t>月出口量</t>
    </r>
    <phoneticPr fontId="4" type="noConversion"/>
  </si>
  <si>
    <r>
      <t>1-5</t>
    </r>
    <r>
      <rPr>
        <b/>
        <sz val="12"/>
        <rFont val="新細明體"/>
        <family val="1"/>
        <charset val="136"/>
      </rPr>
      <t>月出口金額</t>
    </r>
    <phoneticPr fontId="4" type="noConversion"/>
  </si>
  <si>
    <t>5月進口量</t>
    <phoneticPr fontId="4" type="noConversion"/>
  </si>
  <si>
    <t>5月進口金額</t>
    <phoneticPr fontId="4" type="noConversion"/>
  </si>
  <si>
    <r>
      <t>1-5</t>
    </r>
    <r>
      <rPr>
        <b/>
        <sz val="12"/>
        <rFont val="新細明體"/>
        <family val="1"/>
        <charset val="136"/>
      </rPr>
      <t>月進口量</t>
    </r>
    <phoneticPr fontId="4" type="noConversion"/>
  </si>
  <si>
    <r>
      <t>1-5</t>
    </r>
    <r>
      <rPr>
        <b/>
        <sz val="12"/>
        <rFont val="新細明體"/>
        <family val="1"/>
        <charset val="136"/>
      </rPr>
      <t>月進口金額</t>
    </r>
    <phoneticPr fontId="4" type="noConversion"/>
  </si>
  <si>
    <r>
      <t xml:space="preserve">     2023/2022</t>
    </r>
    <r>
      <rPr>
        <b/>
        <sz val="16"/>
        <rFont val="新細明體"/>
        <family val="1"/>
        <charset val="136"/>
      </rPr>
      <t>年</t>
    </r>
    <r>
      <rPr>
        <b/>
        <sz val="16"/>
        <rFont val="細明體-ExtB"/>
        <family val="1"/>
        <charset val="136"/>
      </rPr>
      <t>1-5</t>
    </r>
    <r>
      <rPr>
        <b/>
        <sz val="16"/>
        <rFont val="新細明體"/>
        <family val="1"/>
        <charset val="136"/>
      </rPr>
      <t>月同期自行車主要零件出口統計比較</t>
    </r>
    <phoneticPr fontId="4" type="noConversion"/>
  </si>
  <si>
    <r>
      <t xml:space="preserve">     2023/2022</t>
    </r>
    <r>
      <rPr>
        <b/>
        <sz val="16"/>
        <rFont val="新細明體"/>
        <family val="1"/>
        <charset val="136"/>
      </rPr>
      <t>年</t>
    </r>
    <r>
      <rPr>
        <b/>
        <sz val="16"/>
        <rFont val="細明體-ExtB"/>
        <family val="1"/>
        <charset val="136"/>
      </rPr>
      <t>1-5</t>
    </r>
    <r>
      <rPr>
        <b/>
        <sz val="16"/>
        <rFont val="新細明體"/>
        <family val="1"/>
        <charset val="136"/>
      </rPr>
      <t>月同期自行車主要零件進口統計比較</t>
    </r>
    <phoneticPr fontId="4" type="noConversion"/>
  </si>
  <si>
    <r>
      <t>2023</t>
    </r>
    <r>
      <rPr>
        <sz val="16"/>
        <rFont val="新細明體"/>
        <family val="1"/>
        <charset val="136"/>
      </rPr>
      <t>年5月台灣自行車主要零件進出口統計</t>
    </r>
    <phoneticPr fontId="4" type="noConversion"/>
  </si>
  <si>
    <t>2022年</t>
  </si>
  <si>
    <r>
      <t>2022</t>
    </r>
    <r>
      <rPr>
        <sz val="12"/>
        <color indexed="12"/>
        <rFont val="華康仿宋體"/>
        <family val="3"/>
        <charset val="136"/>
      </rPr>
      <t>年</t>
    </r>
    <phoneticPr fontId="3" type="noConversion"/>
  </si>
  <si>
    <r>
      <t>2023</t>
    </r>
    <r>
      <rPr>
        <sz val="12"/>
        <rFont val="華康仿宋體"/>
        <family val="3"/>
        <charset val="136"/>
      </rPr>
      <t>年</t>
    </r>
    <phoneticPr fontId="3" type="noConversion"/>
  </si>
  <si>
    <t xml:space="preserve">                   87119030900 (  Other cycles fitted with other auxiliary motor )</t>
    <phoneticPr fontId="10" type="noConversion"/>
  </si>
  <si>
    <t>哈薩克</t>
  </si>
  <si>
    <t>韓國</t>
  </si>
  <si>
    <t>哥倫比亞</t>
  </si>
  <si>
    <t>千里達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</si>
</sst>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(* #,##0_);_(* \(#,##0\);_(* &quot;-&quot;_);_(@_)"/>
    <numFmt numFmtId="177" formatCode="_(* #,##0.00_);_(* \(#,##0.00\);_(* &quot;-&quot;??_);_(@_)"/>
    <numFmt numFmtId="178" formatCode="_(&quot;$&quot;* #,##0_);_(&quot;$&quot;* \(#,##0\);_(&quot;$&quot;* &quot;-&quot;??_);_(@_)"/>
    <numFmt numFmtId="179" formatCode="_(* #,##0_);_(* \(#,##0\);_(* &quot;-&quot;??_);_(@_)"/>
    <numFmt numFmtId="180" formatCode="_-* #,##0_-;\-* #,##0_-;_-* &quot;-&quot;??_-;_-@_-"/>
    <numFmt numFmtId="181" formatCode="0.00%;[Red]\-0.00%;&quot;- &quot;"/>
  </numFmts>
  <fonts count="9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4"/>
      <name val="華康仿宋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4"/>
      <name val="華康仿宋體"/>
      <family val="3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華康仿宋體"/>
      <family val="3"/>
      <charset val="136"/>
    </font>
    <font>
      <sz val="12"/>
      <name val="細明體"/>
      <family val="3"/>
      <charset val="136"/>
    </font>
    <font>
      <sz val="9"/>
      <name val="華康仿宋體W4"/>
      <family val="3"/>
      <charset val="136"/>
    </font>
    <font>
      <b/>
      <sz val="12"/>
      <color indexed="12"/>
      <name val="Times New Roman"/>
      <family val="1"/>
    </font>
    <font>
      <b/>
      <sz val="12"/>
      <color indexed="10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sz val="10"/>
      <name val="華康仿宋體"/>
      <family val="3"/>
      <charset val="136"/>
    </font>
    <font>
      <sz val="12"/>
      <color indexed="12"/>
      <name val="華康仿宋體"/>
      <family val="3"/>
      <charset val="136"/>
    </font>
    <font>
      <sz val="12"/>
      <color indexed="8"/>
      <name val="華康仿宋體"/>
      <family val="3"/>
      <charset val="136"/>
    </font>
    <font>
      <sz val="12"/>
      <color indexed="10"/>
      <name val="華康仿宋體"/>
      <family val="3"/>
      <charset val="136"/>
    </font>
    <font>
      <sz val="12"/>
      <color indexed="8"/>
      <name val="Times New Roman"/>
      <family val="1"/>
    </font>
    <font>
      <sz val="9"/>
      <color indexed="8"/>
      <name val="華康仿宋體"/>
      <family val="3"/>
      <charset val="136"/>
    </font>
    <font>
      <sz val="9"/>
      <color indexed="8"/>
      <name val="Times New Roman"/>
      <family val="1"/>
    </font>
    <font>
      <sz val="9"/>
      <color indexed="12"/>
      <name val="華康仿宋體"/>
      <family val="3"/>
      <charset val="136"/>
    </font>
    <font>
      <sz val="12"/>
      <color rgb="FFFF0000"/>
      <name val="Times New Roman"/>
      <family val="1"/>
    </font>
    <font>
      <sz val="11"/>
      <color indexed="10"/>
      <name val="Times New Roman"/>
      <family val="1"/>
    </font>
    <font>
      <sz val="11"/>
      <name val="華康仿宋體"/>
      <family val="1"/>
      <charset val="136"/>
    </font>
    <font>
      <sz val="9"/>
      <name val="華康仿宋體"/>
      <family val="3"/>
      <charset val="136"/>
    </font>
    <font>
      <b/>
      <sz val="13"/>
      <name val="Times New Roman"/>
      <family val="1"/>
    </font>
    <font>
      <b/>
      <sz val="13"/>
      <name val="華康仿宋體"/>
      <family val="1"/>
      <charset val="136"/>
    </font>
    <font>
      <sz val="13"/>
      <name val="華康仿宋體"/>
      <family val="3"/>
      <charset val="136"/>
    </font>
    <font>
      <sz val="13"/>
      <name val="華康仿宋體W4"/>
      <family val="3"/>
      <charset val="136"/>
    </font>
    <font>
      <b/>
      <sz val="14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sz val="13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9"/>
      <color indexed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indexed="12"/>
      <name val="華康仿宋體W4"/>
      <family val="3"/>
      <charset val="136"/>
    </font>
    <font>
      <sz val="12"/>
      <color indexed="10"/>
      <name val="華康仿宋體W4"/>
      <family val="3"/>
      <charset val="136"/>
    </font>
    <font>
      <sz val="12"/>
      <color indexed="8"/>
      <name val="華康仿宋體W4"/>
      <family val="3"/>
      <charset val="136"/>
    </font>
    <font>
      <b/>
      <sz val="12"/>
      <name val="華康仿宋體"/>
      <family val="1"/>
      <charset val="136"/>
    </font>
    <font>
      <b/>
      <sz val="16"/>
      <name val="華康仿宋體"/>
      <family val="3"/>
      <charset val="136"/>
    </font>
    <font>
      <b/>
      <sz val="16"/>
      <color indexed="12"/>
      <name val="華康仿宋體"/>
      <family val="3"/>
      <charset val="136"/>
    </font>
    <font>
      <b/>
      <sz val="16"/>
      <color indexed="10"/>
      <name val="華康仿宋體"/>
      <family val="3"/>
      <charset val="136"/>
    </font>
    <font>
      <b/>
      <sz val="12"/>
      <color indexed="12"/>
      <name val="華康仿宋體"/>
      <family val="3"/>
      <charset val="136"/>
    </font>
    <font>
      <b/>
      <sz val="12"/>
      <color indexed="10"/>
      <name val="華康仿宋體"/>
      <family val="3"/>
      <charset val="136"/>
    </font>
    <font>
      <sz val="16"/>
      <name val="華康仿宋體"/>
      <family val="3"/>
      <charset val="136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name val="華康仿宋體"/>
      <family val="3"/>
      <charset val="134"/>
    </font>
    <font>
      <sz val="12"/>
      <name val="SimSun"/>
      <charset val="134"/>
    </font>
    <font>
      <sz val="12"/>
      <name val="華康仿宋體"/>
      <family val="1"/>
    </font>
    <font>
      <sz val="12"/>
      <name val="MS Gothic"/>
      <family val="3"/>
      <charset val="128"/>
    </font>
    <font>
      <sz val="10"/>
      <name val="華康仿宋體"/>
      <family val="1"/>
      <charset val="136"/>
    </font>
    <font>
      <sz val="12"/>
      <color indexed="48"/>
      <name val="華康仿宋體"/>
      <family val="1"/>
      <charset val="136"/>
    </font>
    <font>
      <sz val="12"/>
      <color indexed="48"/>
      <name val="Times New Roman"/>
      <family val="1"/>
    </font>
    <font>
      <sz val="12"/>
      <name val="華康仿宋體"/>
      <family val="1"/>
      <charset val="136"/>
    </font>
    <font>
      <sz val="12"/>
      <name val="細明體-ExtB"/>
      <family val="1"/>
      <charset val="136"/>
    </font>
    <font>
      <sz val="12"/>
      <color rgb="FFFF0000"/>
      <name val="華康仿宋體"/>
      <family val="1"/>
      <charset val="136"/>
    </font>
    <font>
      <sz val="9"/>
      <name val="Times New Roman"/>
      <family val="1"/>
    </font>
    <font>
      <sz val="12"/>
      <color rgb="FFFF0000"/>
      <name val="華康仿宋體"/>
      <family val="3"/>
      <charset val="136"/>
    </font>
    <font>
      <sz val="12"/>
      <name val="新細明體"/>
      <family val="3"/>
      <charset val="136"/>
    </font>
    <font>
      <sz val="10"/>
      <name val="新細明體"/>
      <family val="1"/>
      <charset val="136"/>
    </font>
    <font>
      <sz val="10"/>
      <name val="細明體-ExtB"/>
      <family val="1"/>
      <charset val="136"/>
    </font>
    <font>
      <sz val="12"/>
      <color rgb="FF0000FF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細明體-ExtB"/>
      <family val="1"/>
      <charset val="136"/>
    </font>
    <font>
      <b/>
      <sz val="14"/>
      <color rgb="FFFF0000"/>
      <name val="新細明體"/>
      <family val="1"/>
      <charset val="136"/>
    </font>
    <font>
      <sz val="12"/>
      <name val="細明體"/>
      <family val="1"/>
      <charset val="136"/>
    </font>
    <font>
      <b/>
      <sz val="16"/>
      <name val="新細明體"/>
      <family val="1"/>
      <charset val="136"/>
    </font>
    <font>
      <sz val="9"/>
      <color indexed="12"/>
      <name val="Times New Roman"/>
      <family val="1"/>
    </font>
    <font>
      <sz val="12"/>
      <color rgb="FF242424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14"/>
      <name val="新細明體"/>
      <family val="1"/>
      <charset val="136"/>
      <scheme val="major"/>
    </font>
    <font>
      <sz val="12"/>
      <color rgb="FFCCCCFF"/>
      <name val="Times New Roman"/>
      <family val="1"/>
    </font>
    <font>
      <sz val="12"/>
      <name val="Microsoft JhengHei UI"/>
      <family val="3"/>
      <charset val="136"/>
    </font>
    <font>
      <sz val="12"/>
      <color rgb="FF0000FF"/>
      <name val="新細明體"/>
      <family val="1"/>
      <charset val="136"/>
      <scheme val="minor"/>
    </font>
    <font>
      <b/>
      <sz val="16"/>
      <name val="細明體-ExtB"/>
      <family val="1"/>
      <charset val="136"/>
    </font>
    <font>
      <sz val="16"/>
      <name val="新細明體"/>
      <family val="1"/>
      <charset val="136"/>
    </font>
    <font>
      <b/>
      <sz val="14"/>
      <name val="華康仿宋體"/>
      <family val="1"/>
    </font>
    <font>
      <sz val="10"/>
      <name val="華康仿宋體"/>
      <family val="1"/>
    </font>
    <font>
      <sz val="12"/>
      <color rgb="FF0000FF"/>
      <name val="Times New Roman"/>
      <family val="1"/>
    </font>
    <font>
      <sz val="12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  <xf numFmtId="177" fontId="7" fillId="0" borderId="0" applyFont="0" applyFill="0" applyBorder="0" applyAlignment="0" applyProtection="0"/>
  </cellStyleXfs>
  <cellXfs count="564">
    <xf numFmtId="0" fontId="0" fillId="0" borderId="0" xfId="0">
      <alignment vertical="center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43" fontId="5" fillId="0" borderId="0" xfId="0" applyNumberFormat="1" applyFont="1" applyAlignment="1">
      <alignment horizontal="centerContinuous"/>
    </xf>
    <xf numFmtId="0" fontId="5" fillId="0" borderId="0" xfId="0" applyFont="1" applyAlignment="1"/>
    <xf numFmtId="0" fontId="0" fillId="0" borderId="0" xfId="0" applyAlignment="1"/>
    <xf numFmtId="43" fontId="0" fillId="0" borderId="0" xfId="0" applyNumberFormat="1" applyAlignment="1"/>
    <xf numFmtId="0" fontId="7" fillId="0" borderId="0" xfId="0" applyFont="1" applyAlignment="1"/>
    <xf numFmtId="0" fontId="8" fillId="0" borderId="4" xfId="0" quotePrefix="1" applyFont="1" applyBorder="1" applyAlignment="1">
      <alignment horizontal="center"/>
    </xf>
    <xf numFmtId="43" fontId="8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center"/>
    </xf>
    <xf numFmtId="43" fontId="8" fillId="0" borderId="5" xfId="0" applyNumberFormat="1" applyFont="1" applyBorder="1" applyAlignment="1">
      <alignment horizontal="center"/>
    </xf>
    <xf numFmtId="0" fontId="8" fillId="0" borderId="0" xfId="0" applyFont="1" applyAlignment="1"/>
    <xf numFmtId="0" fontId="8" fillId="0" borderId="6" xfId="0" applyFont="1" applyBorder="1" applyAlignment="1">
      <alignment horizontal="center"/>
    </xf>
    <xf numFmtId="0" fontId="8" fillId="2" borderId="5" xfId="0" quotePrefix="1" applyFont="1" applyFill="1" applyBorder="1" applyAlignment="1">
      <alignment horizontal="center"/>
    </xf>
    <xf numFmtId="0" fontId="0" fillId="2" borderId="4" xfId="0" applyFill="1" applyBorder="1" applyAlignment="1"/>
    <xf numFmtId="0" fontId="0" fillId="2" borderId="7" xfId="0" applyFill="1" applyBorder="1" applyAlignment="1"/>
    <xf numFmtId="43" fontId="0" fillId="2" borderId="7" xfId="0" applyNumberFormat="1" applyFill="1" applyBorder="1" applyAlignment="1"/>
    <xf numFmtId="43" fontId="0" fillId="2" borderId="8" xfId="0" applyNumberFormat="1" applyFill="1" applyBorder="1" applyAlignment="1"/>
    <xf numFmtId="0" fontId="8" fillId="2" borderId="5" xfId="0" applyFont="1" applyFill="1" applyBorder="1" applyAlignment="1">
      <alignment horizontal="center"/>
    </xf>
    <xf numFmtId="176" fontId="0" fillId="2" borderId="4" xfId="0" applyNumberFormat="1" applyFill="1" applyBorder="1" applyAlignment="1"/>
    <xf numFmtId="176" fontId="0" fillId="2" borderId="6" xfId="0" applyNumberFormat="1" applyFill="1" applyBorder="1" applyAlignment="1"/>
    <xf numFmtId="43" fontId="0" fillId="2" borderId="6" xfId="0" applyNumberFormat="1" applyFill="1" applyBorder="1" applyAlignment="1"/>
    <xf numFmtId="10" fontId="0" fillId="2" borderId="6" xfId="3" applyNumberFormat="1" applyFont="1" applyFill="1" applyBorder="1" applyAlignment="1"/>
    <xf numFmtId="43" fontId="0" fillId="2" borderId="9" xfId="0" applyNumberFormat="1" applyFill="1" applyBorder="1" applyAlignment="1"/>
    <xf numFmtId="0" fontId="8" fillId="0" borderId="10" xfId="0" quotePrefix="1" applyFont="1" applyBorder="1" applyAlignment="1">
      <alignment horizontal="center"/>
    </xf>
    <xf numFmtId="176" fontId="0" fillId="0" borderId="10" xfId="0" applyNumberFormat="1" applyBorder="1" applyAlignment="1"/>
    <xf numFmtId="176" fontId="0" fillId="0" borderId="6" xfId="0" applyNumberFormat="1" applyBorder="1" applyAlignment="1"/>
    <xf numFmtId="10" fontId="0" fillId="0" borderId="6" xfId="3" applyNumberFormat="1" applyFont="1" applyBorder="1" applyAlignment="1"/>
    <xf numFmtId="0" fontId="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2" borderId="10" xfId="0" quotePrefix="1" applyFont="1" applyFill="1" applyBorder="1" applyAlignment="1">
      <alignment horizontal="center"/>
    </xf>
    <xf numFmtId="176" fontId="0" fillId="2" borderId="10" xfId="0" applyNumberFormat="1" applyFill="1" applyBorder="1" applyAlignment="1"/>
    <xf numFmtId="176" fontId="9" fillId="0" borderId="10" xfId="0" applyNumberFormat="1" applyFont="1" applyBorder="1" applyAlignment="1">
      <alignment horizontal="center"/>
    </xf>
    <xf numFmtId="176" fontId="9" fillId="0" borderId="10" xfId="0" quotePrefix="1" applyNumberFormat="1" applyFont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2" borderId="0" xfId="0" quotePrefix="1" applyFont="1" applyFill="1" applyAlignment="1">
      <alignment horizontal="center"/>
    </xf>
    <xf numFmtId="176" fontId="0" fillId="2" borderId="0" xfId="0" applyNumberFormat="1" applyFill="1" applyAlignment="1"/>
    <xf numFmtId="43" fontId="0" fillId="2" borderId="0" xfId="0" applyNumberFormat="1" applyFill="1" applyAlignment="1"/>
    <xf numFmtId="10" fontId="0" fillId="2" borderId="0" xfId="3" applyNumberFormat="1" applyFont="1" applyFill="1" applyBorder="1" applyAlignment="1"/>
    <xf numFmtId="0" fontId="8" fillId="0" borderId="8" xfId="0" applyFont="1" applyBorder="1" applyAlignment="1">
      <alignment horizontal="center"/>
    </xf>
    <xf numFmtId="43" fontId="8" fillId="0" borderId="11" xfId="0" applyNumberFormat="1" applyFont="1" applyBorder="1" applyAlignment="1">
      <alignment horizontal="center"/>
    </xf>
    <xf numFmtId="10" fontId="8" fillId="0" borderId="11" xfId="0" applyNumberFormat="1" applyFont="1" applyBorder="1" applyAlignment="1">
      <alignment horizontal="center"/>
    </xf>
    <xf numFmtId="10" fontId="8" fillId="0" borderId="11" xfId="3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76" fontId="8" fillId="0" borderId="9" xfId="0" applyNumberFormat="1" applyFont="1" applyBorder="1" applyAlignment="1">
      <alignment horizontal="center"/>
    </xf>
    <xf numFmtId="176" fontId="8" fillId="0" borderId="9" xfId="0" quotePrefix="1" applyNumberFormat="1" applyFont="1" applyBorder="1" applyAlignment="1">
      <alignment horizontal="center"/>
    </xf>
    <xf numFmtId="176" fontId="8" fillId="0" borderId="11" xfId="0" applyNumberFormat="1" applyFont="1" applyBorder="1" applyAlignment="1">
      <alignment horizontal="center"/>
    </xf>
    <xf numFmtId="176" fontId="8" fillId="0" borderId="11" xfId="0" quotePrefix="1" applyNumberFormat="1" applyFont="1" applyBorder="1" applyAlignment="1">
      <alignment horizontal="center"/>
    </xf>
    <xf numFmtId="10" fontId="8" fillId="0" borderId="11" xfId="3" quotePrefix="1" applyNumberFormat="1" applyFont="1" applyBorder="1" applyAlignment="1">
      <alignment horizontal="center"/>
    </xf>
    <xf numFmtId="43" fontId="0" fillId="2" borderId="10" xfId="0" applyNumberFormat="1" applyFill="1" applyBorder="1" applyAlignment="1"/>
    <xf numFmtId="10" fontId="0" fillId="2" borderId="10" xfId="3" applyNumberFormat="1" applyFont="1" applyFill="1" applyBorder="1" applyAlignment="1"/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3" fontId="8" fillId="0" borderId="0" xfId="0" quotePrefix="1" applyNumberFormat="1" applyFont="1" applyAlignment="1">
      <alignment horizontal="left"/>
    </xf>
    <xf numFmtId="0" fontId="11" fillId="0" borderId="0" xfId="0" applyFont="1" applyAlignment="1">
      <alignment horizontal="centerContinuous"/>
    </xf>
    <xf numFmtId="10" fontId="12" fillId="0" borderId="0" xfId="0" applyNumberFormat="1" applyFont="1" applyAlignment="1">
      <alignment horizontal="centerContinuous"/>
    </xf>
    <xf numFmtId="0" fontId="13" fillId="0" borderId="0" xfId="0" applyFont="1" applyAlignment="1"/>
    <xf numFmtId="10" fontId="14" fillId="0" borderId="0" xfId="0" applyNumberFormat="1" applyFont="1" applyAlignment="1"/>
    <xf numFmtId="10" fontId="14" fillId="0" borderId="12" xfId="0" applyNumberFormat="1" applyFont="1" applyBorder="1" applyAlignment="1"/>
    <xf numFmtId="0" fontId="0" fillId="2" borderId="1" xfId="0" applyFill="1" applyBorder="1" applyAlignment="1"/>
    <xf numFmtId="0" fontId="7" fillId="2" borderId="2" xfId="0" applyFont="1" applyFill="1" applyBorder="1" applyAlignment="1"/>
    <xf numFmtId="0" fontId="13" fillId="2" borderId="1" xfId="0" applyFont="1" applyFill="1" applyBorder="1" applyAlignment="1"/>
    <xf numFmtId="10" fontId="14" fillId="2" borderId="2" xfId="0" applyNumberFormat="1" applyFont="1" applyFill="1" applyBorder="1" applyAlignment="1"/>
    <xf numFmtId="0" fontId="13" fillId="2" borderId="2" xfId="0" applyFont="1" applyFill="1" applyBorder="1" applyAlignment="1"/>
    <xf numFmtId="10" fontId="14" fillId="2" borderId="12" xfId="0" applyNumberFormat="1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15" fillId="0" borderId="4" xfId="0" quotePrefix="1" applyFont="1" applyBorder="1" applyAlignment="1">
      <alignment horizontal="center"/>
    </xf>
    <xf numFmtId="0" fontId="16" fillId="0" borderId="8" xfId="0" quotePrefix="1" applyFont="1" applyBorder="1" applyAlignment="1">
      <alignment horizontal="center"/>
    </xf>
    <xf numFmtId="10" fontId="17" fillId="0" borderId="8" xfId="0" applyNumberFormat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10" fontId="17" fillId="0" borderId="5" xfId="0" quotePrefix="1" applyNumberFormat="1" applyFont="1" applyBorder="1" applyAlignment="1">
      <alignment horizontal="center"/>
    </xf>
    <xf numFmtId="10" fontId="17" fillId="0" borderId="8" xfId="0" quotePrefix="1" applyNumberFormat="1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8" fillId="0" borderId="9" xfId="0" quotePrefix="1" applyFont="1" applyBorder="1" applyAlignment="1">
      <alignment horizontal="center"/>
    </xf>
    <xf numFmtId="43" fontId="20" fillId="0" borderId="9" xfId="0" applyNumberFormat="1" applyFont="1" applyBorder="1" applyAlignment="1">
      <alignment horizontal="center"/>
    </xf>
    <xf numFmtId="43" fontId="22" fillId="0" borderId="9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3" fillId="2" borderId="8" xfId="0" applyFont="1" applyFill="1" applyBorder="1" applyAlignment="1"/>
    <xf numFmtId="10" fontId="19" fillId="2" borderId="8" xfId="0" applyNumberFormat="1" applyFont="1" applyFill="1" applyBorder="1" applyAlignment="1"/>
    <xf numFmtId="43" fontId="19" fillId="2" borderId="8" xfId="0" applyNumberFormat="1" applyFont="1" applyFill="1" applyBorder="1" applyAlignment="1"/>
    <xf numFmtId="43" fontId="13" fillId="2" borderId="8" xfId="0" applyNumberFormat="1" applyFont="1" applyFill="1" applyBorder="1" applyAlignment="1"/>
    <xf numFmtId="176" fontId="13" fillId="2" borderId="6" xfId="0" applyNumberFormat="1" applyFont="1" applyFill="1" applyBorder="1" applyAlignment="1"/>
    <xf numFmtId="10" fontId="7" fillId="2" borderId="9" xfId="3" applyNumberFormat="1" applyFont="1" applyFill="1" applyBorder="1" applyAlignment="1"/>
    <xf numFmtId="43" fontId="19" fillId="0" borderId="6" xfId="0" applyNumberFormat="1" applyFont="1" applyBorder="1" applyAlignment="1"/>
    <xf numFmtId="43" fontId="13" fillId="2" borderId="6" xfId="0" applyNumberFormat="1" applyFont="1" applyFill="1" applyBorder="1" applyAlignment="1"/>
    <xf numFmtId="176" fontId="13" fillId="0" borderId="6" xfId="0" applyNumberFormat="1" applyFont="1" applyBorder="1" applyAlignment="1"/>
    <xf numFmtId="176" fontId="13" fillId="0" borderId="10" xfId="0" applyNumberFormat="1" applyFont="1" applyBorder="1" applyAlignment="1"/>
    <xf numFmtId="176" fontId="13" fillId="2" borderId="10" xfId="0" applyNumberFormat="1" applyFont="1" applyFill="1" applyBorder="1" applyAlignment="1"/>
    <xf numFmtId="10" fontId="23" fillId="2" borderId="9" xfId="3" applyNumberFormat="1" applyFont="1" applyFill="1" applyBorder="1" applyAlignment="1"/>
    <xf numFmtId="10" fontId="7" fillId="2" borderId="6" xfId="3" applyNumberFormat="1" applyFont="1" applyFill="1" applyBorder="1" applyAlignment="1"/>
    <xf numFmtId="0" fontId="0" fillId="0" borderId="10" xfId="0" applyBorder="1" applyAlignment="1"/>
    <xf numFmtId="0" fontId="19" fillId="0" borderId="10" xfId="0" applyFont="1" applyBorder="1" applyAlignment="1"/>
    <xf numFmtId="0" fontId="0" fillId="0" borderId="0" xfId="0" applyAlignment="1">
      <alignment horizontal="center"/>
    </xf>
    <xf numFmtId="176" fontId="0" fillId="0" borderId="0" xfId="0" applyNumberFormat="1" applyAlignment="1"/>
    <xf numFmtId="176" fontId="13" fillId="2" borderId="2" xfId="0" applyNumberFormat="1" applyFont="1" applyFill="1" applyBorder="1" applyAlignment="1"/>
    <xf numFmtId="10" fontId="19" fillId="0" borderId="0" xfId="0" applyNumberFormat="1" applyFont="1" applyAlignment="1"/>
    <xf numFmtId="10" fontId="19" fillId="0" borderId="0" xfId="3" applyNumberFormat="1" applyFont="1" applyAlignment="1"/>
    <xf numFmtId="0" fontId="0" fillId="2" borderId="1" xfId="0" applyFill="1" applyBorder="1" applyAlignment="1">
      <alignment horizontal="left"/>
    </xf>
    <xf numFmtId="176" fontId="0" fillId="2" borderId="2" xfId="0" applyNumberFormat="1" applyFill="1" applyBorder="1" applyAlignment="1"/>
    <xf numFmtId="176" fontId="13" fillId="2" borderId="13" xfId="0" applyNumberFormat="1" applyFont="1" applyFill="1" applyBorder="1" applyAlignment="1"/>
    <xf numFmtId="10" fontId="19" fillId="2" borderId="2" xfId="0" applyNumberFormat="1" applyFont="1" applyFill="1" applyBorder="1" applyAlignment="1"/>
    <xf numFmtId="10" fontId="19" fillId="2" borderId="2" xfId="3" applyNumberFormat="1" applyFont="1" applyFill="1" applyBorder="1" applyAlignment="1"/>
    <xf numFmtId="176" fontId="8" fillId="0" borderId="4" xfId="0" quotePrefix="1" applyNumberFormat="1" applyFont="1" applyBorder="1" applyAlignment="1">
      <alignment horizontal="center"/>
    </xf>
    <xf numFmtId="176" fontId="16" fillId="0" borderId="9" xfId="0" applyNumberFormat="1" applyFont="1" applyBorder="1" applyAlignment="1">
      <alignment horizontal="center"/>
    </xf>
    <xf numFmtId="0" fontId="24" fillId="0" borderId="0" xfId="0" applyFont="1" applyAlignment="1"/>
    <xf numFmtId="0" fontId="14" fillId="0" borderId="0" xfId="0" applyFont="1" applyAlignment="1"/>
    <xf numFmtId="176" fontId="14" fillId="2" borderId="0" xfId="0" applyNumberFormat="1" applyFont="1" applyFill="1" applyAlignment="1"/>
    <xf numFmtId="0" fontId="2" fillId="0" borderId="0" xfId="0" applyFont="1" applyAlignment="1"/>
    <xf numFmtId="0" fontId="7" fillId="2" borderId="1" xfId="0" applyFont="1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0" xfId="0" applyFill="1" applyAlignment="1"/>
    <xf numFmtId="0" fontId="8" fillId="0" borderId="6" xfId="0" quotePrefix="1" applyFont="1" applyBorder="1" applyAlignment="1">
      <alignment horizontal="center"/>
    </xf>
    <xf numFmtId="0" fontId="8" fillId="0" borderId="12" xfId="0" applyFont="1" applyBorder="1" applyAlignment="1"/>
    <xf numFmtId="0" fontId="8" fillId="0" borderId="14" xfId="0" applyFont="1" applyBorder="1" applyAlignment="1"/>
    <xf numFmtId="0" fontId="8" fillId="2" borderId="8" xfId="0" quotePrefix="1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5" xfId="0" quotePrefix="1" applyFont="1" applyFill="1" applyBorder="1" applyAlignment="1">
      <alignment horizontal="center"/>
    </xf>
    <xf numFmtId="0" fontId="8" fillId="2" borderId="0" xfId="0" applyFont="1" applyFill="1" applyAlignment="1"/>
    <xf numFmtId="0" fontId="8" fillId="2" borderId="9" xfId="0" applyFont="1" applyFill="1" applyBorder="1" applyAlignment="1">
      <alignment horizontal="center"/>
    </xf>
    <xf numFmtId="0" fontId="8" fillId="2" borderId="14" xfId="0" quotePrefix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Continuous"/>
    </xf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25" fillId="2" borderId="1" xfId="0" applyFont="1" applyFill="1" applyBorder="1" applyAlignment="1"/>
    <xf numFmtId="0" fontId="8" fillId="2" borderId="2" xfId="0" applyFont="1" applyFill="1" applyBorder="1" applyAlignment="1"/>
    <xf numFmtId="0" fontId="16" fillId="2" borderId="2" xfId="0" applyFont="1" applyFill="1" applyBorder="1" applyAlignment="1"/>
    <xf numFmtId="0" fontId="18" fillId="2" borderId="2" xfId="0" applyFont="1" applyFill="1" applyBorder="1" applyAlignment="1"/>
    <xf numFmtId="0" fontId="17" fillId="2" borderId="2" xfId="0" applyFont="1" applyFill="1" applyBorder="1" applyAlignment="1"/>
    <xf numFmtId="0" fontId="17" fillId="2" borderId="3" xfId="0" applyFont="1" applyFill="1" applyBorder="1" applyAlignment="1">
      <alignment horizontal="right"/>
    </xf>
    <xf numFmtId="0" fontId="8" fillId="0" borderId="1" xfId="0" quotePrefix="1" applyFont="1" applyBorder="1" applyAlignment="1">
      <alignment horizontal="left"/>
    </xf>
    <xf numFmtId="0" fontId="13" fillId="0" borderId="2" xfId="0" applyFont="1" applyBorder="1" applyAlignment="1"/>
    <xf numFmtId="0" fontId="14" fillId="0" borderId="2" xfId="0" applyFont="1" applyBorder="1" applyAlignment="1"/>
    <xf numFmtId="0" fontId="19" fillId="0" borderId="2" xfId="0" applyFont="1" applyBorder="1" applyAlignment="1"/>
    <xf numFmtId="0" fontId="17" fillId="0" borderId="3" xfId="0" applyFont="1" applyBorder="1" applyAlignment="1">
      <alignment horizontal="right"/>
    </xf>
    <xf numFmtId="0" fontId="8" fillId="0" borderId="6" xfId="0" quotePrefix="1" applyFont="1" applyBorder="1" applyAlignment="1">
      <alignment horizontal="centerContinuous"/>
    </xf>
    <xf numFmtId="0" fontId="16" fillId="0" borderId="12" xfId="0" applyFont="1" applyBorder="1" applyAlignment="1">
      <alignment horizontal="centerContinuous"/>
    </xf>
    <xf numFmtId="0" fontId="18" fillId="0" borderId="14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16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10" fontId="7" fillId="2" borderId="10" xfId="3" applyNumberFormat="1" applyFont="1" applyFill="1" applyBorder="1" applyAlignment="1"/>
    <xf numFmtId="10" fontId="14" fillId="2" borderId="0" xfId="3" applyNumberFormat="1" applyFont="1" applyFill="1" applyBorder="1" applyAlignment="1"/>
    <xf numFmtId="176" fontId="13" fillId="0" borderId="0" xfId="0" applyNumberFormat="1" applyFont="1" applyAlignment="1"/>
    <xf numFmtId="10" fontId="14" fillId="0" borderId="0" xfId="3" applyNumberFormat="1" applyFont="1" applyAlignment="1"/>
    <xf numFmtId="0" fontId="8" fillId="2" borderId="1" xfId="0" quotePrefix="1" applyFont="1" applyFill="1" applyBorder="1" applyAlignment="1">
      <alignment horizontal="left"/>
    </xf>
    <xf numFmtId="176" fontId="8" fillId="2" borderId="2" xfId="0" applyNumberFormat="1" applyFont="1" applyFill="1" applyBorder="1" applyAlignment="1"/>
    <xf numFmtId="176" fontId="16" fillId="2" borderId="2" xfId="0" applyNumberFormat="1" applyFont="1" applyFill="1" applyBorder="1" applyAlignment="1"/>
    <xf numFmtId="10" fontId="18" fillId="2" borderId="2" xfId="3" applyNumberFormat="1" applyFont="1" applyFill="1" applyBorder="1" applyAlignment="1"/>
    <xf numFmtId="176" fontId="17" fillId="2" borderId="2" xfId="0" applyNumberFormat="1" applyFont="1" applyFill="1" applyBorder="1" applyAlignment="1"/>
    <xf numFmtId="10" fontId="17" fillId="2" borderId="3" xfId="3" applyNumberFormat="1" applyFont="1" applyFill="1" applyBorder="1" applyAlignment="1">
      <alignment horizontal="right"/>
    </xf>
    <xf numFmtId="176" fontId="0" fillId="0" borderId="2" xfId="0" applyNumberFormat="1" applyBorder="1" applyAlignment="1"/>
    <xf numFmtId="176" fontId="13" fillId="0" borderId="2" xfId="0" applyNumberFormat="1" applyFont="1" applyBorder="1" applyAlignment="1"/>
    <xf numFmtId="10" fontId="14" fillId="0" borderId="2" xfId="3" applyNumberFormat="1" applyFont="1" applyBorder="1" applyAlignment="1"/>
    <xf numFmtId="176" fontId="19" fillId="0" borderId="2" xfId="0" applyNumberFormat="1" applyFont="1" applyBorder="1" applyAlignment="1"/>
    <xf numFmtId="10" fontId="17" fillId="0" borderId="3" xfId="3" applyNumberFormat="1" applyFont="1" applyBorder="1" applyAlignment="1">
      <alignment horizontal="right"/>
    </xf>
    <xf numFmtId="176" fontId="8" fillId="0" borderId="6" xfId="0" quotePrefix="1" applyNumberFormat="1" applyFont="1" applyBorder="1" applyAlignment="1">
      <alignment horizontal="centerContinuous"/>
    </xf>
    <xf numFmtId="176" fontId="16" fillId="0" borderId="12" xfId="0" applyNumberFormat="1" applyFont="1" applyBorder="1" applyAlignment="1">
      <alignment horizontal="centerContinuous"/>
    </xf>
    <xf numFmtId="10" fontId="18" fillId="0" borderId="14" xfId="3" applyNumberFormat="1" applyFont="1" applyBorder="1" applyAlignment="1">
      <alignment horizontal="centerContinuous"/>
    </xf>
    <xf numFmtId="176" fontId="8" fillId="0" borderId="6" xfId="0" applyNumberFormat="1" applyFont="1" applyBorder="1" applyAlignment="1">
      <alignment horizontal="centerContinuous"/>
    </xf>
    <xf numFmtId="10" fontId="7" fillId="2" borderId="0" xfId="3" applyNumberFormat="1" applyFont="1" applyFill="1" applyBorder="1" applyAlignment="1"/>
    <xf numFmtId="0" fontId="16" fillId="0" borderId="0" xfId="0" applyFont="1" applyAlignment="1"/>
    <xf numFmtId="0" fontId="18" fillId="0" borderId="0" xfId="0" applyFont="1" applyAlignment="1"/>
    <xf numFmtId="43" fontId="7" fillId="2" borderId="3" xfId="0" applyNumberFormat="1" applyFont="1" applyFill="1" applyBorder="1" applyAlignment="1"/>
    <xf numFmtId="43" fontId="26" fillId="0" borderId="5" xfId="0" applyNumberFormat="1" applyFont="1" applyBorder="1" applyAlignment="1">
      <alignment horizontal="center"/>
    </xf>
    <xf numFmtId="0" fontId="25" fillId="2" borderId="5" xfId="0" quotePrefix="1" applyFont="1" applyFill="1" applyBorder="1" applyAlignment="1">
      <alignment horizontal="center"/>
    </xf>
    <xf numFmtId="43" fontId="0" fillId="2" borderId="2" xfId="0" applyNumberFormat="1" applyFill="1" applyBorder="1" applyAlignment="1"/>
    <xf numFmtId="10" fontId="0" fillId="2" borderId="2" xfId="0" applyNumberFormat="1" applyFill="1" applyBorder="1" applyAlignment="1"/>
    <xf numFmtId="10" fontId="0" fillId="2" borderId="2" xfId="3" applyNumberFormat="1" applyFont="1" applyFill="1" applyBorder="1" applyAlignment="1"/>
    <xf numFmtId="43" fontId="0" fillId="2" borderId="3" xfId="0" applyNumberFormat="1" applyFill="1" applyBorder="1" applyAlignment="1"/>
    <xf numFmtId="43" fontId="18" fillId="0" borderId="0" xfId="0" applyNumberFormat="1" applyFont="1" applyAlignment="1"/>
    <xf numFmtId="43" fontId="8" fillId="0" borderId="0" xfId="0" applyNumberFormat="1" applyFont="1" applyAlignme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76" fontId="0" fillId="2" borderId="4" xfId="0" applyNumberForma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0" fontId="0" fillId="2" borderId="6" xfId="3" applyNumberFormat="1" applyFont="1" applyFill="1" applyBorder="1" applyAlignment="1">
      <alignment horizontal="center"/>
    </xf>
    <xf numFmtId="176" fontId="0" fillId="2" borderId="6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76" fontId="0" fillId="0" borderId="10" xfId="0" applyNumberFormat="1" applyBorder="1" applyAlignment="1">
      <alignment horizontal="center"/>
    </xf>
    <xf numFmtId="10" fontId="0" fillId="0" borderId="6" xfId="3" applyNumberFormat="1" applyFont="1" applyBorder="1" applyAlignment="1">
      <alignment horizontal="center"/>
    </xf>
    <xf numFmtId="176" fontId="0" fillId="2" borderId="10" xfId="0" applyNumberFormat="1" applyFill="1" applyBorder="1" applyAlignment="1">
      <alignment horizontal="center"/>
    </xf>
    <xf numFmtId="176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10" fontId="0" fillId="2" borderId="0" xfId="3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0" fontId="14" fillId="2" borderId="3" xfId="0" applyNumberFormat="1" applyFont="1" applyFill="1" applyBorder="1" applyAlignment="1"/>
    <xf numFmtId="0" fontId="0" fillId="0" borderId="1" xfId="0" applyBorder="1" applyAlignment="1"/>
    <xf numFmtId="10" fontId="18" fillId="0" borderId="8" xfId="0" quotePrefix="1" applyNumberFormat="1" applyFont="1" applyBorder="1" applyAlignment="1">
      <alignment horizontal="center"/>
    </xf>
    <xf numFmtId="10" fontId="18" fillId="0" borderId="9" xfId="0" applyNumberFormat="1" applyFont="1" applyBorder="1" applyAlignment="1">
      <alignment horizontal="center"/>
    </xf>
    <xf numFmtId="0" fontId="0" fillId="2" borderId="5" xfId="0" applyFill="1" applyBorder="1" applyAlignment="1"/>
    <xf numFmtId="10" fontId="14" fillId="2" borderId="5" xfId="0" applyNumberFormat="1" applyFont="1" applyFill="1" applyBorder="1" applyAlignment="1"/>
    <xf numFmtId="10" fontId="14" fillId="2" borderId="8" xfId="0" applyNumberFormat="1" applyFont="1" applyFill="1" applyBorder="1" applyAlignment="1"/>
    <xf numFmtId="43" fontId="19" fillId="2" borderId="15" xfId="0" applyNumberFormat="1" applyFont="1" applyFill="1" applyBorder="1" applyAlignment="1"/>
    <xf numFmtId="176" fontId="0" fillId="2" borderId="9" xfId="0" applyNumberFormat="1" applyFill="1" applyBorder="1" applyAlignment="1"/>
    <xf numFmtId="176" fontId="13" fillId="2" borderId="9" xfId="0" applyNumberFormat="1" applyFont="1" applyFill="1" applyBorder="1" applyAlignment="1"/>
    <xf numFmtId="176" fontId="0" fillId="0" borderId="9" xfId="0" applyNumberFormat="1" applyBorder="1" applyAlignment="1"/>
    <xf numFmtId="176" fontId="13" fillId="0" borderId="9" xfId="0" applyNumberFormat="1" applyFont="1" applyBorder="1" applyAlignment="1"/>
    <xf numFmtId="10" fontId="14" fillId="0" borderId="0" xfId="3" applyNumberFormat="1" applyFont="1" applyBorder="1" applyAlignment="1"/>
    <xf numFmtId="0" fontId="27" fillId="0" borderId="7" xfId="0" applyFont="1" applyBorder="1" applyAlignment="1">
      <alignment horizontal="left"/>
    </xf>
    <xf numFmtId="0" fontId="28" fillId="0" borderId="13" xfId="0" applyFont="1" applyBorder="1" applyAlignment="1">
      <alignment horizontal="centerContinuous"/>
    </xf>
    <xf numFmtId="0" fontId="29" fillId="0" borderId="13" xfId="0" applyFont="1" applyBorder="1" applyAlignment="1">
      <alignment horizontal="centerContinuous"/>
    </xf>
    <xf numFmtId="0" fontId="29" fillId="0" borderId="15" xfId="0" applyFont="1" applyBorder="1" applyAlignment="1">
      <alignment horizontal="centerContinuous"/>
    </xf>
    <xf numFmtId="0" fontId="30" fillId="0" borderId="0" xfId="0" applyFont="1" applyAlignment="1"/>
    <xf numFmtId="0" fontId="27" fillId="0" borderId="6" xfId="0" applyFont="1" applyBorder="1" applyAlignment="1">
      <alignment horizontal="left"/>
    </xf>
    <xf numFmtId="0" fontId="28" fillId="0" borderId="12" xfId="0" applyFont="1" applyBorder="1" applyAlignment="1">
      <alignment horizontal="centerContinuous"/>
    </xf>
    <xf numFmtId="0" fontId="29" fillId="0" borderId="12" xfId="0" applyFont="1" applyBorder="1" applyAlignment="1">
      <alignment horizontal="centerContinuous"/>
    </xf>
    <xf numFmtId="0" fontId="29" fillId="0" borderId="14" xfId="0" applyFont="1" applyBorder="1" applyAlignment="1">
      <alignment horizontal="centerContinuous"/>
    </xf>
    <xf numFmtId="0" fontId="9" fillId="0" borderId="4" xfId="0" quotePrefix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/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quotePrefix="1" applyFont="1" applyBorder="1" applyAlignment="1">
      <alignment horizontal="center"/>
    </xf>
    <xf numFmtId="0" fontId="9" fillId="2" borderId="5" xfId="0" quotePrefix="1" applyFont="1" applyFill="1" applyBorder="1" applyAlignment="1">
      <alignment horizontal="center"/>
    </xf>
    <xf numFmtId="0" fontId="9" fillId="2" borderId="4" xfId="0" quotePrefix="1" applyFont="1" applyFill="1" applyBorder="1" applyAlignment="1">
      <alignment horizontal="center"/>
    </xf>
    <xf numFmtId="0" fontId="9" fillId="2" borderId="8" xfId="0" quotePrefix="1" applyFont="1" applyFill="1" applyBorder="1" applyAlignment="1">
      <alignment horizontal="center"/>
    </xf>
    <xf numFmtId="0" fontId="9" fillId="2" borderId="13" xfId="0" applyFont="1" applyFill="1" applyBorder="1" applyAlignment="1"/>
    <xf numFmtId="0" fontId="9" fillId="2" borderId="7" xfId="0" applyFont="1" applyFill="1" applyBorder="1" applyAlignment="1"/>
    <xf numFmtId="0" fontId="9" fillId="2" borderId="8" xfId="0" applyFont="1" applyFill="1" applyBorder="1" applyAlignment="1"/>
    <xf numFmtId="0" fontId="9" fillId="2" borderId="5" xfId="0" applyFont="1" applyFill="1" applyBorder="1" applyAlignment="1">
      <alignment horizontal="center"/>
    </xf>
    <xf numFmtId="176" fontId="9" fillId="2" borderId="4" xfId="0" applyNumberFormat="1" applyFont="1" applyFill="1" applyBorder="1" applyAlignment="1">
      <alignment horizontal="center"/>
    </xf>
    <xf numFmtId="176" fontId="9" fillId="2" borderId="9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176" fontId="9" fillId="2" borderId="12" xfId="0" applyNumberFormat="1" applyFont="1" applyFill="1" applyBorder="1" applyAlignment="1"/>
    <xf numFmtId="10" fontId="9" fillId="2" borderId="6" xfId="3" applyNumberFormat="1" applyFont="1" applyFill="1" applyBorder="1" applyAlignment="1"/>
    <xf numFmtId="176" fontId="9" fillId="2" borderId="6" xfId="0" applyNumberFormat="1" applyFont="1" applyFill="1" applyBorder="1" applyAlignment="1"/>
    <xf numFmtId="2" fontId="9" fillId="0" borderId="9" xfId="0" applyNumberFormat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176" fontId="9" fillId="0" borderId="1" xfId="0" quotePrefix="1" applyNumberFormat="1" applyFont="1" applyBorder="1" applyAlignment="1">
      <alignment horizontal="center"/>
    </xf>
    <xf numFmtId="176" fontId="9" fillId="0" borderId="6" xfId="0" applyNumberFormat="1" applyFont="1" applyBorder="1" applyAlignment="1"/>
    <xf numFmtId="176" fontId="9" fillId="0" borderId="10" xfId="0" applyNumberFormat="1" applyFont="1" applyBorder="1" applyAlignment="1"/>
    <xf numFmtId="10" fontId="9" fillId="0" borderId="6" xfId="3" applyNumberFormat="1" applyFont="1" applyBorder="1" applyAlignment="1"/>
    <xf numFmtId="0" fontId="9" fillId="2" borderId="10" xfId="0" quotePrefix="1" applyFont="1" applyFill="1" applyBorder="1" applyAlignment="1">
      <alignment horizontal="center"/>
    </xf>
    <xf numFmtId="176" fontId="9" fillId="2" borderId="10" xfId="0" quotePrefix="1" applyNumberFormat="1" applyFont="1" applyFill="1" applyBorder="1" applyAlignment="1">
      <alignment horizontal="center"/>
    </xf>
    <xf numFmtId="176" fontId="9" fillId="2" borderId="10" xfId="0" applyNumberFormat="1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10" xfId="0" quotePrefix="1" applyNumberFormat="1" applyFont="1" applyBorder="1" applyAlignment="1">
      <alignment horizontal="center" vertical="center"/>
    </xf>
    <xf numFmtId="0" fontId="9" fillId="2" borderId="0" xfId="0" quotePrefix="1" applyFont="1" applyFill="1" applyAlignment="1">
      <alignment horizontal="center"/>
    </xf>
    <xf numFmtId="176" fontId="9" fillId="2" borderId="0" xfId="0" quotePrefix="1" applyNumberFormat="1" applyFont="1" applyFill="1" applyAlignment="1"/>
    <xf numFmtId="176" fontId="9" fillId="2" borderId="0" xfId="0" quotePrefix="1" applyNumberFormat="1" applyFont="1" applyFill="1" applyAlignment="1">
      <alignment horizontal="center"/>
    </xf>
    <xf numFmtId="2" fontId="9" fillId="2" borderId="0" xfId="0" applyNumberFormat="1" applyFont="1" applyFill="1" applyAlignment="1">
      <alignment horizontal="center"/>
    </xf>
    <xf numFmtId="176" fontId="9" fillId="0" borderId="0" xfId="0" quotePrefix="1" applyNumberFormat="1" applyFont="1" applyAlignment="1">
      <alignment horizontal="center"/>
    </xf>
    <xf numFmtId="10" fontId="9" fillId="2" borderId="0" xfId="3" applyNumberFormat="1" applyFont="1" applyFill="1" applyBorder="1" applyAlignment="1"/>
    <xf numFmtId="2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Continuous"/>
    </xf>
    <xf numFmtId="0" fontId="32" fillId="0" borderId="0" xfId="0" applyFont="1" applyAlignment="1">
      <alignment horizontal="centerContinuous"/>
    </xf>
    <xf numFmtId="10" fontId="33" fillId="0" borderId="0" xfId="0" applyNumberFormat="1" applyFont="1" applyAlignment="1">
      <alignment horizontal="centerContinuous"/>
    </xf>
    <xf numFmtId="10" fontId="33" fillId="0" borderId="0" xfId="0" applyNumberFormat="1" applyFont="1" applyAlignment="1">
      <alignment horizontal="center"/>
    </xf>
    <xf numFmtId="0" fontId="34" fillId="0" borderId="0" xfId="0" applyFont="1" applyAlignment="1"/>
    <xf numFmtId="0" fontId="35" fillId="0" borderId="0" xfId="0" applyFont="1" applyAlignment="1"/>
    <xf numFmtId="10" fontId="36" fillId="0" borderId="0" xfId="0" applyNumberFormat="1" applyFont="1" applyAlignment="1"/>
    <xf numFmtId="10" fontId="36" fillId="0" borderId="12" xfId="0" applyNumberFormat="1" applyFont="1" applyBorder="1" applyAlignment="1">
      <alignment horizontal="center"/>
    </xf>
    <xf numFmtId="0" fontId="37" fillId="0" borderId="7" xfId="0" applyFont="1" applyBorder="1" applyAlignment="1">
      <alignment horizontal="left"/>
    </xf>
    <xf numFmtId="0" fontId="37" fillId="0" borderId="13" xfId="0" applyFont="1" applyBorder="1" applyAlignment="1">
      <alignment horizontal="centerContinuous"/>
    </xf>
    <xf numFmtId="0" fontId="38" fillId="0" borderId="13" xfId="0" applyFont="1" applyBorder="1" applyAlignment="1">
      <alignment horizontal="centerContinuous"/>
    </xf>
    <xf numFmtId="0" fontId="34" fillId="0" borderId="15" xfId="0" applyFont="1" applyBorder="1" applyAlignment="1"/>
    <xf numFmtId="0" fontId="37" fillId="0" borderId="6" xfId="0" applyFont="1" applyBorder="1" applyAlignment="1">
      <alignment horizontal="left"/>
    </xf>
    <xf numFmtId="0" fontId="37" fillId="0" borderId="12" xfId="0" applyFont="1" applyBorder="1" applyAlignment="1">
      <alignment horizontal="centerContinuous"/>
    </xf>
    <xf numFmtId="0" fontId="38" fillId="0" borderId="12" xfId="0" applyFont="1" applyBorder="1" applyAlignment="1">
      <alignment horizontal="centerContinuous"/>
    </xf>
    <xf numFmtId="0" fontId="34" fillId="0" borderId="14" xfId="0" applyFont="1" applyBorder="1" applyAlignment="1"/>
    <xf numFmtId="0" fontId="34" fillId="0" borderId="4" xfId="0" quotePrefix="1" applyFont="1" applyBorder="1" applyAlignment="1">
      <alignment horizontal="center"/>
    </xf>
    <xf numFmtId="0" fontId="34" fillId="0" borderId="6" xfId="0" applyFont="1" applyBorder="1" applyAlignment="1">
      <alignment horizontal="center"/>
    </xf>
    <xf numFmtId="0" fontId="34" fillId="0" borderId="14" xfId="0" quotePrefix="1" applyFont="1" applyBorder="1" applyAlignment="1">
      <alignment horizontal="center"/>
    </xf>
    <xf numFmtId="43" fontId="40" fillId="0" borderId="9" xfId="0" applyNumberFormat="1" applyFont="1" applyBorder="1" applyAlignment="1">
      <alignment horizontal="center"/>
    </xf>
    <xf numFmtId="0" fontId="34" fillId="2" borderId="4" xfId="0" applyFont="1" applyFill="1" applyBorder="1" applyAlignment="1">
      <alignment horizontal="center"/>
    </xf>
    <xf numFmtId="0" fontId="34" fillId="2" borderId="7" xfId="0" applyFont="1" applyFill="1" applyBorder="1" applyAlignment="1"/>
    <xf numFmtId="0" fontId="34" fillId="2" borderId="13" xfId="0" applyFont="1" applyFill="1" applyBorder="1" applyAlignment="1"/>
    <xf numFmtId="43" fontId="39" fillId="2" borderId="15" xfId="0" applyNumberFormat="1" applyFont="1" applyFill="1" applyBorder="1" applyAlignment="1"/>
    <xf numFmtId="176" fontId="34" fillId="2" borderId="6" xfId="0" applyNumberFormat="1" applyFont="1" applyFill="1" applyBorder="1" applyAlignment="1"/>
    <xf numFmtId="176" fontId="34" fillId="2" borderId="12" xfId="0" applyNumberFormat="1" applyFont="1" applyFill="1" applyBorder="1" applyAlignment="1"/>
    <xf numFmtId="0" fontId="34" fillId="0" borderId="10" xfId="0" quotePrefix="1" applyFont="1" applyBorder="1" applyAlignment="1">
      <alignment horizontal="center"/>
    </xf>
    <xf numFmtId="176" fontId="34" fillId="0" borderId="6" xfId="0" applyNumberFormat="1" applyFont="1" applyBorder="1" applyAlignment="1"/>
    <xf numFmtId="176" fontId="34" fillId="0" borderId="10" xfId="0" applyNumberFormat="1" applyFont="1" applyBorder="1" applyAlignment="1"/>
    <xf numFmtId="0" fontId="34" fillId="0" borderId="10" xfId="0" applyFont="1" applyBorder="1" applyAlignment="1">
      <alignment horizontal="center"/>
    </xf>
    <xf numFmtId="0" fontId="34" fillId="2" borderId="10" xfId="0" quotePrefix="1" applyFont="1" applyFill="1" applyBorder="1" applyAlignment="1">
      <alignment horizontal="center"/>
    </xf>
    <xf numFmtId="176" fontId="34" fillId="2" borderId="10" xfId="0" applyNumberFormat="1" applyFont="1" applyFill="1" applyBorder="1" applyAlignment="1"/>
    <xf numFmtId="0" fontId="34" fillId="2" borderId="10" xfId="0" applyFont="1" applyFill="1" applyBorder="1" applyAlignment="1">
      <alignment horizontal="center"/>
    </xf>
    <xf numFmtId="0" fontId="34" fillId="2" borderId="0" xfId="0" quotePrefix="1" applyFont="1" applyFill="1" applyAlignment="1">
      <alignment horizontal="center"/>
    </xf>
    <xf numFmtId="176" fontId="34" fillId="2" borderId="0" xfId="0" applyNumberFormat="1" applyFont="1" applyFill="1" applyAlignment="1"/>
    <xf numFmtId="176" fontId="35" fillId="0" borderId="0" xfId="0" applyNumberFormat="1" applyFont="1" applyAlignment="1"/>
    <xf numFmtId="10" fontId="36" fillId="0" borderId="0" xfId="3" applyNumberFormat="1" applyFont="1" applyBorder="1" applyAlignment="1">
      <alignment horizontal="center"/>
    </xf>
    <xf numFmtId="0" fontId="34" fillId="0" borderId="0" xfId="0" applyFont="1" applyAlignment="1">
      <alignment horizontal="left"/>
    </xf>
    <xf numFmtId="10" fontId="36" fillId="0" borderId="0" xfId="0" applyNumberFormat="1" applyFont="1" applyAlignment="1">
      <alignment horizontal="center"/>
    </xf>
    <xf numFmtId="0" fontId="43" fillId="0" borderId="0" xfId="0" applyFont="1" applyAlignment="1">
      <alignment horizontal="centerContinuous"/>
    </xf>
    <xf numFmtId="0" fontId="44" fillId="0" borderId="0" xfId="0" applyFont="1" applyAlignment="1">
      <alignment horizontal="centerContinuous"/>
    </xf>
    <xf numFmtId="0" fontId="43" fillId="0" borderId="0" xfId="0" applyFont="1" applyAlignment="1"/>
    <xf numFmtId="0" fontId="44" fillId="0" borderId="0" xfId="0" applyFont="1" applyAlignment="1"/>
    <xf numFmtId="0" fontId="43" fillId="0" borderId="2" xfId="0" applyFont="1" applyBorder="1" applyAlignment="1"/>
    <xf numFmtId="0" fontId="44" fillId="0" borderId="2" xfId="0" applyFont="1" applyBorder="1" applyAlignment="1"/>
    <xf numFmtId="0" fontId="45" fillId="0" borderId="2" xfId="0" applyFont="1" applyBorder="1" applyAlignment="1"/>
    <xf numFmtId="10" fontId="18" fillId="0" borderId="10" xfId="3" applyNumberFormat="1" applyFont="1" applyBorder="1" applyAlignment="1">
      <alignment horizontal="center"/>
    </xf>
    <xf numFmtId="10" fontId="44" fillId="2" borderId="0" xfId="3" applyNumberFormat="1" applyFont="1" applyFill="1" applyBorder="1" applyAlignment="1"/>
    <xf numFmtId="176" fontId="43" fillId="0" borderId="2" xfId="0" applyNumberFormat="1" applyFont="1" applyBorder="1" applyAlignment="1"/>
    <xf numFmtId="10" fontId="44" fillId="0" borderId="2" xfId="3" applyNumberFormat="1" applyFont="1" applyBorder="1" applyAlignment="1"/>
    <xf numFmtId="176" fontId="45" fillId="0" borderId="2" xfId="0" applyNumberFormat="1" applyFont="1" applyBorder="1" applyAlignment="1"/>
    <xf numFmtId="176" fontId="46" fillId="0" borderId="0" xfId="0" applyNumberFormat="1" applyFont="1" applyAlignment="1">
      <alignment horizontal="centerContinuous"/>
    </xf>
    <xf numFmtId="0" fontId="46" fillId="0" borderId="0" xfId="0" applyFont="1" applyAlignment="1"/>
    <xf numFmtId="176" fontId="46" fillId="0" borderId="0" xfId="0" applyNumberFormat="1" applyFont="1" applyAlignment="1"/>
    <xf numFmtId="0" fontId="46" fillId="0" borderId="0" xfId="0" quotePrefix="1" applyFont="1" applyAlignment="1">
      <alignment horizontal="left"/>
    </xf>
    <xf numFmtId="176" fontId="8" fillId="0" borderId="0" xfId="0" applyNumberFormat="1" applyFont="1" applyAlignment="1"/>
    <xf numFmtId="0" fontId="46" fillId="0" borderId="10" xfId="0" quotePrefix="1" applyFont="1" applyBorder="1" applyAlignment="1">
      <alignment horizontal="center"/>
    </xf>
    <xf numFmtId="0" fontId="46" fillId="0" borderId="1" xfId="0" quotePrefix="1" applyFont="1" applyBorder="1" applyAlignment="1">
      <alignment horizontal="center"/>
    </xf>
    <xf numFmtId="176" fontId="46" fillId="0" borderId="3" xfId="0" applyNumberFormat="1" applyFont="1" applyBorder="1" applyAlignment="1">
      <alignment horizontal="center"/>
    </xf>
    <xf numFmtId="176" fontId="46" fillId="0" borderId="10" xfId="0" quotePrefix="1" applyNumberFormat="1" applyFont="1" applyBorder="1" applyAlignment="1">
      <alignment horizontal="center"/>
    </xf>
    <xf numFmtId="0" fontId="46" fillId="3" borderId="5" xfId="0" quotePrefix="1" applyFont="1" applyFill="1" applyBorder="1" applyAlignment="1">
      <alignment horizontal="left"/>
    </xf>
    <xf numFmtId="176" fontId="8" fillId="3" borderId="11" xfId="0" applyNumberFormat="1" applyFont="1" applyFill="1" applyBorder="1" applyAlignment="1">
      <alignment horizontal="center"/>
    </xf>
    <xf numFmtId="0" fontId="46" fillId="0" borderId="5" xfId="0" applyFont="1" applyBorder="1" applyAlignment="1"/>
    <xf numFmtId="178" fontId="8" fillId="0" borderId="11" xfId="2" applyNumberFormat="1" applyFont="1" applyBorder="1" applyAlignment="1"/>
    <xf numFmtId="0" fontId="46" fillId="3" borderId="5" xfId="0" applyFont="1" applyFill="1" applyBorder="1" applyAlignment="1">
      <alignment horizontal="left"/>
    </xf>
    <xf numFmtId="0" fontId="46" fillId="4" borderId="5" xfId="0" applyFont="1" applyFill="1" applyBorder="1" applyAlignment="1">
      <alignment horizontal="left"/>
    </xf>
    <xf numFmtId="0" fontId="46" fillId="0" borderId="5" xfId="0" quotePrefix="1" applyFont="1" applyBorder="1" applyAlignment="1">
      <alignment horizontal="left"/>
    </xf>
    <xf numFmtId="0" fontId="46" fillId="0" borderId="5" xfId="0" applyFont="1" applyBorder="1" applyAlignment="1">
      <alignment horizontal="left"/>
    </xf>
    <xf numFmtId="0" fontId="46" fillId="0" borderId="2" xfId="0" quotePrefix="1" applyFont="1" applyBorder="1" applyAlignment="1">
      <alignment horizontal="center"/>
    </xf>
    <xf numFmtId="176" fontId="8" fillId="0" borderId="2" xfId="0" applyNumberFormat="1" applyFont="1" applyBorder="1" applyAlignment="1"/>
    <xf numFmtId="178" fontId="25" fillId="0" borderId="3" xfId="2" applyNumberFormat="1" applyFont="1" applyBorder="1" applyAlignment="1"/>
    <xf numFmtId="0" fontId="47" fillId="0" borderId="0" xfId="0" applyFont="1" applyAlignment="1">
      <alignment horizontal="centerContinuous"/>
    </xf>
    <xf numFmtId="176" fontId="47" fillId="0" borderId="0" xfId="0" applyNumberFormat="1" applyFont="1" applyAlignment="1">
      <alignment horizontal="centerContinuous"/>
    </xf>
    <xf numFmtId="176" fontId="48" fillId="0" borderId="0" xfId="0" applyNumberFormat="1" applyFont="1" applyAlignment="1">
      <alignment horizontal="centerContinuous"/>
    </xf>
    <xf numFmtId="176" fontId="49" fillId="0" borderId="0" xfId="0" applyNumberFormat="1" applyFont="1" applyAlignment="1">
      <alignment horizontal="centerContinuous"/>
    </xf>
    <xf numFmtId="176" fontId="50" fillId="0" borderId="0" xfId="0" applyNumberFormat="1" applyFont="1" applyAlignment="1"/>
    <xf numFmtId="176" fontId="51" fillId="0" borderId="0" xfId="0" applyNumberFormat="1" applyFont="1" applyAlignment="1"/>
    <xf numFmtId="10" fontId="18" fillId="0" borderId="8" xfId="0" applyNumberFormat="1" applyFont="1" applyBorder="1" applyAlignment="1">
      <alignment horizontal="center"/>
    </xf>
    <xf numFmtId="0" fontId="46" fillId="3" borderId="8" xfId="0" quotePrefix="1" applyFont="1" applyFill="1" applyBorder="1" applyAlignment="1">
      <alignment horizontal="left"/>
    </xf>
    <xf numFmtId="176" fontId="7" fillId="3" borderId="8" xfId="0" applyNumberFormat="1" applyFont="1" applyFill="1" applyBorder="1" applyAlignment="1">
      <alignment horizontal="center"/>
    </xf>
    <xf numFmtId="176" fontId="13" fillId="3" borderId="8" xfId="0" applyNumberFormat="1" applyFont="1" applyFill="1" applyBorder="1" applyAlignment="1">
      <alignment horizontal="center"/>
    </xf>
    <xf numFmtId="176" fontId="14" fillId="3" borderId="8" xfId="0" applyNumberFormat="1" applyFont="1" applyFill="1" applyBorder="1" applyAlignment="1">
      <alignment horizontal="center"/>
    </xf>
    <xf numFmtId="176" fontId="14" fillId="3" borderId="5" xfId="0" applyNumberFormat="1" applyFont="1" applyFill="1" applyBorder="1" applyAlignment="1">
      <alignment horizontal="center"/>
    </xf>
    <xf numFmtId="176" fontId="7" fillId="0" borderId="5" xfId="0" applyNumberFormat="1" applyFont="1" applyBorder="1" applyAlignment="1"/>
    <xf numFmtId="176" fontId="13" fillId="0" borderId="5" xfId="0" applyNumberFormat="1" applyFont="1" applyBorder="1" applyAlignment="1"/>
    <xf numFmtId="178" fontId="13" fillId="0" borderId="5" xfId="2" applyNumberFormat="1" applyFont="1" applyBorder="1" applyAlignment="1"/>
    <xf numFmtId="176" fontId="7" fillId="0" borderId="5" xfId="0" applyNumberFormat="1" applyFont="1" applyBorder="1" applyAlignment="1">
      <alignment horizontal="left"/>
    </xf>
    <xf numFmtId="178" fontId="7" fillId="0" borderId="5" xfId="2" applyNumberFormat="1" applyFont="1" applyBorder="1" applyAlignment="1"/>
    <xf numFmtId="178" fontId="7" fillId="3" borderId="5" xfId="2" applyNumberFormat="1" applyFont="1" applyFill="1" applyBorder="1" applyAlignment="1"/>
    <xf numFmtId="176" fontId="7" fillId="3" borderId="5" xfId="0" applyNumberFormat="1" applyFont="1" applyFill="1" applyBorder="1" applyAlignment="1"/>
    <xf numFmtId="176" fontId="7" fillId="0" borderId="5" xfId="0" applyNumberFormat="1" applyFont="1" applyBorder="1" applyAlignment="1">
      <alignment horizontal="right"/>
    </xf>
    <xf numFmtId="178" fontId="13" fillId="4" borderId="5" xfId="2" applyNumberFormat="1" applyFont="1" applyFill="1" applyBorder="1" applyAlignment="1"/>
    <xf numFmtId="176" fontId="7" fillId="4" borderId="5" xfId="0" applyNumberFormat="1" applyFont="1" applyFill="1" applyBorder="1" applyAlignment="1"/>
    <xf numFmtId="178" fontId="7" fillId="4" borderId="5" xfId="2" applyNumberFormat="1" applyFont="1" applyFill="1" applyBorder="1" applyAlignment="1"/>
    <xf numFmtId="176" fontId="13" fillId="4" borderId="5" xfId="0" applyNumberFormat="1" applyFont="1" applyFill="1" applyBorder="1" applyAlignment="1"/>
    <xf numFmtId="176" fontId="23" fillId="4" borderId="5" xfId="0" applyNumberFormat="1" applyFont="1" applyFill="1" applyBorder="1" applyAlignment="1"/>
    <xf numFmtId="0" fontId="46" fillId="0" borderId="9" xfId="0" quotePrefix="1" applyFont="1" applyBorder="1" applyAlignment="1">
      <alignment horizontal="center"/>
    </xf>
    <xf numFmtId="176" fontId="7" fillId="0" borderId="9" xfId="0" applyNumberFormat="1" applyFont="1" applyBorder="1" applyAlignment="1"/>
    <xf numFmtId="176" fontId="16" fillId="0" borderId="0" xfId="0" applyNumberFormat="1" applyFont="1" applyAlignment="1"/>
    <xf numFmtId="176" fontId="18" fillId="0" borderId="0" xfId="0" applyNumberFormat="1" applyFont="1" applyAlignment="1"/>
    <xf numFmtId="0" fontId="52" fillId="0" borderId="0" xfId="0" applyFont="1" applyAlignment="1">
      <alignment horizontal="centerContinuous"/>
    </xf>
    <xf numFmtId="176" fontId="8" fillId="0" borderId="0" xfId="0" applyNumberFormat="1" applyFont="1" applyAlignment="1">
      <alignment horizontal="centerContinuous"/>
    </xf>
    <xf numFmtId="0" fontId="8" fillId="0" borderId="0" xfId="0" applyFont="1" applyAlignment="1">
      <alignment horizontal="centerContinuous"/>
    </xf>
    <xf numFmtId="176" fontId="8" fillId="0" borderId="10" xfId="0" applyNumberFormat="1" applyFont="1" applyBorder="1" applyAlignment="1">
      <alignment horizontal="center"/>
    </xf>
    <xf numFmtId="0" fontId="8" fillId="0" borderId="4" xfId="0" applyFont="1" applyBorder="1" applyAlignment="1"/>
    <xf numFmtId="0" fontId="8" fillId="0" borderId="10" xfId="0" applyFont="1" applyBorder="1" applyAlignment="1">
      <alignment horizontal="right"/>
    </xf>
    <xf numFmtId="176" fontId="8" fillId="0" borderId="10" xfId="0" quotePrefix="1" applyNumberFormat="1" applyFont="1" applyBorder="1" applyAlignment="1">
      <alignment horizontal="left"/>
    </xf>
    <xf numFmtId="176" fontId="8" fillId="0" borderId="10" xfId="0" applyNumberFormat="1" applyFont="1" applyBorder="1" applyAlignment="1"/>
    <xf numFmtId="0" fontId="34" fillId="0" borderId="10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10" xfId="0" quotePrefix="1" applyFont="1" applyBorder="1" applyAlignment="1">
      <alignment horizontal="right"/>
    </xf>
    <xf numFmtId="176" fontId="53" fillId="0" borderId="10" xfId="4" applyNumberFormat="1" applyFont="1" applyBorder="1"/>
    <xf numFmtId="176" fontId="53" fillId="0" borderId="8" xfId="4" applyNumberFormat="1" applyFont="1" applyBorder="1"/>
    <xf numFmtId="176" fontId="53" fillId="0" borderId="9" xfId="4" applyNumberFormat="1" applyFont="1" applyBorder="1"/>
    <xf numFmtId="180" fontId="13" fillId="0" borderId="10" xfId="1" applyNumberFormat="1" applyFont="1" applyFill="1" applyBorder="1" applyAlignment="1"/>
    <xf numFmtId="180" fontId="53" fillId="0" borderId="10" xfId="1" applyNumberFormat="1" applyFont="1" applyFill="1" applyBorder="1" applyAlignment="1"/>
    <xf numFmtId="180" fontId="53" fillId="0" borderId="3" xfId="1" applyNumberFormat="1" applyFont="1" applyFill="1" applyBorder="1" applyAlignment="1"/>
    <xf numFmtId="176" fontId="13" fillId="0" borderId="10" xfId="4" applyNumberFormat="1" applyFont="1" applyBorder="1"/>
    <xf numFmtId="176" fontId="54" fillId="0" borderId="10" xfId="4" applyNumberFormat="1" applyFont="1" applyBorder="1"/>
    <xf numFmtId="176" fontId="55" fillId="0" borderId="10" xfId="0" applyNumberFormat="1" applyFont="1" applyBorder="1" applyAlignment="1"/>
    <xf numFmtId="176" fontId="56" fillId="0" borderId="0" xfId="4" applyNumberFormat="1" applyFont="1"/>
    <xf numFmtId="176" fontId="7" fillId="0" borderId="0" xfId="4" applyNumberFormat="1"/>
    <xf numFmtId="176" fontId="7" fillId="0" borderId="0" xfId="4" applyNumberFormat="1" applyAlignment="1">
      <alignment horizontal="right"/>
    </xf>
    <xf numFmtId="179" fontId="7" fillId="0" borderId="0" xfId="5" applyNumberFormat="1" applyFont="1" applyAlignment="1">
      <alignment horizontal="right"/>
    </xf>
    <xf numFmtId="0" fontId="60" fillId="0" borderId="0" xfId="4" applyFont="1"/>
    <xf numFmtId="176" fontId="8" fillId="0" borderId="0" xfId="4" applyNumberFormat="1" applyFont="1"/>
    <xf numFmtId="176" fontId="8" fillId="0" borderId="0" xfId="4" quotePrefix="1" applyNumberFormat="1" applyFont="1"/>
    <xf numFmtId="176" fontId="8" fillId="0" borderId="10" xfId="4" applyNumberFormat="1" applyFont="1" applyBorder="1" applyAlignment="1">
      <alignment horizontal="centerContinuous"/>
    </xf>
    <xf numFmtId="176" fontId="9" fillId="0" borderId="1" xfId="4" applyNumberFormat="1" applyFont="1" applyBorder="1" applyAlignment="1">
      <alignment horizontal="centerContinuous"/>
    </xf>
    <xf numFmtId="176" fontId="7" fillId="0" borderId="3" xfId="4" applyNumberFormat="1" applyBorder="1" applyAlignment="1">
      <alignment horizontal="centerContinuous"/>
    </xf>
    <xf numFmtId="176" fontId="9" fillId="0" borderId="1" xfId="4" applyNumberFormat="1" applyFont="1" applyBorder="1" applyAlignment="1">
      <alignment horizontal="right"/>
    </xf>
    <xf numFmtId="179" fontId="7" fillId="0" borderId="3" xfId="5" applyNumberFormat="1" applyFont="1" applyBorder="1" applyAlignment="1">
      <alignment horizontal="right"/>
    </xf>
    <xf numFmtId="176" fontId="8" fillId="0" borderId="10" xfId="4" quotePrefix="1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right"/>
    </xf>
    <xf numFmtId="179" fontId="9" fillId="0" borderId="10" xfId="5" applyNumberFormat="1" applyFont="1" applyBorder="1" applyAlignment="1">
      <alignment horizontal="right"/>
    </xf>
    <xf numFmtId="176" fontId="8" fillId="0" borderId="9" xfId="4" quotePrefix="1" applyNumberFormat="1" applyFont="1" applyBorder="1" applyAlignment="1">
      <alignment horizontal="center"/>
    </xf>
    <xf numFmtId="176" fontId="7" fillId="0" borderId="9" xfId="4" applyNumberFormat="1" applyBorder="1" applyAlignment="1">
      <alignment horizontal="center"/>
    </xf>
    <xf numFmtId="176" fontId="7" fillId="0" borderId="9" xfId="4" applyNumberFormat="1" applyBorder="1" applyAlignment="1">
      <alignment horizontal="right"/>
    </xf>
    <xf numFmtId="179" fontId="7" fillId="0" borderId="9" xfId="5" applyNumberFormat="1" applyFont="1" applyBorder="1" applyAlignment="1">
      <alignment horizontal="right"/>
    </xf>
    <xf numFmtId="176" fontId="8" fillId="5" borderId="9" xfId="4" applyNumberFormat="1" applyFont="1" applyFill="1" applyBorder="1" applyAlignment="1">
      <alignment horizontal="right"/>
    </xf>
    <xf numFmtId="176" fontId="7" fillId="5" borderId="9" xfId="4" applyNumberFormat="1" applyFill="1" applyBorder="1"/>
    <xf numFmtId="176" fontId="7" fillId="5" borderId="9" xfId="4" applyNumberFormat="1" applyFill="1" applyBorder="1" applyAlignment="1">
      <alignment horizontal="right"/>
    </xf>
    <xf numFmtId="179" fontId="7" fillId="5" borderId="9" xfId="5" applyNumberFormat="1" applyFont="1" applyFill="1" applyBorder="1" applyAlignment="1">
      <alignment horizontal="right"/>
    </xf>
    <xf numFmtId="176" fontId="8" fillId="0" borderId="9" xfId="4" applyNumberFormat="1" applyFont="1" applyBorder="1" applyAlignment="1">
      <alignment horizontal="right"/>
    </xf>
    <xf numFmtId="176" fontId="7" fillId="0" borderId="9" xfId="4" applyNumberFormat="1" applyBorder="1"/>
    <xf numFmtId="176" fontId="61" fillId="6" borderId="9" xfId="4" applyNumberFormat="1" applyFont="1" applyFill="1" applyBorder="1" applyAlignment="1">
      <alignment horizontal="right"/>
    </xf>
    <xf numFmtId="176" fontId="62" fillId="6" borderId="9" xfId="4" applyNumberFormat="1" applyFont="1" applyFill="1" applyBorder="1"/>
    <xf numFmtId="176" fontId="62" fillId="6" borderId="9" xfId="4" applyNumberFormat="1" applyFont="1" applyFill="1" applyBorder="1" applyAlignment="1">
      <alignment horizontal="right"/>
    </xf>
    <xf numFmtId="179" fontId="62" fillId="6" borderId="9" xfId="5" applyNumberFormat="1" applyFont="1" applyFill="1" applyBorder="1" applyAlignment="1">
      <alignment horizontal="right"/>
    </xf>
    <xf numFmtId="176" fontId="8" fillId="0" borderId="10" xfId="4" quotePrefix="1" applyNumberFormat="1" applyFont="1" applyBorder="1" applyAlignment="1">
      <alignment horizontal="right"/>
    </xf>
    <xf numFmtId="176" fontId="7" fillId="0" borderId="10" xfId="4" applyNumberFormat="1" applyBorder="1"/>
    <xf numFmtId="176" fontId="7" fillId="0" borderId="10" xfId="4" applyNumberFormat="1" applyBorder="1" applyAlignment="1">
      <alignment horizontal="right"/>
    </xf>
    <xf numFmtId="179" fontId="7" fillId="0" borderId="10" xfId="5" applyNumberFormat="1" applyFont="1" applyBorder="1" applyAlignment="1">
      <alignment horizontal="right"/>
    </xf>
    <xf numFmtId="176" fontId="8" fillId="0" borderId="10" xfId="4" applyNumberFormat="1" applyFont="1" applyBorder="1" applyAlignment="1">
      <alignment horizontal="right"/>
    </xf>
    <xf numFmtId="179" fontId="0" fillId="0" borderId="10" xfId="5" applyNumberFormat="1" applyFont="1" applyBorder="1" applyAlignment="1">
      <alignment horizontal="right"/>
    </xf>
    <xf numFmtId="176" fontId="63" fillId="0" borderId="10" xfId="4" applyNumberFormat="1" applyFont="1" applyBorder="1" applyAlignment="1">
      <alignment horizontal="right"/>
    </xf>
    <xf numFmtId="176" fontId="16" fillId="6" borderId="9" xfId="4" applyNumberFormat="1" applyFont="1" applyFill="1" applyBorder="1" applyAlignment="1">
      <alignment horizontal="right"/>
    </xf>
    <xf numFmtId="176" fontId="13" fillId="6" borderId="9" xfId="4" applyNumberFormat="1" applyFont="1" applyFill="1" applyBorder="1"/>
    <xf numFmtId="176" fontId="13" fillId="6" borderId="9" xfId="4" applyNumberFormat="1" applyFont="1" applyFill="1" applyBorder="1" applyAlignment="1">
      <alignment horizontal="right"/>
    </xf>
    <xf numFmtId="179" fontId="13" fillId="6" borderId="9" xfId="5" applyNumberFormat="1" applyFont="1" applyFill="1" applyBorder="1" applyAlignment="1">
      <alignment horizontal="right"/>
    </xf>
    <xf numFmtId="176" fontId="16" fillId="7" borderId="9" xfId="4" applyNumberFormat="1" applyFont="1" applyFill="1" applyBorder="1" applyAlignment="1">
      <alignment horizontal="right"/>
    </xf>
    <xf numFmtId="176" fontId="13" fillId="7" borderId="9" xfId="4" applyNumberFormat="1" applyFont="1" applyFill="1" applyBorder="1"/>
    <xf numFmtId="176" fontId="13" fillId="7" borderId="9" xfId="4" applyNumberFormat="1" applyFont="1" applyFill="1" applyBorder="1" applyAlignment="1">
      <alignment horizontal="right"/>
    </xf>
    <xf numFmtId="41" fontId="13" fillId="7" borderId="9" xfId="5" applyNumberFormat="1" applyFont="1" applyFill="1" applyBorder="1" applyAlignment="1">
      <alignment horizontal="right"/>
    </xf>
    <xf numFmtId="3" fontId="7" fillId="0" borderId="10" xfId="0" applyNumberFormat="1" applyFont="1" applyBorder="1" applyAlignment="1"/>
    <xf numFmtId="179" fontId="0" fillId="0" borderId="0" xfId="5" applyNumberFormat="1" applyFont="1" applyAlignment="1">
      <alignment horizontal="right"/>
    </xf>
    <xf numFmtId="176" fontId="16" fillId="7" borderId="10" xfId="4" applyNumberFormat="1" applyFont="1" applyFill="1" applyBorder="1" applyAlignment="1">
      <alignment horizontal="right"/>
    </xf>
    <xf numFmtId="176" fontId="13" fillId="7" borderId="10" xfId="4" applyNumberFormat="1" applyFont="1" applyFill="1" applyBorder="1"/>
    <xf numFmtId="176" fontId="13" fillId="7" borderId="10" xfId="4" applyNumberFormat="1" applyFont="1" applyFill="1" applyBorder="1" applyAlignment="1">
      <alignment horizontal="right"/>
    </xf>
    <xf numFmtId="179" fontId="13" fillId="7" borderId="10" xfId="5" applyNumberFormat="1" applyFont="1" applyFill="1" applyBorder="1" applyAlignment="1">
      <alignment horizontal="right"/>
    </xf>
    <xf numFmtId="176" fontId="16" fillId="6" borderId="10" xfId="4" applyNumberFormat="1" applyFont="1" applyFill="1" applyBorder="1" applyAlignment="1">
      <alignment horizontal="right"/>
    </xf>
    <xf numFmtId="176" fontId="13" fillId="6" borderId="10" xfId="4" applyNumberFormat="1" applyFont="1" applyFill="1" applyBorder="1"/>
    <xf numFmtId="176" fontId="13" fillId="6" borderId="10" xfId="4" applyNumberFormat="1" applyFont="1" applyFill="1" applyBorder="1" applyAlignment="1">
      <alignment horizontal="right"/>
    </xf>
    <xf numFmtId="179" fontId="13" fillId="6" borderId="10" xfId="5" applyNumberFormat="1" applyFont="1" applyFill="1" applyBorder="1" applyAlignment="1">
      <alignment horizontal="right"/>
    </xf>
    <xf numFmtId="179" fontId="7" fillId="0" borderId="10" xfId="5" applyNumberFormat="1" applyFont="1" applyFill="1" applyBorder="1" applyAlignment="1">
      <alignment horizontal="right"/>
    </xf>
    <xf numFmtId="176" fontId="59" fillId="0" borderId="10" xfId="4" applyNumberFormat="1" applyFont="1" applyBorder="1" applyAlignment="1">
      <alignment horizontal="right"/>
    </xf>
    <xf numFmtId="176" fontId="66" fillId="0" borderId="10" xfId="4" applyNumberFormat="1" applyFont="1" applyBorder="1"/>
    <xf numFmtId="0" fontId="7" fillId="0" borderId="10" xfId="4" applyBorder="1"/>
    <xf numFmtId="176" fontId="25" fillId="0" borderId="10" xfId="4" applyNumberFormat="1" applyFont="1" applyBorder="1" applyAlignment="1">
      <alignment horizontal="center"/>
    </xf>
    <xf numFmtId="10" fontId="67" fillId="0" borderId="9" xfId="0" applyNumberFormat="1" applyFont="1" applyBorder="1" applyAlignment="1">
      <alignment horizontal="center"/>
    </xf>
    <xf numFmtId="10" fontId="67" fillId="0" borderId="6" xfId="3" applyNumberFormat="1" applyFont="1" applyBorder="1" applyAlignment="1">
      <alignment horizontal="center"/>
    </xf>
    <xf numFmtId="41" fontId="7" fillId="0" borderId="9" xfId="2" applyNumberFormat="1" applyFont="1" applyBorder="1" applyAlignment="1"/>
    <xf numFmtId="41" fontId="13" fillId="0" borderId="14" xfId="2" applyNumberFormat="1" applyFont="1" applyBorder="1" applyAlignment="1"/>
    <xf numFmtId="0" fontId="63" fillId="0" borderId="10" xfId="0" quotePrefix="1" applyFont="1" applyBorder="1" applyAlignment="1">
      <alignment horizontal="center"/>
    </xf>
    <xf numFmtId="0" fontId="63" fillId="0" borderId="10" xfId="0" applyFont="1" applyBorder="1" applyAlignment="1">
      <alignment horizontal="center"/>
    </xf>
    <xf numFmtId="0" fontId="59" fillId="0" borderId="10" xfId="0" applyFont="1" applyBorder="1" applyAlignment="1">
      <alignment horizontal="center"/>
    </xf>
    <xf numFmtId="0" fontId="68" fillId="0" borderId="10" xfId="0" applyFont="1" applyBorder="1" applyAlignment="1">
      <alignment horizontal="center"/>
    </xf>
    <xf numFmtId="176" fontId="34" fillId="0" borderId="10" xfId="4" applyNumberFormat="1" applyFont="1" applyBorder="1" applyAlignment="1">
      <alignment horizontal="right"/>
    </xf>
    <xf numFmtId="176" fontId="68" fillId="0" borderId="10" xfId="4" quotePrefix="1" applyNumberFormat="1" applyFont="1" applyBorder="1" applyAlignment="1">
      <alignment horizontal="right"/>
    </xf>
    <xf numFmtId="176" fontId="34" fillId="0" borderId="9" xfId="4" applyNumberFormat="1" applyFont="1" applyBorder="1" applyAlignment="1">
      <alignment horizontal="right"/>
    </xf>
    <xf numFmtId="176" fontId="42" fillId="0" borderId="10" xfId="4" applyNumberFormat="1" applyFont="1" applyBorder="1" applyAlignment="1">
      <alignment horizontal="right"/>
    </xf>
    <xf numFmtId="0" fontId="34" fillId="0" borderId="10" xfId="4" applyFont="1" applyBorder="1" applyAlignment="1">
      <alignment horizontal="right"/>
    </xf>
    <xf numFmtId="176" fontId="68" fillId="0" borderId="10" xfId="4" applyNumberFormat="1" applyFont="1" applyBorder="1" applyAlignment="1">
      <alignment horizontal="right"/>
    </xf>
    <xf numFmtId="176" fontId="71" fillId="6" borderId="10" xfId="4" applyNumberFormat="1" applyFont="1" applyFill="1" applyBorder="1" applyAlignment="1">
      <alignment horizontal="right"/>
    </xf>
    <xf numFmtId="176" fontId="63" fillId="0" borderId="10" xfId="0" applyNumberFormat="1" applyFont="1" applyBorder="1" applyAlignment="1">
      <alignment horizontal="center" vertical="center"/>
    </xf>
    <xf numFmtId="176" fontId="63" fillId="0" borderId="10" xfId="0" quotePrefix="1" applyNumberFormat="1" applyFont="1" applyBorder="1" applyAlignment="1">
      <alignment horizontal="center" vertical="center"/>
    </xf>
    <xf numFmtId="0" fontId="68" fillId="0" borderId="10" xfId="0" quotePrefix="1" applyFont="1" applyBorder="1" applyAlignment="1">
      <alignment horizontal="center"/>
    </xf>
    <xf numFmtId="178" fontId="63" fillId="0" borderId="11" xfId="2" applyNumberFormat="1" applyFont="1" applyBorder="1" applyAlignment="1"/>
    <xf numFmtId="176" fontId="63" fillId="0" borderId="0" xfId="0" applyNumberFormat="1" applyFont="1" applyAlignment="1"/>
    <xf numFmtId="178" fontId="63" fillId="4" borderId="11" xfId="2" applyNumberFormat="1" applyFont="1" applyFill="1" applyBorder="1" applyAlignment="1"/>
    <xf numFmtId="176" fontId="63" fillId="4" borderId="0" xfId="0" applyNumberFormat="1" applyFont="1" applyFill="1" applyAlignment="1"/>
    <xf numFmtId="176" fontId="8" fillId="4" borderId="0" xfId="0" applyNumberFormat="1" applyFont="1" applyFill="1" applyAlignment="1"/>
    <xf numFmtId="0" fontId="46" fillId="4" borderId="0" xfId="0" applyFont="1" applyFill="1" applyAlignment="1">
      <alignment horizontal="left"/>
    </xf>
    <xf numFmtId="178" fontId="63" fillId="3" borderId="0" xfId="2" applyNumberFormat="1" applyFont="1" applyFill="1" applyBorder="1" applyAlignment="1"/>
    <xf numFmtId="178" fontId="34" fillId="0" borderId="11" xfId="2" applyNumberFormat="1" applyFont="1" applyBorder="1" applyAlignment="1"/>
    <xf numFmtId="0" fontId="46" fillId="0" borderId="0" xfId="0" applyFont="1" applyAlignment="1">
      <alignment horizontal="left"/>
    </xf>
    <xf numFmtId="178" fontId="63" fillId="3" borderId="11" xfId="2" applyNumberFormat="1" applyFont="1" applyFill="1" applyBorder="1" applyAlignment="1"/>
    <xf numFmtId="176" fontId="8" fillId="3" borderId="0" xfId="0" applyNumberFormat="1" applyFont="1" applyFill="1" applyAlignment="1"/>
    <xf numFmtId="0" fontId="46" fillId="3" borderId="0" xfId="0" applyFont="1" applyFill="1" applyAlignment="1">
      <alignment horizontal="left"/>
    </xf>
    <xf numFmtId="176" fontId="8" fillId="3" borderId="0" xfId="0" applyNumberFormat="1" applyFont="1" applyFill="1" applyAlignment="1">
      <alignment horizontal="center"/>
    </xf>
    <xf numFmtId="0" fontId="46" fillId="3" borderId="0" xfId="0" quotePrefix="1" applyFont="1" applyFill="1" applyAlignment="1">
      <alignment horizontal="left"/>
    </xf>
    <xf numFmtId="178" fontId="13" fillId="0" borderId="5" xfId="2" applyNumberFormat="1" applyFont="1" applyFill="1" applyBorder="1" applyAlignment="1"/>
    <xf numFmtId="0" fontId="63" fillId="0" borderId="0" xfId="0" applyFont="1" applyAlignment="1"/>
    <xf numFmtId="0" fontId="68" fillId="0" borderId="10" xfId="0" applyFont="1" applyBorder="1" applyAlignment="1">
      <alignment horizontal="right"/>
    </xf>
    <xf numFmtId="0" fontId="75" fillId="0" borderId="10" xfId="0" applyFont="1" applyBorder="1" applyAlignment="1">
      <alignment horizontal="right"/>
    </xf>
    <xf numFmtId="0" fontId="68" fillId="2" borderId="10" xfId="0" applyFont="1" applyFill="1" applyBorder="1" applyAlignment="1">
      <alignment horizontal="center"/>
    </xf>
    <xf numFmtId="176" fontId="0" fillId="0" borderId="0" xfId="0" applyNumberFormat="1" applyAlignment="1">
      <alignment horizontal="center"/>
    </xf>
    <xf numFmtId="3" fontId="0" fillId="0" borderId="0" xfId="0" applyNumberFormat="1" applyAlignment="1"/>
    <xf numFmtId="3" fontId="0" fillId="0" borderId="0" xfId="0" applyNumberFormat="1">
      <alignment vertical="center"/>
    </xf>
    <xf numFmtId="176" fontId="43" fillId="2" borderId="0" xfId="0" applyNumberFormat="1" applyFont="1" applyFill="1" applyAlignment="1"/>
    <xf numFmtId="181" fontId="7" fillId="0" borderId="10" xfId="3" applyNumberFormat="1" applyFont="1" applyBorder="1" applyAlignment="1"/>
    <xf numFmtId="176" fontId="53" fillId="0" borderId="3" xfId="4" applyNumberFormat="1" applyFont="1" applyBorder="1"/>
    <xf numFmtId="176" fontId="13" fillId="2" borderId="0" xfId="0" applyNumberFormat="1" applyFont="1" applyFill="1" applyAlignment="1"/>
    <xf numFmtId="176" fontId="53" fillId="0" borderId="10" xfId="4" applyNumberFormat="1" applyFont="1" applyBorder="1" applyAlignment="1">
      <alignment horizontal="right" vertical="center"/>
    </xf>
    <xf numFmtId="3" fontId="13" fillId="0" borderId="10" xfId="4" applyNumberFormat="1" applyFont="1" applyBorder="1"/>
    <xf numFmtId="176" fontId="0" fillId="0" borderId="10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quotePrefix="1" applyFont="1" applyAlignment="1">
      <alignment horizontal="centerContinuous"/>
    </xf>
    <xf numFmtId="0" fontId="13" fillId="0" borderId="6" xfId="0" applyFont="1" applyBorder="1" applyAlignment="1">
      <alignment horizontal="center"/>
    </xf>
    <xf numFmtId="176" fontId="13" fillId="2" borderId="9" xfId="0" applyNumberFormat="1" applyFont="1" applyFill="1" applyBorder="1" applyAlignment="1">
      <alignment horizontal="center"/>
    </xf>
    <xf numFmtId="176" fontId="13" fillId="0" borderId="10" xfId="0" applyNumberFormat="1" applyFont="1" applyBorder="1" applyAlignment="1">
      <alignment horizontal="center"/>
    </xf>
    <xf numFmtId="176" fontId="13" fillId="2" borderId="10" xfId="0" applyNumberFormat="1" applyFont="1" applyFill="1" applyBorder="1" applyAlignment="1">
      <alignment horizontal="center"/>
    </xf>
    <xf numFmtId="10" fontId="14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10" fontId="14" fillId="2" borderId="5" xfId="0" applyNumberFormat="1" applyFont="1" applyFill="1" applyBorder="1" applyAlignment="1">
      <alignment horizontal="center"/>
    </xf>
    <xf numFmtId="43" fontId="77" fillId="0" borderId="9" xfId="0" applyNumberFormat="1" applyFont="1" applyBorder="1" applyAlignment="1">
      <alignment horizontal="center"/>
    </xf>
    <xf numFmtId="43" fontId="8" fillId="0" borderId="8" xfId="0" applyNumberFormat="1" applyFont="1" applyBorder="1" applyAlignment="1">
      <alignment horizontal="center"/>
    </xf>
    <xf numFmtId="181" fontId="7" fillId="2" borderId="9" xfId="3" applyNumberFormat="1" applyFont="1" applyFill="1" applyBorder="1" applyAlignment="1">
      <alignment horizontal="center"/>
    </xf>
    <xf numFmtId="181" fontId="7" fillId="0" borderId="9" xfId="3" applyNumberFormat="1" applyFont="1" applyFill="1" applyBorder="1" applyAlignment="1">
      <alignment horizontal="center"/>
    </xf>
    <xf numFmtId="181" fontId="23" fillId="2" borderId="9" xfId="3" applyNumberFormat="1" applyFont="1" applyFill="1" applyBorder="1" applyAlignment="1"/>
    <xf numFmtId="181" fontId="23" fillId="2" borderId="5" xfId="3" applyNumberFormat="1" applyFont="1" applyFill="1" applyBorder="1" applyAlignment="1"/>
    <xf numFmtId="181" fontId="7" fillId="2" borderId="5" xfId="3" applyNumberFormat="1" applyFont="1" applyFill="1" applyBorder="1" applyAlignment="1"/>
    <xf numFmtId="181" fontId="7" fillId="2" borderId="9" xfId="3" applyNumberFormat="1" applyFont="1" applyFill="1" applyBorder="1" applyAlignment="1"/>
    <xf numFmtId="181" fontId="7" fillId="0" borderId="5" xfId="2" applyNumberFormat="1" applyFont="1" applyBorder="1" applyAlignment="1"/>
    <xf numFmtId="176" fontId="0" fillId="0" borderId="8" xfId="0" applyNumberFormat="1" applyBorder="1" applyAlignment="1"/>
    <xf numFmtId="3" fontId="78" fillId="8" borderId="10" xfId="0" applyNumberFormat="1" applyFont="1" applyFill="1" applyBorder="1" applyAlignment="1">
      <alignment horizontal="right" vertical="center" wrapText="1"/>
    </xf>
    <xf numFmtId="43" fontId="0" fillId="0" borderId="10" xfId="0" applyNumberFormat="1" applyBorder="1" applyAlignment="1"/>
    <xf numFmtId="10" fontId="0" fillId="0" borderId="10" xfId="3" applyNumberFormat="1" applyFont="1" applyFill="1" applyBorder="1" applyAlignment="1"/>
    <xf numFmtId="43" fontId="13" fillId="0" borderId="6" xfId="0" applyNumberFormat="1" applyFont="1" applyBorder="1" applyAlignment="1"/>
    <xf numFmtId="2" fontId="9" fillId="0" borderId="6" xfId="0" applyNumberFormat="1" applyFont="1" applyBorder="1" applyAlignment="1">
      <alignment horizontal="center"/>
    </xf>
    <xf numFmtId="10" fontId="9" fillId="0" borderId="6" xfId="3" applyNumberFormat="1" applyFont="1" applyFill="1" applyBorder="1" applyAlignment="1"/>
    <xf numFmtId="0" fontId="8" fillId="0" borderId="7" xfId="0" applyFont="1" applyBorder="1" applyAlignment="1">
      <alignment horizontal="center"/>
    </xf>
    <xf numFmtId="0" fontId="16" fillId="0" borderId="15" xfId="0" quotePrefix="1" applyFon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8" fillId="0" borderId="15" xfId="0" quotePrefix="1" applyFont="1" applyBorder="1" applyAlignment="1">
      <alignment horizontal="center"/>
    </xf>
    <xf numFmtId="10" fontId="18" fillId="0" borderId="15" xfId="0" applyNumberFormat="1" applyFont="1" applyBorder="1" applyAlignment="1">
      <alignment horizontal="center"/>
    </xf>
    <xf numFmtId="0" fontId="79" fillId="0" borderId="0" xfId="0" applyFont="1" applyAlignment="1"/>
    <xf numFmtId="0" fontId="80" fillId="2" borderId="2" xfId="0" applyFont="1" applyFill="1" applyBorder="1" applyAlignment="1"/>
    <xf numFmtId="0" fontId="80" fillId="0" borderId="4" xfId="0" quotePrefix="1" applyFont="1" applyBorder="1" applyAlignment="1">
      <alignment horizontal="center"/>
    </xf>
    <xf numFmtId="0" fontId="80" fillId="0" borderId="9" xfId="0" quotePrefix="1" applyFont="1" applyBorder="1" applyAlignment="1">
      <alignment horizontal="center"/>
    </xf>
    <xf numFmtId="0" fontId="79" fillId="2" borderId="11" xfId="0" applyFont="1" applyFill="1" applyBorder="1" applyAlignment="1"/>
    <xf numFmtId="176" fontId="79" fillId="2" borderId="9" xfId="0" applyNumberFormat="1" applyFont="1" applyFill="1" applyBorder="1" applyAlignment="1"/>
    <xf numFmtId="176" fontId="79" fillId="0" borderId="9" xfId="0" applyNumberFormat="1" applyFont="1" applyBorder="1" applyAlignment="1"/>
    <xf numFmtId="176" fontId="79" fillId="0" borderId="10" xfId="0" applyNumberFormat="1" applyFont="1" applyBorder="1" applyAlignment="1"/>
    <xf numFmtId="176" fontId="79" fillId="2" borderId="10" xfId="0" applyNumberFormat="1" applyFont="1" applyFill="1" applyBorder="1" applyAlignment="1"/>
    <xf numFmtId="176" fontId="79" fillId="2" borderId="0" xfId="0" applyNumberFormat="1" applyFont="1" applyFill="1" applyAlignment="1"/>
    <xf numFmtId="0" fontId="80" fillId="0" borderId="0" xfId="0" applyFont="1" applyAlignment="1"/>
    <xf numFmtId="0" fontId="81" fillId="0" borderId="0" xfId="0" applyFont="1" applyAlignment="1">
      <alignment horizontal="centerContinuous"/>
    </xf>
    <xf numFmtId="176" fontId="82" fillId="9" borderId="5" xfId="0" applyNumberFormat="1" applyFont="1" applyFill="1" applyBorder="1" applyAlignment="1"/>
    <xf numFmtId="43" fontId="8" fillId="0" borderId="9" xfId="0" applyNumberFormat="1" applyFont="1" applyBorder="1" applyAlignment="1">
      <alignment horizontal="center"/>
    </xf>
    <xf numFmtId="43" fontId="0" fillId="2" borderId="1" xfId="0" applyNumberFormat="1" applyFill="1" applyBorder="1" applyAlignment="1"/>
    <xf numFmtId="176" fontId="84" fillId="0" borderId="10" xfId="4" applyNumberFormat="1" applyFont="1" applyBorder="1"/>
    <xf numFmtId="176" fontId="72" fillId="0" borderId="3" xfId="0" applyNumberFormat="1" applyFont="1" applyBorder="1" applyAlignment="1">
      <alignment horizontal="center"/>
    </xf>
    <xf numFmtId="176" fontId="72" fillId="0" borderId="10" xfId="0" applyNumberFormat="1" applyFont="1" applyBorder="1" applyAlignment="1">
      <alignment horizontal="center"/>
    </xf>
    <xf numFmtId="181" fontId="23" fillId="0" borderId="9" xfId="3" applyNumberFormat="1" applyFont="1" applyFill="1" applyBorder="1" applyAlignment="1"/>
    <xf numFmtId="181" fontId="7" fillId="0" borderId="9" xfId="3" applyNumberFormat="1" applyFont="1" applyFill="1" applyBorder="1" applyAlignment="1"/>
    <xf numFmtId="178" fontId="63" fillId="4" borderId="0" xfId="2" applyNumberFormat="1" applyFont="1" applyFill="1" applyBorder="1" applyAlignment="1"/>
    <xf numFmtId="10" fontId="0" fillId="0" borderId="6" xfId="3" applyNumberFormat="1" applyFont="1" applyFill="1" applyBorder="1" applyAlignment="1"/>
    <xf numFmtId="43" fontId="0" fillId="0" borderId="9" xfId="0" applyNumberFormat="1" applyBorder="1" applyAlignment="1"/>
    <xf numFmtId="10" fontId="0" fillId="0" borderId="1" xfId="3" applyNumberFormat="1" applyFont="1" applyFill="1" applyBorder="1" applyAlignment="1"/>
    <xf numFmtId="0" fontId="13" fillId="0" borderId="10" xfId="0" applyFont="1" applyBorder="1" applyAlignment="1">
      <alignment horizontal="center"/>
    </xf>
    <xf numFmtId="176" fontId="89" fillId="0" borderId="10" xfId="4" applyNumberFormat="1" applyFont="1" applyBorder="1"/>
    <xf numFmtId="0" fontId="7" fillId="0" borderId="10" xfId="0" applyFont="1" applyBorder="1" applyAlignment="1">
      <alignment horizontal="center"/>
    </xf>
    <xf numFmtId="176" fontId="90" fillId="0" borderId="10" xfId="4" applyNumberFormat="1" applyFont="1" applyBorder="1"/>
    <xf numFmtId="180" fontId="90" fillId="0" borderId="10" xfId="1" applyNumberFormat="1" applyFont="1" applyFill="1" applyBorder="1" applyAlignment="1"/>
    <xf numFmtId="176" fontId="63" fillId="0" borderId="11" xfId="0" applyNumberFormat="1" applyFont="1" applyBorder="1" applyAlignment="1"/>
    <xf numFmtId="176" fontId="63" fillId="4" borderId="11" xfId="0" applyNumberFormat="1" applyFont="1" applyFill="1" applyBorder="1" applyAlignment="1"/>
    <xf numFmtId="178" fontId="25" fillId="0" borderId="3" xfId="2" applyNumberFormat="1" applyFont="1" applyFill="1" applyBorder="1" applyAlignment="1"/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8" fillId="0" borderId="8" xfId="0" quotePrefix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9" fillId="0" borderId="1" xfId="4" applyNumberFormat="1" applyFont="1" applyBorder="1" applyAlignment="1">
      <alignment horizontal="center"/>
    </xf>
    <xf numFmtId="176" fontId="9" fillId="0" borderId="3" xfId="4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2" borderId="8" xfId="0" quotePrefix="1" applyFont="1" applyFill="1" applyBorder="1" applyAlignment="1">
      <alignment horizontal="center" vertical="center"/>
    </xf>
    <xf numFmtId="41" fontId="7" fillId="0" borderId="9" xfId="2" applyNumberFormat="1" applyFont="1" applyFill="1" applyBorder="1" applyAlignment="1"/>
  </cellXfs>
  <cellStyles count="6">
    <cellStyle name="一般" xfId="0" builtinId="0"/>
    <cellStyle name="一般 2" xfId="4" xr:uid="{00000000-0005-0000-0000-000001000000}"/>
    <cellStyle name="千分位" xfId="1" builtinId="3"/>
    <cellStyle name="千分位 3" xfId="5" xr:uid="{00000000-0005-0000-0000-000003000000}"/>
    <cellStyle name="百分比" xfId="3" builtinId="5"/>
    <cellStyle name="貨幣" xfId="2" builtinId="4"/>
  </cellStyles>
  <dxfs count="83"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6.xml"/><Relationship Id="rId34" Type="http://schemas.openxmlformats.org/officeDocument/2006/relationships/externalLink" Target="externalLinks/externalLink1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18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2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externalLink" Target="externalLinks/externalLink20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202305%20&#25972;&#36554;&#20986;&#2147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202301-05%20&#38651;&#36628;&#36554;&#20986;&#2147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2022%2001-05%20&#38651;&#36628;&#36554;%20&#20986;&#21475;&#27604;&#36611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202301-05%20&#25722;&#30090;&#36554;&#20986;&#2147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2022%2001-05%20&#25240;&#30090;&#36554;%20&#20986;&#21475;&#27604;&#36611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202305%20&#38646;&#20214;&#20986;&#2147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202301-05%20&#38646;&#20214;&#20986;&#2147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202305%20&#38646;&#20214;&#36914;&#2147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202301-05%20&#38646;&#20214;&#36914;&#2147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ily\Desktop\&#32113;&#35336;&#23384;&#27284;\202302\&#38646;&#20214;0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08;&#24180;&#32113;&#35336;/2018&#32113;&#35336;/BP107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202301-05%20&#25972;&#36554;&#20986;&#2147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2022%2001-05%20&#38646;&#20214;%20&#20986;&#21475;&#27604;&#36611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2022%2001-05%20&#38646;&#20214;%20&#36914;&#21475;&#27604;&#3661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OneDrive\&#26700;&#38754;\&#32113;&#35336;&#23384;&#27284;\AL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ily\Desktop\&#32113;&#35336;&#23384;&#27284;\2020&#24180;5&#26376;&#27491;&#26412;&#32113;&#35336;(&#26377;&#20989;&#25976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OneDrive\&#26700;&#38754;\&#32113;&#35336;&#23384;&#27284;\ALL1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2022%2001-05%20&#25972;&#36554;&#20986;&#21475;&#27604;&#36611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202305%20&#25972;&#36554;&#36914;&#2147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202301-05%20&#25972;&#36554;&#36914;&#2147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202305%20&#38651;&#36628;&#36554;&#20986;&#214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2">
          <cell r="A2" t="str">
            <v>中文名稱</v>
          </cell>
          <cell r="B2" t="str">
            <v>2023年05月
出口金額($US)</v>
          </cell>
          <cell r="C2" t="str">
            <v>2023年05月
出口數量</v>
          </cell>
        </row>
        <row r="3">
          <cell r="A3" t="str">
            <v>總計</v>
          </cell>
          <cell r="B3">
            <v>124913855</v>
          </cell>
          <cell r="C3">
            <v>130700</v>
          </cell>
        </row>
        <row r="4">
          <cell r="A4" t="str">
            <v>美國</v>
          </cell>
          <cell r="B4">
            <v>43852199</v>
          </cell>
          <cell r="C4">
            <v>51468</v>
          </cell>
        </row>
        <row r="5">
          <cell r="A5" t="str">
            <v>荷蘭</v>
          </cell>
          <cell r="B5">
            <v>16069327</v>
          </cell>
          <cell r="C5">
            <v>12785</v>
          </cell>
        </row>
        <row r="6">
          <cell r="A6" t="str">
            <v>中國大陸</v>
          </cell>
          <cell r="B6">
            <v>11155519</v>
          </cell>
          <cell r="C6">
            <v>8819</v>
          </cell>
        </row>
        <row r="7">
          <cell r="A7" t="str">
            <v>英國</v>
          </cell>
          <cell r="B7">
            <v>5177828</v>
          </cell>
          <cell r="C7">
            <v>5878</v>
          </cell>
        </row>
        <row r="8">
          <cell r="A8" t="str">
            <v>比利時</v>
          </cell>
          <cell r="B8">
            <v>4923738</v>
          </cell>
          <cell r="C8">
            <v>3119</v>
          </cell>
        </row>
        <row r="9">
          <cell r="A9" t="str">
            <v>德國</v>
          </cell>
          <cell r="B9">
            <v>4665163</v>
          </cell>
          <cell r="C9">
            <v>9015</v>
          </cell>
        </row>
        <row r="10">
          <cell r="A10" t="str">
            <v>南韓</v>
          </cell>
          <cell r="B10">
            <v>4642854</v>
          </cell>
          <cell r="C10">
            <v>2512</v>
          </cell>
        </row>
        <row r="11">
          <cell r="A11" t="str">
            <v>法國</v>
          </cell>
          <cell r="B11">
            <v>3928492</v>
          </cell>
          <cell r="C11">
            <v>4981</v>
          </cell>
        </row>
        <row r="12">
          <cell r="A12" t="str">
            <v>加拿大</v>
          </cell>
          <cell r="B12">
            <v>3789546</v>
          </cell>
          <cell r="C12">
            <v>2852</v>
          </cell>
        </row>
        <row r="13">
          <cell r="A13" t="str">
            <v>澳大利亞</v>
          </cell>
          <cell r="B13">
            <v>3602928</v>
          </cell>
          <cell r="C13">
            <v>2402</v>
          </cell>
        </row>
        <row r="14">
          <cell r="A14" t="str">
            <v>日本</v>
          </cell>
          <cell r="B14">
            <v>3138686</v>
          </cell>
          <cell r="C14">
            <v>4980</v>
          </cell>
        </row>
        <row r="15">
          <cell r="A15" t="str">
            <v>巴拿馬</v>
          </cell>
          <cell r="B15">
            <v>1904820</v>
          </cell>
          <cell r="C15">
            <v>849</v>
          </cell>
        </row>
        <row r="16">
          <cell r="A16" t="str">
            <v>義大利</v>
          </cell>
          <cell r="B16">
            <v>1748388</v>
          </cell>
          <cell r="C16">
            <v>1041</v>
          </cell>
        </row>
        <row r="17">
          <cell r="A17" t="str">
            <v>瑞典</v>
          </cell>
          <cell r="B17">
            <v>1178509</v>
          </cell>
          <cell r="C17">
            <v>3588</v>
          </cell>
        </row>
        <row r="18">
          <cell r="A18" t="str">
            <v>巴西</v>
          </cell>
          <cell r="B18">
            <v>1150797</v>
          </cell>
          <cell r="C18">
            <v>686</v>
          </cell>
        </row>
        <row r="19">
          <cell r="A19" t="str">
            <v>挪威</v>
          </cell>
          <cell r="B19">
            <v>1123022</v>
          </cell>
          <cell r="C19">
            <v>2271</v>
          </cell>
        </row>
        <row r="20">
          <cell r="A20" t="str">
            <v>墨西哥</v>
          </cell>
          <cell r="B20">
            <v>1007197</v>
          </cell>
          <cell r="C20">
            <v>1011</v>
          </cell>
        </row>
        <row r="21">
          <cell r="A21" t="str">
            <v>南非</v>
          </cell>
          <cell r="B21">
            <v>901204</v>
          </cell>
          <cell r="C21">
            <v>543</v>
          </cell>
        </row>
        <row r="22">
          <cell r="A22" t="str">
            <v>西班牙</v>
          </cell>
          <cell r="B22">
            <v>876847</v>
          </cell>
          <cell r="C22">
            <v>420</v>
          </cell>
        </row>
        <row r="23">
          <cell r="A23" t="str">
            <v>紐西蘭</v>
          </cell>
          <cell r="B23">
            <v>863009</v>
          </cell>
          <cell r="C23">
            <v>461</v>
          </cell>
        </row>
        <row r="24">
          <cell r="A24" t="str">
            <v>瑞士</v>
          </cell>
          <cell r="B24">
            <v>853403</v>
          </cell>
          <cell r="C24">
            <v>530</v>
          </cell>
        </row>
        <row r="25">
          <cell r="A25" t="str">
            <v>波蘭</v>
          </cell>
          <cell r="B25">
            <v>749365</v>
          </cell>
          <cell r="C25">
            <v>1609</v>
          </cell>
        </row>
        <row r="26">
          <cell r="A26" t="str">
            <v>丹麥</v>
          </cell>
          <cell r="B26">
            <v>679519</v>
          </cell>
          <cell r="C26">
            <v>1676</v>
          </cell>
        </row>
        <row r="27">
          <cell r="A27" t="str">
            <v>新加坡</v>
          </cell>
          <cell r="B27">
            <v>673495</v>
          </cell>
          <cell r="C27">
            <v>403</v>
          </cell>
        </row>
        <row r="28">
          <cell r="A28" t="str">
            <v>奧地利</v>
          </cell>
          <cell r="B28">
            <v>613514</v>
          </cell>
          <cell r="C28">
            <v>1025</v>
          </cell>
        </row>
        <row r="29">
          <cell r="A29" t="str">
            <v>智利</v>
          </cell>
          <cell r="B29">
            <v>562034</v>
          </cell>
          <cell r="C29">
            <v>352</v>
          </cell>
        </row>
        <row r="30">
          <cell r="A30" t="str">
            <v>馬來西亞</v>
          </cell>
          <cell r="B30">
            <v>531586</v>
          </cell>
          <cell r="C30">
            <v>223</v>
          </cell>
        </row>
        <row r="31">
          <cell r="A31" t="str">
            <v>阿拉伯聯合大公國</v>
          </cell>
          <cell r="B31">
            <v>478835</v>
          </cell>
          <cell r="C31">
            <v>269</v>
          </cell>
        </row>
        <row r="32">
          <cell r="A32" t="str">
            <v>香港</v>
          </cell>
          <cell r="B32">
            <v>413709</v>
          </cell>
          <cell r="C32">
            <v>475</v>
          </cell>
        </row>
        <row r="33">
          <cell r="A33" t="str">
            <v>以色列</v>
          </cell>
          <cell r="B33">
            <v>400522</v>
          </cell>
          <cell r="C33">
            <v>334</v>
          </cell>
        </row>
        <row r="34">
          <cell r="A34" t="str">
            <v>菲律賓</v>
          </cell>
          <cell r="B34">
            <v>371313</v>
          </cell>
          <cell r="C34">
            <v>480</v>
          </cell>
        </row>
        <row r="35">
          <cell r="A35" t="str">
            <v>斯洛維尼亞</v>
          </cell>
          <cell r="B35">
            <v>368545</v>
          </cell>
          <cell r="C35">
            <v>437</v>
          </cell>
        </row>
        <row r="36">
          <cell r="A36" t="str">
            <v>哥倫比亞</v>
          </cell>
          <cell r="B36">
            <v>320808</v>
          </cell>
          <cell r="C36">
            <v>175</v>
          </cell>
        </row>
        <row r="37">
          <cell r="A37" t="str">
            <v>印度</v>
          </cell>
          <cell r="B37">
            <v>286781</v>
          </cell>
          <cell r="C37">
            <v>318</v>
          </cell>
        </row>
        <row r="38">
          <cell r="A38" t="str">
            <v>捷克</v>
          </cell>
          <cell r="B38">
            <v>277336</v>
          </cell>
          <cell r="C38">
            <v>784</v>
          </cell>
        </row>
        <row r="39">
          <cell r="A39" t="str">
            <v>芬蘭</v>
          </cell>
          <cell r="B39">
            <v>241062</v>
          </cell>
          <cell r="C39">
            <v>322</v>
          </cell>
        </row>
        <row r="40">
          <cell r="A40" t="str">
            <v>瓜地馬拉</v>
          </cell>
          <cell r="B40">
            <v>192511</v>
          </cell>
          <cell r="C40">
            <v>138</v>
          </cell>
        </row>
        <row r="41">
          <cell r="A41" t="str">
            <v>俄羅斯</v>
          </cell>
          <cell r="B41">
            <v>168545</v>
          </cell>
          <cell r="C41">
            <v>335</v>
          </cell>
        </row>
        <row r="42">
          <cell r="A42" t="str">
            <v>阿根廷</v>
          </cell>
          <cell r="B42">
            <v>167111</v>
          </cell>
          <cell r="C42">
            <v>108</v>
          </cell>
        </row>
        <row r="43">
          <cell r="A43" t="str">
            <v>哥斯大黎加</v>
          </cell>
          <cell r="B43">
            <v>138782</v>
          </cell>
          <cell r="C43">
            <v>79</v>
          </cell>
        </row>
        <row r="44">
          <cell r="A44" t="str">
            <v>哈薩克</v>
          </cell>
          <cell r="B44">
            <v>127841</v>
          </cell>
          <cell r="C44">
            <v>76</v>
          </cell>
        </row>
        <row r="45">
          <cell r="A45" t="str">
            <v>立陶宛</v>
          </cell>
          <cell r="B45">
            <v>120319</v>
          </cell>
          <cell r="C45">
            <v>283</v>
          </cell>
        </row>
        <row r="46">
          <cell r="A46" t="str">
            <v>卡達</v>
          </cell>
          <cell r="B46">
            <v>94432</v>
          </cell>
          <cell r="C46">
            <v>73</v>
          </cell>
        </row>
        <row r="47">
          <cell r="A47" t="str">
            <v>波多黎各</v>
          </cell>
          <cell r="B47">
            <v>84110</v>
          </cell>
          <cell r="C47">
            <v>40</v>
          </cell>
        </row>
        <row r="48">
          <cell r="A48" t="str">
            <v>匈牙利</v>
          </cell>
          <cell r="B48">
            <v>65809</v>
          </cell>
          <cell r="C48">
            <v>267</v>
          </cell>
        </row>
        <row r="49">
          <cell r="A49" t="str">
            <v>葡萄牙</v>
          </cell>
          <cell r="B49">
            <v>59101</v>
          </cell>
          <cell r="C49">
            <v>30</v>
          </cell>
        </row>
        <row r="50">
          <cell r="A50" t="str">
            <v>巴拉圭</v>
          </cell>
          <cell r="B50">
            <v>52881</v>
          </cell>
          <cell r="C50">
            <v>28</v>
          </cell>
        </row>
        <row r="51">
          <cell r="A51" t="str">
            <v>泰國</v>
          </cell>
          <cell r="B51">
            <v>27678</v>
          </cell>
          <cell r="C51">
            <v>16</v>
          </cell>
        </row>
        <row r="52">
          <cell r="A52" t="str">
            <v>秘魯</v>
          </cell>
          <cell r="B52">
            <v>24715</v>
          </cell>
          <cell r="C52">
            <v>10</v>
          </cell>
        </row>
        <row r="53">
          <cell r="A53" t="str">
            <v>越南</v>
          </cell>
          <cell r="B53">
            <v>23868</v>
          </cell>
          <cell r="C53">
            <v>24</v>
          </cell>
        </row>
        <row r="54">
          <cell r="A54" t="str">
            <v>巴林</v>
          </cell>
          <cell r="B54">
            <v>15239</v>
          </cell>
          <cell r="C54">
            <v>20</v>
          </cell>
        </row>
        <row r="55">
          <cell r="A55" t="str">
            <v>冰島</v>
          </cell>
          <cell r="B55">
            <v>14653</v>
          </cell>
          <cell r="C55">
            <v>12</v>
          </cell>
        </row>
        <row r="56">
          <cell r="A56" t="str">
            <v>肯亞</v>
          </cell>
          <cell r="B56">
            <v>8076</v>
          </cell>
          <cell r="C56">
            <v>3</v>
          </cell>
        </row>
        <row r="57">
          <cell r="A57" t="str">
            <v>斯洛伐克</v>
          </cell>
          <cell r="B57">
            <v>6219</v>
          </cell>
          <cell r="C57">
            <v>50</v>
          </cell>
        </row>
        <row r="58">
          <cell r="A58" t="str">
            <v>貝南</v>
          </cell>
          <cell r="B58">
            <v>65</v>
          </cell>
          <cell r="C58">
            <v>15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1">
          <cell r="A1" t="str">
            <v>中文名稱</v>
          </cell>
          <cell r="B1" t="str">
            <v>2023年01至05月
出口金額($US)</v>
          </cell>
          <cell r="C1" t="str">
            <v>2023年01至05月
出口數量</v>
          </cell>
        </row>
        <row r="2">
          <cell r="A2" t="str">
            <v>總計</v>
          </cell>
          <cell r="B2">
            <v>633042627</v>
          </cell>
          <cell r="C2">
            <v>383679</v>
          </cell>
        </row>
        <row r="3">
          <cell r="A3" t="str">
            <v>荷蘭</v>
          </cell>
          <cell r="B3">
            <v>225941995</v>
          </cell>
          <cell r="C3">
            <v>143785</v>
          </cell>
        </row>
        <row r="4">
          <cell r="A4" t="str">
            <v>美國</v>
          </cell>
          <cell r="B4">
            <v>157570858</v>
          </cell>
          <cell r="C4">
            <v>75400</v>
          </cell>
        </row>
        <row r="5">
          <cell r="A5" t="str">
            <v>德國</v>
          </cell>
          <cell r="B5">
            <v>37795751</v>
          </cell>
          <cell r="C5">
            <v>38715</v>
          </cell>
        </row>
        <row r="6">
          <cell r="A6" t="str">
            <v>英國</v>
          </cell>
          <cell r="B6">
            <v>35038578</v>
          </cell>
          <cell r="C6">
            <v>25287</v>
          </cell>
        </row>
        <row r="7">
          <cell r="A7" t="str">
            <v>希臘</v>
          </cell>
          <cell r="B7">
            <v>20402171</v>
          </cell>
          <cell r="C7">
            <v>8240</v>
          </cell>
        </row>
        <row r="8">
          <cell r="A8" t="str">
            <v>法國</v>
          </cell>
          <cell r="B8">
            <v>18131749</v>
          </cell>
          <cell r="C8">
            <v>13737</v>
          </cell>
        </row>
        <row r="9">
          <cell r="A9" t="str">
            <v>加拿大</v>
          </cell>
          <cell r="B9">
            <v>17749937</v>
          </cell>
          <cell r="C9">
            <v>8571</v>
          </cell>
        </row>
        <row r="10">
          <cell r="A10" t="str">
            <v>澳大利亞</v>
          </cell>
          <cell r="B10">
            <v>14537206</v>
          </cell>
          <cell r="C10">
            <v>6724</v>
          </cell>
        </row>
        <row r="11">
          <cell r="A11" t="str">
            <v>紐西蘭</v>
          </cell>
          <cell r="B11">
            <v>13641602</v>
          </cell>
          <cell r="C11">
            <v>6007</v>
          </cell>
        </row>
        <row r="12">
          <cell r="A12" t="str">
            <v>義大利</v>
          </cell>
          <cell r="B12">
            <v>13627310</v>
          </cell>
          <cell r="C12">
            <v>6280</v>
          </cell>
        </row>
        <row r="13">
          <cell r="A13" t="str">
            <v>比利時</v>
          </cell>
          <cell r="B13">
            <v>10642509</v>
          </cell>
          <cell r="C13">
            <v>6146</v>
          </cell>
        </row>
        <row r="14">
          <cell r="A14" t="str">
            <v>瑞士</v>
          </cell>
          <cell r="B14">
            <v>10517079</v>
          </cell>
          <cell r="C14">
            <v>5708</v>
          </cell>
        </row>
        <row r="15">
          <cell r="A15" t="str">
            <v>丹麥</v>
          </cell>
          <cell r="B15">
            <v>7840297</v>
          </cell>
          <cell r="C15">
            <v>5422</v>
          </cell>
        </row>
        <row r="16">
          <cell r="A16" t="str">
            <v>西班牙</v>
          </cell>
          <cell r="B16">
            <v>7833937</v>
          </cell>
          <cell r="C16">
            <v>5019</v>
          </cell>
        </row>
        <row r="17">
          <cell r="A17" t="str">
            <v>日本</v>
          </cell>
          <cell r="B17">
            <v>5667098</v>
          </cell>
          <cell r="C17">
            <v>4745</v>
          </cell>
        </row>
        <row r="18">
          <cell r="A18" t="str">
            <v>挪威</v>
          </cell>
          <cell r="B18">
            <v>5016663</v>
          </cell>
          <cell r="C18">
            <v>3078</v>
          </cell>
        </row>
        <row r="19">
          <cell r="A19" t="str">
            <v>奧地利</v>
          </cell>
          <cell r="B19">
            <v>4749604</v>
          </cell>
          <cell r="C19">
            <v>2379</v>
          </cell>
        </row>
        <row r="20">
          <cell r="A20" t="str">
            <v>南非</v>
          </cell>
          <cell r="B20">
            <v>4168863</v>
          </cell>
          <cell r="C20">
            <v>1589</v>
          </cell>
        </row>
        <row r="21">
          <cell r="A21" t="str">
            <v>南韓</v>
          </cell>
          <cell r="B21">
            <v>3310579</v>
          </cell>
          <cell r="C21">
            <v>1463</v>
          </cell>
        </row>
        <row r="22">
          <cell r="A22" t="str">
            <v>波蘭</v>
          </cell>
          <cell r="B22">
            <v>2895243</v>
          </cell>
          <cell r="C22">
            <v>1550</v>
          </cell>
        </row>
        <row r="23">
          <cell r="A23" t="str">
            <v>捷克</v>
          </cell>
          <cell r="B23">
            <v>2741854</v>
          </cell>
          <cell r="C23">
            <v>4381</v>
          </cell>
        </row>
        <row r="24">
          <cell r="A24" t="str">
            <v>瑞典</v>
          </cell>
          <cell r="B24">
            <v>2319220</v>
          </cell>
          <cell r="C24">
            <v>4809</v>
          </cell>
        </row>
        <row r="25">
          <cell r="A25" t="str">
            <v>巴拿馬</v>
          </cell>
          <cell r="B25">
            <v>2292490</v>
          </cell>
          <cell r="C25">
            <v>820</v>
          </cell>
        </row>
        <row r="26">
          <cell r="A26" t="str">
            <v>智利</v>
          </cell>
          <cell r="B26">
            <v>1929435</v>
          </cell>
          <cell r="C26">
            <v>733</v>
          </cell>
        </row>
        <row r="27">
          <cell r="A27" t="str">
            <v>墨西哥</v>
          </cell>
          <cell r="B27">
            <v>1542464</v>
          </cell>
          <cell r="C27">
            <v>752</v>
          </cell>
        </row>
        <row r="28">
          <cell r="A28" t="str">
            <v>巴西</v>
          </cell>
          <cell r="B28">
            <v>1112109</v>
          </cell>
          <cell r="C28">
            <v>422</v>
          </cell>
        </row>
        <row r="29">
          <cell r="A29" t="str">
            <v>哥倫比亞</v>
          </cell>
          <cell r="B29">
            <v>889083</v>
          </cell>
          <cell r="C29">
            <v>392</v>
          </cell>
        </row>
        <row r="30">
          <cell r="A30" t="str">
            <v>芬蘭</v>
          </cell>
          <cell r="B30">
            <v>781830</v>
          </cell>
          <cell r="C30">
            <v>401</v>
          </cell>
        </row>
        <row r="31">
          <cell r="A31" t="str">
            <v>馬來西亞</v>
          </cell>
          <cell r="B31">
            <v>380210</v>
          </cell>
          <cell r="C31">
            <v>123</v>
          </cell>
        </row>
        <row r="32">
          <cell r="A32" t="str">
            <v>中國大陸</v>
          </cell>
          <cell r="B32">
            <v>305493</v>
          </cell>
          <cell r="C32">
            <v>218</v>
          </cell>
        </row>
        <row r="33">
          <cell r="A33" t="str">
            <v>阿拉伯聯合大公國</v>
          </cell>
          <cell r="B33">
            <v>285808</v>
          </cell>
          <cell r="C33">
            <v>234</v>
          </cell>
        </row>
        <row r="34">
          <cell r="A34" t="str">
            <v>以色列</v>
          </cell>
          <cell r="B34">
            <v>219126</v>
          </cell>
          <cell r="C34">
            <v>76</v>
          </cell>
        </row>
        <row r="35">
          <cell r="A35" t="str">
            <v>新加坡</v>
          </cell>
          <cell r="B35">
            <v>198251</v>
          </cell>
          <cell r="C35">
            <v>68</v>
          </cell>
        </row>
        <row r="36">
          <cell r="A36" t="str">
            <v>多明尼加</v>
          </cell>
          <cell r="B36">
            <v>182687</v>
          </cell>
          <cell r="C36">
            <v>60</v>
          </cell>
        </row>
        <row r="37">
          <cell r="A37" t="str">
            <v>匈牙利</v>
          </cell>
          <cell r="B37">
            <v>156330</v>
          </cell>
          <cell r="C37">
            <v>86</v>
          </cell>
        </row>
        <row r="38">
          <cell r="A38" t="str">
            <v>哥斯大黎加</v>
          </cell>
          <cell r="B38">
            <v>153837</v>
          </cell>
          <cell r="C38">
            <v>59</v>
          </cell>
        </row>
        <row r="39">
          <cell r="A39" t="str">
            <v>葡萄牙</v>
          </cell>
          <cell r="B39">
            <v>122172</v>
          </cell>
          <cell r="C39">
            <v>57</v>
          </cell>
        </row>
        <row r="40">
          <cell r="A40" t="str">
            <v>秘魯</v>
          </cell>
          <cell r="B40">
            <v>116691</v>
          </cell>
          <cell r="C40">
            <v>53</v>
          </cell>
        </row>
        <row r="41">
          <cell r="A41" t="str">
            <v>冰島</v>
          </cell>
          <cell r="B41">
            <v>60288</v>
          </cell>
          <cell r="C41">
            <v>32</v>
          </cell>
        </row>
        <row r="42">
          <cell r="A42" t="str">
            <v>哈薩克</v>
          </cell>
          <cell r="B42">
            <v>55194</v>
          </cell>
          <cell r="C42">
            <v>16</v>
          </cell>
        </row>
        <row r="43">
          <cell r="A43" t="str">
            <v>關島</v>
          </cell>
          <cell r="B43">
            <v>37880</v>
          </cell>
          <cell r="C43">
            <v>11</v>
          </cell>
        </row>
        <row r="44">
          <cell r="A44" t="str">
            <v>厄瓜多</v>
          </cell>
          <cell r="B44">
            <v>27588</v>
          </cell>
          <cell r="C44">
            <v>10</v>
          </cell>
        </row>
        <row r="45">
          <cell r="A45" t="str">
            <v>烏拉圭</v>
          </cell>
          <cell r="B45">
            <v>20855</v>
          </cell>
          <cell r="C45">
            <v>10</v>
          </cell>
        </row>
        <row r="46">
          <cell r="A46" t="str">
            <v>香港</v>
          </cell>
          <cell r="B46">
            <v>14197</v>
          </cell>
          <cell r="C46">
            <v>4</v>
          </cell>
        </row>
        <row r="47">
          <cell r="A47" t="str">
            <v>阿根廷</v>
          </cell>
          <cell r="B47">
            <v>12812</v>
          </cell>
          <cell r="C47">
            <v>4</v>
          </cell>
        </row>
        <row r="48">
          <cell r="A48" t="str">
            <v>印尼</v>
          </cell>
          <cell r="B48">
            <v>2332</v>
          </cell>
          <cell r="C48">
            <v>1</v>
          </cell>
        </row>
        <row r="49">
          <cell r="A49" t="str">
            <v>菲律賓</v>
          </cell>
          <cell r="B49">
            <v>2092</v>
          </cell>
          <cell r="C49">
            <v>1</v>
          </cell>
        </row>
        <row r="50">
          <cell r="A50" t="str">
            <v>黎巴嫩</v>
          </cell>
          <cell r="B50">
            <v>1270</v>
          </cell>
          <cell r="C50">
            <v>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2">
          <cell r="A2" t="str">
            <v>中文名稱</v>
          </cell>
          <cell r="B2" t="str">
            <v>2022年01至05月
出口金額($US)</v>
          </cell>
          <cell r="C2" t="str">
            <v>2022年01至05月
出口數量</v>
          </cell>
        </row>
        <row r="3">
          <cell r="A3" t="str">
            <v>總計</v>
          </cell>
          <cell r="B3">
            <v>605113124</v>
          </cell>
          <cell r="C3">
            <v>419932</v>
          </cell>
        </row>
        <row r="4">
          <cell r="A4" t="str">
            <v>美國</v>
          </cell>
          <cell r="B4">
            <v>196969892</v>
          </cell>
          <cell r="C4">
            <v>118290</v>
          </cell>
        </row>
        <row r="5">
          <cell r="A5" t="str">
            <v>荷蘭</v>
          </cell>
          <cell r="B5">
            <v>192553384</v>
          </cell>
          <cell r="C5">
            <v>144555</v>
          </cell>
        </row>
        <row r="6">
          <cell r="A6" t="str">
            <v>德國</v>
          </cell>
          <cell r="B6">
            <v>43709614</v>
          </cell>
          <cell r="C6">
            <v>50072</v>
          </cell>
        </row>
        <row r="7">
          <cell r="A7" t="str">
            <v>英國</v>
          </cell>
          <cell r="B7">
            <v>33702517</v>
          </cell>
          <cell r="C7">
            <v>22782</v>
          </cell>
        </row>
        <row r="8">
          <cell r="A8" t="str">
            <v>義大利</v>
          </cell>
          <cell r="B8">
            <v>21478290</v>
          </cell>
          <cell r="C8">
            <v>10448</v>
          </cell>
        </row>
        <row r="9">
          <cell r="A9" t="str">
            <v>澳大利亞</v>
          </cell>
          <cell r="B9">
            <v>16530489</v>
          </cell>
          <cell r="C9">
            <v>8231</v>
          </cell>
        </row>
        <row r="10">
          <cell r="A10" t="str">
            <v>加拿大</v>
          </cell>
          <cell r="B10">
            <v>14959845</v>
          </cell>
          <cell r="C10">
            <v>7318</v>
          </cell>
        </row>
        <row r="11">
          <cell r="A11" t="str">
            <v>法國</v>
          </cell>
          <cell r="B11">
            <v>12236753</v>
          </cell>
          <cell r="C11">
            <v>11267</v>
          </cell>
        </row>
        <row r="12">
          <cell r="A12" t="str">
            <v>紐西蘭</v>
          </cell>
          <cell r="B12">
            <v>11040199</v>
          </cell>
          <cell r="C12">
            <v>4992</v>
          </cell>
        </row>
        <row r="13">
          <cell r="A13" t="str">
            <v>瑞士</v>
          </cell>
          <cell r="B13">
            <v>7567855</v>
          </cell>
          <cell r="C13">
            <v>4101</v>
          </cell>
        </row>
        <row r="14">
          <cell r="A14" t="str">
            <v>智利</v>
          </cell>
          <cell r="B14">
            <v>5074760</v>
          </cell>
          <cell r="C14">
            <v>1983</v>
          </cell>
        </row>
        <row r="15">
          <cell r="A15" t="str">
            <v>丹麥</v>
          </cell>
          <cell r="B15">
            <v>4736954</v>
          </cell>
          <cell r="C15">
            <v>3346</v>
          </cell>
        </row>
        <row r="16">
          <cell r="A16" t="str">
            <v>日本</v>
          </cell>
          <cell r="B16">
            <v>4335969</v>
          </cell>
          <cell r="C16">
            <v>4087</v>
          </cell>
        </row>
        <row r="17">
          <cell r="A17" t="str">
            <v>西班牙</v>
          </cell>
          <cell r="B17">
            <v>4310304</v>
          </cell>
          <cell r="C17">
            <v>2663</v>
          </cell>
        </row>
        <row r="18">
          <cell r="A18" t="str">
            <v>南非</v>
          </cell>
          <cell r="B18">
            <v>3978652</v>
          </cell>
          <cell r="C18">
            <v>1613</v>
          </cell>
        </row>
        <row r="19">
          <cell r="A19" t="str">
            <v>挪威</v>
          </cell>
          <cell r="B19">
            <v>3526959</v>
          </cell>
          <cell r="C19">
            <v>2176</v>
          </cell>
        </row>
        <row r="20">
          <cell r="A20" t="str">
            <v>墨西哥</v>
          </cell>
          <cell r="B20">
            <v>3280845</v>
          </cell>
          <cell r="C20">
            <v>1320</v>
          </cell>
        </row>
        <row r="21">
          <cell r="A21" t="str">
            <v>南韓</v>
          </cell>
          <cell r="B21">
            <v>2740700</v>
          </cell>
          <cell r="C21">
            <v>1289</v>
          </cell>
        </row>
        <row r="22">
          <cell r="A22" t="str">
            <v>巴拿馬</v>
          </cell>
          <cell r="B22">
            <v>2697046</v>
          </cell>
          <cell r="C22">
            <v>1038</v>
          </cell>
        </row>
        <row r="23">
          <cell r="A23" t="str">
            <v>波蘭</v>
          </cell>
          <cell r="B23">
            <v>2480080</v>
          </cell>
          <cell r="C23">
            <v>1860</v>
          </cell>
        </row>
        <row r="24">
          <cell r="A24" t="str">
            <v>巴西</v>
          </cell>
          <cell r="B24">
            <v>2386897</v>
          </cell>
          <cell r="C24">
            <v>954</v>
          </cell>
        </row>
        <row r="25">
          <cell r="A25" t="str">
            <v>比利時</v>
          </cell>
          <cell r="B25">
            <v>2252456</v>
          </cell>
          <cell r="C25">
            <v>1316</v>
          </cell>
        </row>
        <row r="26">
          <cell r="A26" t="str">
            <v>捷克</v>
          </cell>
          <cell r="B26">
            <v>2032508</v>
          </cell>
          <cell r="C26">
            <v>5804</v>
          </cell>
        </row>
        <row r="27">
          <cell r="A27" t="str">
            <v>瑞典</v>
          </cell>
          <cell r="B27">
            <v>1895318</v>
          </cell>
          <cell r="C27">
            <v>3633</v>
          </cell>
        </row>
        <row r="28">
          <cell r="A28" t="str">
            <v>哥倫比亞</v>
          </cell>
          <cell r="B28">
            <v>1798301</v>
          </cell>
          <cell r="C28">
            <v>763</v>
          </cell>
        </row>
        <row r="29">
          <cell r="A29" t="str">
            <v>芬蘭</v>
          </cell>
          <cell r="B29">
            <v>1096608</v>
          </cell>
          <cell r="C29">
            <v>1442</v>
          </cell>
        </row>
        <row r="30">
          <cell r="A30" t="str">
            <v>以色列</v>
          </cell>
          <cell r="B30">
            <v>894755</v>
          </cell>
          <cell r="C30">
            <v>293</v>
          </cell>
        </row>
        <row r="31">
          <cell r="A31" t="str">
            <v>馬來西亞</v>
          </cell>
          <cell r="B31">
            <v>761111</v>
          </cell>
          <cell r="C31">
            <v>237</v>
          </cell>
        </row>
        <row r="32">
          <cell r="A32" t="str">
            <v>菲律賓</v>
          </cell>
          <cell r="B32">
            <v>546597</v>
          </cell>
          <cell r="C32">
            <v>208</v>
          </cell>
        </row>
        <row r="33">
          <cell r="A33" t="str">
            <v>新加坡</v>
          </cell>
          <cell r="B33">
            <v>473763</v>
          </cell>
          <cell r="C33">
            <v>138</v>
          </cell>
        </row>
        <row r="34">
          <cell r="A34" t="str">
            <v>秘魯</v>
          </cell>
          <cell r="B34">
            <v>363193</v>
          </cell>
          <cell r="C34">
            <v>130</v>
          </cell>
        </row>
        <row r="35">
          <cell r="A35" t="str">
            <v>厄瓜多</v>
          </cell>
          <cell r="B35">
            <v>355128</v>
          </cell>
          <cell r="C35">
            <v>124</v>
          </cell>
        </row>
        <row r="36">
          <cell r="A36" t="str">
            <v>斯洛維尼亞</v>
          </cell>
          <cell r="B36">
            <v>335825</v>
          </cell>
          <cell r="C36">
            <v>479</v>
          </cell>
        </row>
        <row r="37">
          <cell r="A37" t="str">
            <v>泰國</v>
          </cell>
          <cell r="B37">
            <v>308052</v>
          </cell>
          <cell r="C37">
            <v>224</v>
          </cell>
        </row>
        <row r="38">
          <cell r="A38" t="str">
            <v>香港</v>
          </cell>
          <cell r="B38">
            <v>295518</v>
          </cell>
          <cell r="C38">
            <v>170</v>
          </cell>
        </row>
        <row r="39">
          <cell r="A39" t="str">
            <v>阿根廷</v>
          </cell>
          <cell r="B39">
            <v>289824</v>
          </cell>
          <cell r="C39">
            <v>108</v>
          </cell>
        </row>
        <row r="40">
          <cell r="A40" t="str">
            <v>多明尼加</v>
          </cell>
          <cell r="B40">
            <v>257460</v>
          </cell>
          <cell r="C40">
            <v>113</v>
          </cell>
        </row>
        <row r="41">
          <cell r="A41" t="str">
            <v>波多黎各</v>
          </cell>
          <cell r="B41">
            <v>241262</v>
          </cell>
          <cell r="C41">
            <v>102</v>
          </cell>
        </row>
        <row r="42">
          <cell r="A42" t="str">
            <v>瓜地馬拉</v>
          </cell>
          <cell r="B42">
            <v>194801</v>
          </cell>
          <cell r="C42">
            <v>72</v>
          </cell>
        </row>
        <row r="43">
          <cell r="A43" t="str">
            <v>烏拉圭</v>
          </cell>
          <cell r="B43">
            <v>74301</v>
          </cell>
          <cell r="C43">
            <v>36</v>
          </cell>
        </row>
        <row r="44">
          <cell r="A44" t="str">
            <v>哥斯大黎加</v>
          </cell>
          <cell r="B44">
            <v>68130</v>
          </cell>
          <cell r="C44">
            <v>27</v>
          </cell>
        </row>
        <row r="45">
          <cell r="A45" t="str">
            <v>留尼旺</v>
          </cell>
          <cell r="B45">
            <v>60858</v>
          </cell>
          <cell r="C45">
            <v>22</v>
          </cell>
        </row>
        <row r="46">
          <cell r="A46" t="str">
            <v>汶萊</v>
          </cell>
          <cell r="B46">
            <v>45264</v>
          </cell>
          <cell r="C46">
            <v>19</v>
          </cell>
        </row>
        <row r="47">
          <cell r="A47" t="str">
            <v>匈牙利</v>
          </cell>
          <cell r="B47">
            <v>35059</v>
          </cell>
          <cell r="C47">
            <v>15</v>
          </cell>
        </row>
        <row r="48">
          <cell r="A48" t="str">
            <v>冰島</v>
          </cell>
          <cell r="B48">
            <v>31562</v>
          </cell>
          <cell r="C48">
            <v>15</v>
          </cell>
        </row>
        <row r="49">
          <cell r="A49" t="str">
            <v>關島</v>
          </cell>
          <cell r="B49">
            <v>25558</v>
          </cell>
          <cell r="C49">
            <v>6</v>
          </cell>
        </row>
        <row r="50">
          <cell r="A50" t="str">
            <v>波士尼亞及赫塞哥維納</v>
          </cell>
          <cell r="B50">
            <v>22124</v>
          </cell>
          <cell r="C50">
            <v>15</v>
          </cell>
        </row>
        <row r="51">
          <cell r="A51" t="str">
            <v>薩爾瓦多</v>
          </cell>
          <cell r="B51">
            <v>21786</v>
          </cell>
          <cell r="C51">
            <v>9</v>
          </cell>
        </row>
        <row r="52">
          <cell r="A52" t="str">
            <v>奧地利</v>
          </cell>
          <cell r="B52">
            <v>18604</v>
          </cell>
          <cell r="C52">
            <v>7</v>
          </cell>
        </row>
        <row r="53">
          <cell r="A53" t="str">
            <v>阿拉伯聯合大公國</v>
          </cell>
          <cell r="B53">
            <v>14069</v>
          </cell>
          <cell r="C53">
            <v>16</v>
          </cell>
        </row>
        <row r="54">
          <cell r="A54" t="str">
            <v>中國大陸</v>
          </cell>
          <cell r="B54">
            <v>5325</v>
          </cell>
          <cell r="C54">
            <v>4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2">
          <cell r="A2" t="str">
            <v>中文名稱</v>
          </cell>
          <cell r="B2" t="str">
            <v>2023年01至05月
出口金額($US)</v>
          </cell>
          <cell r="C2" t="str">
            <v>2023年01至05月
出口數量</v>
          </cell>
        </row>
        <row r="3">
          <cell r="A3" t="str">
            <v>總計</v>
          </cell>
          <cell r="B3">
            <v>3624571</v>
          </cell>
          <cell r="C3">
            <v>5843</v>
          </cell>
        </row>
        <row r="4">
          <cell r="A4" t="str">
            <v>中國大陸</v>
          </cell>
          <cell r="B4">
            <v>1172081</v>
          </cell>
          <cell r="C4">
            <v>2122</v>
          </cell>
        </row>
        <row r="5">
          <cell r="A5" t="str">
            <v>南韓</v>
          </cell>
          <cell r="B5">
            <v>949815</v>
          </cell>
          <cell r="C5">
            <v>1318</v>
          </cell>
        </row>
        <row r="6">
          <cell r="A6" t="str">
            <v>奧地利</v>
          </cell>
          <cell r="B6">
            <v>563433</v>
          </cell>
          <cell r="C6">
            <v>1000</v>
          </cell>
        </row>
        <row r="7">
          <cell r="A7" t="str">
            <v>日本</v>
          </cell>
          <cell r="B7">
            <v>552837</v>
          </cell>
          <cell r="C7">
            <v>725</v>
          </cell>
        </row>
        <row r="8">
          <cell r="A8" t="str">
            <v>俄羅斯</v>
          </cell>
          <cell r="B8">
            <v>176030</v>
          </cell>
          <cell r="C8">
            <v>420</v>
          </cell>
        </row>
        <row r="9">
          <cell r="A9" t="str">
            <v>香港</v>
          </cell>
          <cell r="B9">
            <v>137217</v>
          </cell>
          <cell r="C9">
            <v>136</v>
          </cell>
        </row>
        <row r="10">
          <cell r="A10" t="str">
            <v>西班牙</v>
          </cell>
          <cell r="B10">
            <v>40131</v>
          </cell>
          <cell r="C10">
            <v>48</v>
          </cell>
        </row>
        <row r="11">
          <cell r="A11" t="str">
            <v>澳大利亞</v>
          </cell>
          <cell r="B11">
            <v>14557</v>
          </cell>
          <cell r="C11">
            <v>31</v>
          </cell>
        </row>
        <row r="12">
          <cell r="A12" t="str">
            <v>荷蘭</v>
          </cell>
          <cell r="B12">
            <v>13469</v>
          </cell>
          <cell r="C12">
            <v>30</v>
          </cell>
        </row>
        <row r="13">
          <cell r="A13" t="str">
            <v>美國</v>
          </cell>
          <cell r="B13">
            <v>2833</v>
          </cell>
          <cell r="C13">
            <v>3</v>
          </cell>
        </row>
        <row r="14">
          <cell r="A14" t="str">
            <v>菲律賓</v>
          </cell>
          <cell r="B14">
            <v>1316</v>
          </cell>
          <cell r="C14">
            <v>4</v>
          </cell>
        </row>
        <row r="15">
          <cell r="A15" t="str">
            <v>加拿大</v>
          </cell>
          <cell r="B15">
            <v>591</v>
          </cell>
          <cell r="C15">
            <v>1</v>
          </cell>
        </row>
        <row r="16">
          <cell r="A16" t="str">
            <v>泰國</v>
          </cell>
          <cell r="B16">
            <v>261</v>
          </cell>
          <cell r="C16">
            <v>5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2">
          <cell r="A2" t="str">
            <v>中文名稱</v>
          </cell>
          <cell r="B2" t="str">
            <v>2022年01至05月
出口金額($US)</v>
          </cell>
          <cell r="C2" t="str">
            <v>2022年01至05月
出口數量</v>
          </cell>
        </row>
        <row r="3">
          <cell r="A3" t="str">
            <v>總計</v>
          </cell>
          <cell r="B3">
            <v>4205906</v>
          </cell>
          <cell r="C3">
            <v>6186</v>
          </cell>
        </row>
        <row r="4">
          <cell r="A4" t="str">
            <v>南韓</v>
          </cell>
          <cell r="B4">
            <v>1562992</v>
          </cell>
          <cell r="C4">
            <v>1812</v>
          </cell>
        </row>
        <row r="5">
          <cell r="A5" t="str">
            <v>中國大陸</v>
          </cell>
          <cell r="B5">
            <v>472424</v>
          </cell>
          <cell r="C5">
            <v>525</v>
          </cell>
        </row>
        <row r="6">
          <cell r="A6" t="str">
            <v>香港</v>
          </cell>
          <cell r="B6">
            <v>380050</v>
          </cell>
          <cell r="C6">
            <v>380</v>
          </cell>
        </row>
        <row r="7">
          <cell r="A7" t="str">
            <v>美國</v>
          </cell>
          <cell r="B7">
            <v>360325</v>
          </cell>
          <cell r="C7">
            <v>327</v>
          </cell>
        </row>
        <row r="8">
          <cell r="A8" t="str">
            <v>日本</v>
          </cell>
          <cell r="B8">
            <v>357169</v>
          </cell>
          <cell r="C8">
            <v>632</v>
          </cell>
        </row>
        <row r="9">
          <cell r="A9" t="str">
            <v>英國</v>
          </cell>
          <cell r="B9">
            <v>256408</v>
          </cell>
          <cell r="C9">
            <v>1100</v>
          </cell>
        </row>
        <row r="10">
          <cell r="A10" t="str">
            <v>奧地利</v>
          </cell>
          <cell r="B10">
            <v>234105</v>
          </cell>
          <cell r="C10">
            <v>305</v>
          </cell>
        </row>
        <row r="11">
          <cell r="A11" t="str">
            <v>新加坡</v>
          </cell>
          <cell r="B11">
            <v>169387</v>
          </cell>
          <cell r="C11">
            <v>291</v>
          </cell>
        </row>
        <row r="12">
          <cell r="A12" t="str">
            <v>俄羅斯</v>
          </cell>
          <cell r="B12">
            <v>139662</v>
          </cell>
          <cell r="C12">
            <v>440</v>
          </cell>
        </row>
        <row r="13">
          <cell r="A13" t="str">
            <v>馬來西亞</v>
          </cell>
          <cell r="B13">
            <v>99783</v>
          </cell>
          <cell r="C13">
            <v>78</v>
          </cell>
        </row>
        <row r="14">
          <cell r="A14" t="str">
            <v>荷蘭</v>
          </cell>
          <cell r="B14">
            <v>75566</v>
          </cell>
          <cell r="C14">
            <v>171</v>
          </cell>
        </row>
        <row r="15">
          <cell r="A15" t="str">
            <v>德國</v>
          </cell>
          <cell r="B15">
            <v>46530</v>
          </cell>
          <cell r="C15">
            <v>50</v>
          </cell>
        </row>
        <row r="16">
          <cell r="A16" t="str">
            <v>澳大利亞</v>
          </cell>
          <cell r="B16">
            <v>37591</v>
          </cell>
          <cell r="C16">
            <v>42</v>
          </cell>
        </row>
        <row r="17">
          <cell r="A17" t="str">
            <v>加拿大</v>
          </cell>
          <cell r="B17">
            <v>10164</v>
          </cell>
          <cell r="C17">
            <v>22</v>
          </cell>
        </row>
        <row r="18">
          <cell r="A18" t="str">
            <v>菲律賓</v>
          </cell>
          <cell r="B18">
            <v>3750</v>
          </cell>
          <cell r="C18">
            <v>11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2">
          <cell r="A2" t="str">
            <v>代碼</v>
          </cell>
          <cell r="B2" t="str">
            <v>中文名稱</v>
          </cell>
          <cell r="C2" t="str">
            <v>2023年05月
出口金額($US)</v>
          </cell>
          <cell r="D2" t="str">
            <v>2023年05月
出口重量(KG)</v>
          </cell>
          <cell r="E2" t="str">
            <v>2023年05月
出口數量</v>
          </cell>
        </row>
        <row r="3">
          <cell r="A3">
            <v>87149120007</v>
          </cell>
          <cell r="B3" t="str">
            <v>其他車架及叉及其零件</v>
          </cell>
          <cell r="C3">
            <v>62953363</v>
          </cell>
          <cell r="D3">
            <v>875203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16378183</v>
          </cell>
          <cell r="D4">
            <v>294137</v>
          </cell>
          <cell r="E4">
            <v>0</v>
          </cell>
        </row>
        <row r="5">
          <cell r="A5">
            <v>87149990111</v>
          </cell>
          <cell r="B5" t="str">
            <v>腳踏車用變速器</v>
          </cell>
          <cell r="C5">
            <v>10200885</v>
          </cell>
          <cell r="D5">
            <v>73963</v>
          </cell>
          <cell r="E5">
            <v>0</v>
          </cell>
        </row>
        <row r="6">
          <cell r="A6">
            <v>87149620002</v>
          </cell>
          <cell r="B6" t="str">
            <v>曲柄齒輪及其零件</v>
          </cell>
          <cell r="C6">
            <v>10051650</v>
          </cell>
          <cell r="D6">
            <v>171306</v>
          </cell>
          <cell r="E6">
            <v>0</v>
          </cell>
        </row>
        <row r="7">
          <cell r="A7">
            <v>87149320906</v>
          </cell>
          <cell r="B7" t="str">
            <v>其他飛輪之鏈輪</v>
          </cell>
          <cell r="C7">
            <v>8917588</v>
          </cell>
          <cell r="D7">
            <v>159467</v>
          </cell>
          <cell r="E7">
            <v>0</v>
          </cell>
        </row>
        <row r="8">
          <cell r="A8">
            <v>87149200304</v>
          </cell>
          <cell r="B8" t="str">
            <v>輪圈及輪幅</v>
          </cell>
          <cell r="C8">
            <v>6950733</v>
          </cell>
          <cell r="D8">
            <v>48714</v>
          </cell>
          <cell r="E8">
            <v>42294</v>
          </cell>
        </row>
        <row r="9">
          <cell r="A9">
            <v>87149310007</v>
          </cell>
          <cell r="B9" t="str">
            <v>輪轂，但倒煞車輪轂及輪轂煞車除外</v>
          </cell>
          <cell r="C9">
            <v>4985415</v>
          </cell>
          <cell r="D9">
            <v>80787</v>
          </cell>
          <cell r="E9">
            <v>0</v>
          </cell>
        </row>
        <row r="10">
          <cell r="A10">
            <v>87149990157</v>
          </cell>
          <cell r="B10" t="str">
            <v>腳踏車用座管及上下管</v>
          </cell>
          <cell r="C10">
            <v>4802684</v>
          </cell>
          <cell r="D10">
            <v>97216</v>
          </cell>
          <cell r="E10">
            <v>0</v>
          </cell>
        </row>
        <row r="11">
          <cell r="A11">
            <v>87149990166</v>
          </cell>
          <cell r="B11" t="str">
            <v>腳踏車用把手</v>
          </cell>
          <cell r="C11">
            <v>4350145</v>
          </cell>
          <cell r="D11">
            <v>124652</v>
          </cell>
          <cell r="E11">
            <v>0</v>
          </cell>
        </row>
        <row r="12">
          <cell r="A12">
            <v>87149610004</v>
          </cell>
          <cell r="B12" t="str">
            <v>踏板及其零件</v>
          </cell>
          <cell r="C12">
            <v>3734008</v>
          </cell>
          <cell r="D12">
            <v>156127</v>
          </cell>
          <cell r="E12">
            <v>0</v>
          </cell>
        </row>
        <row r="13">
          <cell r="A13">
            <v>87149500007</v>
          </cell>
          <cell r="B13" t="str">
            <v>腳踏車車座</v>
          </cell>
          <cell r="C13">
            <v>3184373</v>
          </cell>
          <cell r="D13">
            <v>150159</v>
          </cell>
          <cell r="E13">
            <v>0</v>
          </cell>
        </row>
        <row r="14">
          <cell r="A14">
            <v>87149990148</v>
          </cell>
          <cell r="B14" t="str">
            <v>腳踏車用把手豎管</v>
          </cell>
          <cell r="C14">
            <v>2451059</v>
          </cell>
          <cell r="D14">
            <v>64631</v>
          </cell>
          <cell r="E14">
            <v>0</v>
          </cell>
        </row>
        <row r="15">
          <cell r="A15">
            <v>87149200108</v>
          </cell>
          <cell r="B15" t="str">
            <v>輪圈</v>
          </cell>
          <cell r="C15">
            <v>2285971</v>
          </cell>
          <cell r="D15">
            <v>89732</v>
          </cell>
          <cell r="E15">
            <v>162988</v>
          </cell>
        </row>
        <row r="16">
          <cell r="A16">
            <v>87149200206</v>
          </cell>
          <cell r="B16" t="str">
            <v>輪幅</v>
          </cell>
          <cell r="C16">
            <v>763921</v>
          </cell>
          <cell r="D16">
            <v>40384</v>
          </cell>
          <cell r="E16">
            <v>6152651</v>
          </cell>
        </row>
        <row r="17">
          <cell r="A17">
            <v>87149410006</v>
          </cell>
          <cell r="B17" t="str">
            <v>鋼?煞車器及其零件</v>
          </cell>
          <cell r="C17">
            <v>608531</v>
          </cell>
          <cell r="D17">
            <v>25164</v>
          </cell>
          <cell r="E17">
            <v>0</v>
          </cell>
        </row>
        <row r="18">
          <cell r="A18">
            <v>87149990139</v>
          </cell>
          <cell r="B18" t="str">
            <v>腳踏車用軸心</v>
          </cell>
          <cell r="C18">
            <v>442043</v>
          </cell>
          <cell r="D18">
            <v>34214</v>
          </cell>
          <cell r="E18">
            <v>0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131521</v>
          </cell>
          <cell r="D19">
            <v>4913</v>
          </cell>
          <cell r="E19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2">
          <cell r="A2" t="str">
            <v>代碼</v>
          </cell>
          <cell r="B2" t="str">
            <v>中文名稱</v>
          </cell>
          <cell r="C2" t="str">
            <v>2023年01至05月
出口金額($US)</v>
          </cell>
          <cell r="D2" t="str">
            <v>2023年01至05月
出口重量(KG)</v>
          </cell>
          <cell r="E2" t="str">
            <v>2023年01至05月
出口數量</v>
          </cell>
        </row>
        <row r="3">
          <cell r="A3">
            <v>87149120007</v>
          </cell>
          <cell r="B3" t="str">
            <v>其他車架及叉及其零件</v>
          </cell>
          <cell r="C3">
            <v>353203618</v>
          </cell>
          <cell r="D3">
            <v>5452365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97148239</v>
          </cell>
          <cell r="D4">
            <v>1893379</v>
          </cell>
          <cell r="E4">
            <v>0</v>
          </cell>
        </row>
        <row r="5">
          <cell r="A5">
            <v>87149320906</v>
          </cell>
          <cell r="B5" t="str">
            <v>其他飛輪之鏈輪</v>
          </cell>
          <cell r="C5">
            <v>57751879</v>
          </cell>
          <cell r="D5">
            <v>1134898</v>
          </cell>
          <cell r="E5">
            <v>0</v>
          </cell>
        </row>
        <row r="6">
          <cell r="A6">
            <v>87149990111</v>
          </cell>
          <cell r="B6" t="str">
            <v>腳踏車用變速器</v>
          </cell>
          <cell r="C6">
            <v>55597221</v>
          </cell>
          <cell r="D6">
            <v>496300</v>
          </cell>
          <cell r="E6">
            <v>0</v>
          </cell>
        </row>
        <row r="7">
          <cell r="A7">
            <v>87149620002</v>
          </cell>
          <cell r="B7" t="str">
            <v>曲柄齒輪及其零件</v>
          </cell>
          <cell r="C7">
            <v>46860061</v>
          </cell>
          <cell r="D7">
            <v>891562</v>
          </cell>
          <cell r="E7">
            <v>0</v>
          </cell>
        </row>
        <row r="8">
          <cell r="A8">
            <v>87149200304</v>
          </cell>
          <cell r="B8" t="str">
            <v>輪圈及輪幅</v>
          </cell>
          <cell r="C8">
            <v>43048583</v>
          </cell>
          <cell r="D8">
            <v>365608</v>
          </cell>
          <cell r="E8">
            <v>291887</v>
          </cell>
        </row>
        <row r="9">
          <cell r="A9">
            <v>87149990157</v>
          </cell>
          <cell r="B9" t="str">
            <v>腳踏車用座管及上下管</v>
          </cell>
          <cell r="C9">
            <v>32308321</v>
          </cell>
          <cell r="D9">
            <v>698094</v>
          </cell>
          <cell r="E9">
            <v>0</v>
          </cell>
        </row>
        <row r="10">
          <cell r="A10">
            <v>87149310007</v>
          </cell>
          <cell r="B10" t="str">
            <v>輪轂，但倒煞車輪轂及輪轂煞車除外</v>
          </cell>
          <cell r="C10">
            <v>25986579</v>
          </cell>
          <cell r="D10">
            <v>459493</v>
          </cell>
          <cell r="E10">
            <v>0</v>
          </cell>
        </row>
        <row r="11">
          <cell r="A11">
            <v>87149610004</v>
          </cell>
          <cell r="B11" t="str">
            <v>踏板及其零件</v>
          </cell>
          <cell r="C11">
            <v>24467384</v>
          </cell>
          <cell r="D11">
            <v>992602</v>
          </cell>
          <cell r="E11">
            <v>0</v>
          </cell>
        </row>
        <row r="12">
          <cell r="A12">
            <v>87149990166</v>
          </cell>
          <cell r="B12" t="str">
            <v>腳踏車用把手</v>
          </cell>
          <cell r="C12">
            <v>23517764</v>
          </cell>
          <cell r="D12">
            <v>691116</v>
          </cell>
          <cell r="E12">
            <v>0</v>
          </cell>
        </row>
        <row r="13">
          <cell r="A13">
            <v>87149500007</v>
          </cell>
          <cell r="B13" t="str">
            <v>腳踏車車座</v>
          </cell>
          <cell r="C13">
            <v>16511262</v>
          </cell>
          <cell r="D13">
            <v>654159</v>
          </cell>
          <cell r="E13">
            <v>0</v>
          </cell>
        </row>
        <row r="14">
          <cell r="A14">
            <v>87149200108</v>
          </cell>
          <cell r="B14" t="str">
            <v>輪圈</v>
          </cell>
          <cell r="C14">
            <v>15109943</v>
          </cell>
          <cell r="D14">
            <v>695162</v>
          </cell>
          <cell r="E14">
            <v>1319143</v>
          </cell>
        </row>
        <row r="15">
          <cell r="A15">
            <v>87149990148</v>
          </cell>
          <cell r="B15" t="str">
            <v>腳踏車用把手豎管</v>
          </cell>
          <cell r="C15">
            <v>14069869</v>
          </cell>
          <cell r="D15">
            <v>359988</v>
          </cell>
          <cell r="E15">
            <v>0</v>
          </cell>
        </row>
        <row r="16">
          <cell r="A16">
            <v>87149200206</v>
          </cell>
          <cell r="B16" t="str">
            <v>輪幅</v>
          </cell>
          <cell r="C16">
            <v>4179795</v>
          </cell>
          <cell r="D16">
            <v>315478</v>
          </cell>
          <cell r="E16">
            <v>43968879</v>
          </cell>
        </row>
        <row r="17">
          <cell r="A17">
            <v>87149410006</v>
          </cell>
          <cell r="B17" t="str">
            <v>鋼?煞車器及其零件</v>
          </cell>
          <cell r="C17">
            <v>2757430</v>
          </cell>
          <cell r="D17">
            <v>108492</v>
          </cell>
          <cell r="E17">
            <v>0</v>
          </cell>
        </row>
        <row r="18">
          <cell r="A18">
            <v>87149990139</v>
          </cell>
          <cell r="B18" t="str">
            <v>腳踏車用軸心</v>
          </cell>
          <cell r="C18">
            <v>1457337</v>
          </cell>
          <cell r="D18">
            <v>84218</v>
          </cell>
          <cell r="E18">
            <v>0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484712</v>
          </cell>
          <cell r="D19">
            <v>14279</v>
          </cell>
          <cell r="E19">
            <v>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2">
          <cell r="A2" t="str">
            <v>代碼</v>
          </cell>
          <cell r="B2" t="str">
            <v>中文名稱</v>
          </cell>
          <cell r="C2" t="str">
            <v>2023年05月
進口金額($US)</v>
          </cell>
          <cell r="D2" t="str">
            <v>2023年05月
進口重量(KG)</v>
          </cell>
          <cell r="E2" t="str">
            <v>2023年05月
進口數量</v>
          </cell>
        </row>
        <row r="3">
          <cell r="A3">
            <v>87149120007</v>
          </cell>
          <cell r="B3" t="str">
            <v>其他車架及叉及其零件</v>
          </cell>
          <cell r="C3">
            <v>42791349</v>
          </cell>
          <cell r="D3">
            <v>623889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8645635</v>
          </cell>
          <cell r="D4">
            <v>138511</v>
          </cell>
          <cell r="E4">
            <v>0</v>
          </cell>
        </row>
        <row r="5">
          <cell r="A5">
            <v>87149200108</v>
          </cell>
          <cell r="B5" t="str">
            <v>輪圈</v>
          </cell>
          <cell r="C5">
            <v>6377462</v>
          </cell>
          <cell r="D5">
            <v>100984</v>
          </cell>
          <cell r="E5">
            <v>178543</v>
          </cell>
        </row>
        <row r="6">
          <cell r="A6">
            <v>87149990111</v>
          </cell>
          <cell r="B6" t="str">
            <v>腳踏車用變速器</v>
          </cell>
          <cell r="C6">
            <v>5804242</v>
          </cell>
          <cell r="D6">
            <v>56788</v>
          </cell>
          <cell r="E6">
            <v>0</v>
          </cell>
        </row>
        <row r="7">
          <cell r="A7">
            <v>87149310007</v>
          </cell>
          <cell r="B7" t="str">
            <v>輪轂，但倒煞車輪轂及輪轂煞車除外</v>
          </cell>
          <cell r="C7">
            <v>3838461</v>
          </cell>
          <cell r="D7">
            <v>104489</v>
          </cell>
          <cell r="E7">
            <v>0</v>
          </cell>
        </row>
        <row r="8">
          <cell r="A8">
            <v>87149620002</v>
          </cell>
          <cell r="B8" t="str">
            <v>曲柄齒輪及其零件</v>
          </cell>
          <cell r="C8">
            <v>3246655</v>
          </cell>
          <cell r="D8">
            <v>106002</v>
          </cell>
          <cell r="E8">
            <v>0</v>
          </cell>
        </row>
        <row r="9">
          <cell r="A9">
            <v>87149990166</v>
          </cell>
          <cell r="B9" t="str">
            <v>腳踏車用把手</v>
          </cell>
          <cell r="C9">
            <v>2031890</v>
          </cell>
          <cell r="D9">
            <v>33477</v>
          </cell>
          <cell r="E9">
            <v>0</v>
          </cell>
        </row>
        <row r="10">
          <cell r="A10">
            <v>87149320906</v>
          </cell>
          <cell r="B10" t="str">
            <v>其他飛輪之鏈輪</v>
          </cell>
          <cell r="C10">
            <v>1888760</v>
          </cell>
          <cell r="D10">
            <v>49590</v>
          </cell>
          <cell r="E10">
            <v>0</v>
          </cell>
        </row>
        <row r="11">
          <cell r="A11">
            <v>87149500007</v>
          </cell>
          <cell r="B11" t="str">
            <v>腳踏車車座</v>
          </cell>
          <cell r="C11">
            <v>1296150</v>
          </cell>
          <cell r="D11">
            <v>70605</v>
          </cell>
          <cell r="E11">
            <v>0</v>
          </cell>
        </row>
        <row r="12">
          <cell r="A12">
            <v>87149990157</v>
          </cell>
          <cell r="B12" t="str">
            <v>腳踏車用座管及上下管</v>
          </cell>
          <cell r="C12">
            <v>1039925</v>
          </cell>
          <cell r="D12">
            <v>22670</v>
          </cell>
          <cell r="E12">
            <v>0</v>
          </cell>
        </row>
        <row r="13">
          <cell r="A13">
            <v>87149200304</v>
          </cell>
          <cell r="B13" t="str">
            <v>輪圈及輪幅</v>
          </cell>
          <cell r="C13">
            <v>640928</v>
          </cell>
          <cell r="D13">
            <v>25275</v>
          </cell>
          <cell r="E13">
            <v>139541</v>
          </cell>
        </row>
        <row r="14">
          <cell r="A14">
            <v>87149200206</v>
          </cell>
          <cell r="B14" t="str">
            <v>輪幅</v>
          </cell>
          <cell r="C14">
            <v>476362</v>
          </cell>
          <cell r="D14">
            <v>7982</v>
          </cell>
          <cell r="E14">
            <v>1733531</v>
          </cell>
        </row>
        <row r="15">
          <cell r="A15">
            <v>87149410006</v>
          </cell>
          <cell r="B15" t="str">
            <v>鋼?煞車器及其零件</v>
          </cell>
          <cell r="C15">
            <v>433983</v>
          </cell>
          <cell r="D15">
            <v>6697</v>
          </cell>
          <cell r="E15">
            <v>0</v>
          </cell>
        </row>
        <row r="16">
          <cell r="A16">
            <v>87149990148</v>
          </cell>
          <cell r="B16" t="str">
            <v>腳踏車用把手豎管</v>
          </cell>
          <cell r="C16">
            <v>412016</v>
          </cell>
          <cell r="D16">
            <v>12969</v>
          </cell>
          <cell r="E16">
            <v>0</v>
          </cell>
        </row>
        <row r="17">
          <cell r="A17">
            <v>87149320103</v>
          </cell>
          <cell r="B17" t="str">
            <v>裝有棘輪機構之單一鏈輪　</v>
          </cell>
          <cell r="C17">
            <v>337169</v>
          </cell>
          <cell r="D17">
            <v>6512</v>
          </cell>
          <cell r="E17">
            <v>0</v>
          </cell>
        </row>
        <row r="18">
          <cell r="A18">
            <v>87149610004</v>
          </cell>
          <cell r="B18" t="str">
            <v>踏板及其零件</v>
          </cell>
          <cell r="C18">
            <v>245706</v>
          </cell>
          <cell r="D18">
            <v>11115</v>
          </cell>
          <cell r="E18">
            <v>0</v>
          </cell>
        </row>
        <row r="19">
          <cell r="A19">
            <v>87149990139</v>
          </cell>
          <cell r="B19" t="str">
            <v>腳踏車用軸心</v>
          </cell>
          <cell r="C19">
            <v>95637</v>
          </cell>
          <cell r="D19">
            <v>7071</v>
          </cell>
          <cell r="E19">
            <v>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2">
          <cell r="A2" t="str">
            <v>代碼</v>
          </cell>
          <cell r="B2" t="str">
            <v>中文名稱</v>
          </cell>
          <cell r="C2" t="str">
            <v>2023年01至05月
進口金額($US)</v>
          </cell>
          <cell r="D2" t="str">
            <v>2023年01至05月
進口重量(KG)</v>
          </cell>
          <cell r="E2" t="str">
            <v>2023年01至05月
進口數量</v>
          </cell>
        </row>
        <row r="3">
          <cell r="A3">
            <v>87149120007</v>
          </cell>
          <cell r="B3" t="str">
            <v>其他車架及叉及其零件</v>
          </cell>
          <cell r="C3">
            <v>181962616</v>
          </cell>
          <cell r="D3">
            <v>3123487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55327286</v>
          </cell>
          <cell r="D4">
            <v>730787</v>
          </cell>
          <cell r="E4">
            <v>0</v>
          </cell>
        </row>
        <row r="5">
          <cell r="A5">
            <v>87149200108</v>
          </cell>
          <cell r="B5" t="str">
            <v>輪圈</v>
          </cell>
          <cell r="C5">
            <v>29169184</v>
          </cell>
          <cell r="D5">
            <v>440643</v>
          </cell>
          <cell r="E5">
            <v>820377</v>
          </cell>
        </row>
        <row r="6">
          <cell r="A6">
            <v>87149990111</v>
          </cell>
          <cell r="B6" t="str">
            <v>腳踏車用變速器</v>
          </cell>
          <cell r="C6">
            <v>26394493</v>
          </cell>
          <cell r="D6">
            <v>267540</v>
          </cell>
          <cell r="E6">
            <v>0</v>
          </cell>
        </row>
        <row r="7">
          <cell r="A7">
            <v>87149310007</v>
          </cell>
          <cell r="B7" t="str">
            <v>輪轂，但倒煞車輪轂及輪轂煞車除外</v>
          </cell>
          <cell r="C7">
            <v>21023682</v>
          </cell>
          <cell r="D7">
            <v>604893</v>
          </cell>
          <cell r="E7">
            <v>0</v>
          </cell>
        </row>
        <row r="8">
          <cell r="A8">
            <v>87149620002</v>
          </cell>
          <cell r="B8" t="str">
            <v>曲柄齒輪及其零件</v>
          </cell>
          <cell r="C8">
            <v>17401371</v>
          </cell>
          <cell r="D8">
            <v>579810</v>
          </cell>
          <cell r="E8">
            <v>0</v>
          </cell>
        </row>
        <row r="9">
          <cell r="A9">
            <v>87149990166</v>
          </cell>
          <cell r="B9" t="str">
            <v>腳踏車用把手</v>
          </cell>
          <cell r="C9">
            <v>9756294</v>
          </cell>
          <cell r="D9">
            <v>205175</v>
          </cell>
          <cell r="E9">
            <v>0</v>
          </cell>
        </row>
        <row r="10">
          <cell r="A10">
            <v>87149320906</v>
          </cell>
          <cell r="B10" t="str">
            <v>其他飛輪之鏈輪</v>
          </cell>
          <cell r="C10">
            <v>7942746</v>
          </cell>
          <cell r="D10">
            <v>240631</v>
          </cell>
          <cell r="E10">
            <v>0</v>
          </cell>
        </row>
        <row r="11">
          <cell r="A11">
            <v>87149500007</v>
          </cell>
          <cell r="B11" t="str">
            <v>腳踏車車座</v>
          </cell>
          <cell r="C11">
            <v>5430371</v>
          </cell>
          <cell r="D11">
            <v>343653</v>
          </cell>
          <cell r="E11">
            <v>0</v>
          </cell>
        </row>
        <row r="12">
          <cell r="A12">
            <v>87149990157</v>
          </cell>
          <cell r="B12" t="str">
            <v>腳踏車用座管及上下管</v>
          </cell>
          <cell r="C12">
            <v>5428109</v>
          </cell>
          <cell r="D12">
            <v>176321</v>
          </cell>
          <cell r="E12">
            <v>0</v>
          </cell>
        </row>
        <row r="13">
          <cell r="A13">
            <v>87149200304</v>
          </cell>
          <cell r="B13" t="str">
            <v>輪圈及輪幅</v>
          </cell>
          <cell r="C13">
            <v>3777974</v>
          </cell>
          <cell r="D13">
            <v>83991</v>
          </cell>
          <cell r="E13">
            <v>470936</v>
          </cell>
        </row>
        <row r="14">
          <cell r="A14">
            <v>87149200206</v>
          </cell>
          <cell r="B14" t="str">
            <v>輪幅</v>
          </cell>
          <cell r="C14">
            <v>3219933</v>
          </cell>
          <cell r="D14">
            <v>50388</v>
          </cell>
          <cell r="E14">
            <v>9589135</v>
          </cell>
        </row>
        <row r="15">
          <cell r="A15">
            <v>87149320103</v>
          </cell>
          <cell r="B15" t="str">
            <v>裝有棘輪機構之單一鏈輪　</v>
          </cell>
          <cell r="C15">
            <v>3100247</v>
          </cell>
          <cell r="D15">
            <v>57905</v>
          </cell>
          <cell r="E15">
            <v>0</v>
          </cell>
        </row>
        <row r="16">
          <cell r="A16">
            <v>87149990148</v>
          </cell>
          <cell r="B16" t="str">
            <v>腳踏車用把手豎管</v>
          </cell>
          <cell r="C16">
            <v>2172664</v>
          </cell>
          <cell r="D16">
            <v>84337</v>
          </cell>
          <cell r="E16">
            <v>0</v>
          </cell>
        </row>
        <row r="17">
          <cell r="A17">
            <v>87149410006</v>
          </cell>
          <cell r="B17" t="str">
            <v>鋼?煞車器及其零件</v>
          </cell>
          <cell r="C17">
            <v>1660612</v>
          </cell>
          <cell r="D17">
            <v>36585</v>
          </cell>
          <cell r="E17">
            <v>0</v>
          </cell>
        </row>
        <row r="18">
          <cell r="A18">
            <v>87149610004</v>
          </cell>
          <cell r="B18" t="str">
            <v>踏板及其零件</v>
          </cell>
          <cell r="C18">
            <v>1323141</v>
          </cell>
          <cell r="D18">
            <v>113530</v>
          </cell>
          <cell r="E18">
            <v>0</v>
          </cell>
        </row>
        <row r="19">
          <cell r="A19">
            <v>87149990139</v>
          </cell>
          <cell r="B19" t="str">
            <v>腳踏車用軸心</v>
          </cell>
          <cell r="C19">
            <v>682674</v>
          </cell>
          <cell r="D19">
            <v>48563</v>
          </cell>
          <cell r="E19">
            <v>0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"/>
      <sheetName val="進"/>
      <sheetName val="進同"/>
      <sheetName val="出同"/>
    </sheetNames>
    <sheetDataSet>
      <sheetData sheetId="0">
        <row r="11">
          <cell r="B11">
            <v>87149120007</v>
          </cell>
          <cell r="C11" t="str">
            <v>其他車架及叉及其零件</v>
          </cell>
          <cell r="D11" t="str">
            <v>Other frames and forks, and parts thereof</v>
          </cell>
          <cell r="E11">
            <v>62407006</v>
          </cell>
          <cell r="F11">
            <v>966457</v>
          </cell>
          <cell r="G11">
            <v>0</v>
          </cell>
        </row>
        <row r="12">
          <cell r="B12">
            <v>87149490009</v>
          </cell>
          <cell r="C12" t="str">
            <v>其他煞車器及其零件</v>
          </cell>
          <cell r="D12" t="str">
            <v>Other brakes and parts thereof</v>
          </cell>
          <cell r="E12">
            <v>18330997</v>
          </cell>
          <cell r="F12">
            <v>361912</v>
          </cell>
          <cell r="G12">
            <v>0</v>
          </cell>
        </row>
        <row r="13">
          <cell r="B13">
            <v>87149990111</v>
          </cell>
          <cell r="C13" t="str">
            <v>腳踏車用變速器</v>
          </cell>
          <cell r="D13" t="str">
            <v>Derailer of bicycles</v>
          </cell>
          <cell r="E13">
            <v>8182241</v>
          </cell>
          <cell r="F13">
            <v>76444</v>
          </cell>
          <cell r="G13">
            <v>0</v>
          </cell>
        </row>
        <row r="14">
          <cell r="B14">
            <v>87149320906</v>
          </cell>
          <cell r="C14" t="str">
            <v>其他飛輪之鏈輪</v>
          </cell>
          <cell r="D14" t="str">
            <v>Other free-wheel sprocket-wheels</v>
          </cell>
          <cell r="E14">
            <v>7608404</v>
          </cell>
          <cell r="F14">
            <v>171846</v>
          </cell>
          <cell r="G14">
            <v>0</v>
          </cell>
        </row>
        <row r="15">
          <cell r="B15">
            <v>87149620002</v>
          </cell>
          <cell r="C15" t="str">
            <v>曲柄齒輪及其零件</v>
          </cell>
          <cell r="D15" t="str">
            <v>Crank-gear and parts thereof</v>
          </cell>
          <cell r="E15">
            <v>7113018</v>
          </cell>
          <cell r="F15">
            <v>168311</v>
          </cell>
          <cell r="G15">
            <v>0</v>
          </cell>
        </row>
        <row r="16">
          <cell r="B16">
            <v>87149200304</v>
          </cell>
          <cell r="C16" t="str">
            <v>輪圈及輪幅</v>
          </cell>
          <cell r="D16" t="str">
            <v>Wheel rims and spokes</v>
          </cell>
          <cell r="E16">
            <v>6694441</v>
          </cell>
          <cell r="F16">
            <v>54477</v>
          </cell>
          <cell r="G16">
            <v>44081</v>
          </cell>
        </row>
        <row r="17">
          <cell r="B17">
            <v>87149990157</v>
          </cell>
          <cell r="C17" t="str">
            <v>腳踏車用座管及上下管</v>
          </cell>
          <cell r="D17" t="str">
            <v>Seat tube, top tube and down tube of bicycles</v>
          </cell>
          <cell r="E17">
            <v>6045216</v>
          </cell>
          <cell r="F17">
            <v>122139</v>
          </cell>
          <cell r="G17">
            <v>0</v>
          </cell>
        </row>
        <row r="18">
          <cell r="B18">
            <v>87149990166</v>
          </cell>
          <cell r="C18" t="str">
            <v>腳踏車用把手</v>
          </cell>
          <cell r="D18" t="str">
            <v>Handle-bar of bicycles</v>
          </cell>
          <cell r="E18">
            <v>4781712</v>
          </cell>
          <cell r="F18">
            <v>122468</v>
          </cell>
          <cell r="G18">
            <v>0</v>
          </cell>
        </row>
        <row r="19">
          <cell r="B19">
            <v>87149310007</v>
          </cell>
          <cell r="C19" t="str">
            <v>輪轂，但倒煞車輪轂及輪轂煞車除外</v>
          </cell>
          <cell r="D19" t="str">
            <v>Hubs, other than coaster braking hubs and hub brakes</v>
          </cell>
          <cell r="E19">
            <v>4704703</v>
          </cell>
          <cell r="F19">
            <v>75000</v>
          </cell>
          <cell r="G19">
            <v>0</v>
          </cell>
        </row>
        <row r="20">
          <cell r="B20">
            <v>87149610004</v>
          </cell>
          <cell r="C20" t="str">
            <v>踏板及其零件</v>
          </cell>
          <cell r="D20" t="str">
            <v>Pedals and parts thereof</v>
          </cell>
          <cell r="E20">
            <v>4212087</v>
          </cell>
          <cell r="F20">
            <v>176492</v>
          </cell>
          <cell r="G20">
            <v>0</v>
          </cell>
        </row>
        <row r="21">
          <cell r="B21">
            <v>87149200108</v>
          </cell>
          <cell r="C21" t="str">
            <v>輪圈</v>
          </cell>
          <cell r="D21" t="str">
            <v>Wheel rims</v>
          </cell>
          <cell r="E21">
            <v>3068759</v>
          </cell>
          <cell r="F21">
            <v>154976</v>
          </cell>
          <cell r="G21">
            <v>303152</v>
          </cell>
        </row>
        <row r="22">
          <cell r="B22">
            <v>87149500007</v>
          </cell>
          <cell r="C22" t="str">
            <v>腳踏車車座</v>
          </cell>
          <cell r="D22" t="str">
            <v>Saddles of cycles</v>
          </cell>
          <cell r="E22">
            <v>2584362</v>
          </cell>
          <cell r="F22">
            <v>81760</v>
          </cell>
          <cell r="G22">
            <v>0</v>
          </cell>
        </row>
        <row r="23">
          <cell r="B23">
            <v>87149990148</v>
          </cell>
          <cell r="C23" t="str">
            <v>腳踏車用把手豎管</v>
          </cell>
          <cell r="D23" t="str">
            <v>Handle-bar stems of bicycles</v>
          </cell>
          <cell r="E23">
            <v>2561877</v>
          </cell>
          <cell r="F23">
            <v>61302</v>
          </cell>
          <cell r="G23">
            <v>0</v>
          </cell>
        </row>
        <row r="24">
          <cell r="B24">
            <v>87149200206</v>
          </cell>
          <cell r="C24" t="str">
            <v>輪幅</v>
          </cell>
          <cell r="D24" t="str">
            <v>Wheel spokes</v>
          </cell>
          <cell r="E24">
            <v>687877</v>
          </cell>
          <cell r="F24">
            <v>61267</v>
          </cell>
          <cell r="G24">
            <v>9101456</v>
          </cell>
        </row>
        <row r="25">
          <cell r="B25">
            <v>87149990139</v>
          </cell>
          <cell r="C25" t="str">
            <v>腳踏車用軸心</v>
          </cell>
          <cell r="D25" t="str">
            <v>Axle of bicycles</v>
          </cell>
          <cell r="E25">
            <v>260916</v>
          </cell>
          <cell r="F25">
            <v>7835</v>
          </cell>
          <cell r="G25">
            <v>0</v>
          </cell>
        </row>
        <row r="26">
          <cell r="B26">
            <v>87149910001</v>
          </cell>
          <cell r="C26" t="str">
            <v>邊車零件</v>
          </cell>
          <cell r="D26" t="str">
            <v>Parts for side cars</v>
          </cell>
          <cell r="E26">
            <v>171943</v>
          </cell>
          <cell r="F26">
            <v>7916</v>
          </cell>
          <cell r="G26">
            <v>0</v>
          </cell>
        </row>
        <row r="27">
          <cell r="B27">
            <v>87149410006</v>
          </cell>
          <cell r="C27" t="str">
            <v>鋼?煞車器及其零件</v>
          </cell>
          <cell r="D27" t="str">
            <v>Caliper brake, and parts thereof</v>
          </cell>
          <cell r="E27">
            <v>167571</v>
          </cell>
          <cell r="F27">
            <v>6230</v>
          </cell>
          <cell r="G27">
            <v>0</v>
          </cell>
        </row>
        <row r="28">
          <cell r="B28">
            <v>87149420004</v>
          </cell>
          <cell r="C28" t="str">
            <v>倒煞車輪轂及其零件</v>
          </cell>
          <cell r="D28" t="str">
            <v>Coaster braking hub and parts thereof</v>
          </cell>
          <cell r="E28">
            <v>69228</v>
          </cell>
          <cell r="F28">
            <v>1788</v>
          </cell>
          <cell r="G28">
            <v>0</v>
          </cell>
        </row>
        <row r="29">
          <cell r="B29">
            <v>87149920009</v>
          </cell>
          <cell r="C29" t="str">
            <v>車輛用反光片、帶</v>
          </cell>
          <cell r="D29" t="str">
            <v>Reflective sheets and bands, suitable for vehicles use</v>
          </cell>
          <cell r="E29">
            <v>64988</v>
          </cell>
          <cell r="F29">
            <v>2229</v>
          </cell>
          <cell r="G29">
            <v>0</v>
          </cell>
        </row>
        <row r="30">
          <cell r="B30">
            <v>87149320103</v>
          </cell>
          <cell r="C30" t="str">
            <v>裝有棘輪機構之單一鏈輪　</v>
          </cell>
          <cell r="D30" t="str">
            <v>Single sprocket-wheel, fitted with ratchet mechanism</v>
          </cell>
          <cell r="E30">
            <v>37728</v>
          </cell>
          <cell r="F30">
            <v>1134</v>
          </cell>
          <cell r="G30">
            <v>0</v>
          </cell>
        </row>
        <row r="31">
          <cell r="B31">
            <v>85121020009</v>
          </cell>
          <cell r="C31" t="str">
            <v>腳踏車用視覺信號設備</v>
          </cell>
          <cell r="D31" t="str">
            <v>Electrical visual signalling equipment of a kind use on bicycles</v>
          </cell>
          <cell r="E31">
            <v>671779</v>
          </cell>
          <cell r="F31">
            <v>3688</v>
          </cell>
          <cell r="G31">
            <v>49549</v>
          </cell>
        </row>
        <row r="32">
          <cell r="B32">
            <v>85121010001</v>
          </cell>
          <cell r="C32" t="str">
            <v>腳踏車用電氣照明設備</v>
          </cell>
          <cell r="D32" t="str">
            <v>Electrical lighting equipment of a kind used on bicycles</v>
          </cell>
          <cell r="E32">
            <v>444982</v>
          </cell>
          <cell r="F32">
            <v>3510</v>
          </cell>
          <cell r="G32">
            <v>42182</v>
          </cell>
        </row>
        <row r="33">
          <cell r="B33">
            <v>73151100209</v>
          </cell>
          <cell r="C33" t="str">
            <v>腳踏車用滾子鏈</v>
          </cell>
          <cell r="D33" t="str">
            <v>Roller chain of bicycles</v>
          </cell>
          <cell r="E33">
            <v>3895232</v>
          </cell>
          <cell r="F33">
            <v>130234</v>
          </cell>
          <cell r="G33">
            <v>0</v>
          </cell>
        </row>
        <row r="34">
          <cell r="B34">
            <v>40115000008</v>
          </cell>
          <cell r="C34" t="str">
            <v>新橡膠氣胎，腳踏車用</v>
          </cell>
          <cell r="D34" t="str">
            <v>New pneumatic tyres, of rubber, of a kind used on bicycles</v>
          </cell>
          <cell r="E34">
            <v>8293078</v>
          </cell>
          <cell r="F34">
            <v>477531</v>
          </cell>
          <cell r="G34">
            <v>622288</v>
          </cell>
        </row>
        <row r="35">
          <cell r="B35">
            <v>40132000003</v>
          </cell>
          <cell r="C35" t="str">
            <v>橡膠內胎，腳踏車用</v>
          </cell>
          <cell r="D35" t="str">
            <v>Inner tubes, of rubber, of a kind used on bicycles</v>
          </cell>
          <cell r="E35">
            <v>555478</v>
          </cell>
          <cell r="F35">
            <v>55881</v>
          </cell>
          <cell r="G35">
            <v>303108</v>
          </cell>
        </row>
      </sheetData>
      <sheetData sheetId="1"/>
      <sheetData sheetId="2"/>
      <sheetData sheetId="3">
        <row r="11">
          <cell r="B11">
            <v>87149120007</v>
          </cell>
          <cell r="C11" t="str">
            <v>其他車架及叉及其零件</v>
          </cell>
          <cell r="D11" t="str">
            <v>Other frames and forks, and parts thereof</v>
          </cell>
          <cell r="E11">
            <v>161464692</v>
          </cell>
          <cell r="F11">
            <v>146393161</v>
          </cell>
          <cell r="G11">
            <v>3019272</v>
          </cell>
          <cell r="H11">
            <v>2334352</v>
          </cell>
          <cell r="I11">
            <v>0</v>
          </cell>
          <cell r="J11">
            <v>0</v>
          </cell>
        </row>
        <row r="12">
          <cell r="B12">
            <v>87149490009</v>
          </cell>
          <cell r="C12" t="str">
            <v>其他煞車器及其零件</v>
          </cell>
          <cell r="D12" t="str">
            <v>Other brakes and parts thereof</v>
          </cell>
          <cell r="E12">
            <v>67855006</v>
          </cell>
          <cell r="F12">
            <v>41443682</v>
          </cell>
          <cell r="G12">
            <v>1789803</v>
          </cell>
          <cell r="H12">
            <v>847666</v>
          </cell>
          <cell r="I12">
            <v>0</v>
          </cell>
          <cell r="J12">
            <v>0</v>
          </cell>
        </row>
        <row r="13">
          <cell r="B13">
            <v>87149320906</v>
          </cell>
          <cell r="C13" t="str">
            <v>其他飛輪之鏈輪</v>
          </cell>
          <cell r="D13" t="str">
            <v>Other free-wheel sprocket-wheels</v>
          </cell>
          <cell r="E13">
            <v>0</v>
          </cell>
          <cell r="F13">
            <v>22038308</v>
          </cell>
          <cell r="G13">
            <v>0</v>
          </cell>
          <cell r="H13">
            <v>459018</v>
          </cell>
          <cell r="I13">
            <v>0</v>
          </cell>
          <cell r="J13">
            <v>0</v>
          </cell>
        </row>
        <row r="14">
          <cell r="B14">
            <v>87149990111</v>
          </cell>
          <cell r="C14" t="str">
            <v>腳踏車用變速器</v>
          </cell>
          <cell r="D14" t="str">
            <v>Derailer of bicycles</v>
          </cell>
          <cell r="E14">
            <v>26711033</v>
          </cell>
          <cell r="F14">
            <v>19689724</v>
          </cell>
          <cell r="G14">
            <v>341579</v>
          </cell>
          <cell r="H14">
            <v>188903</v>
          </cell>
          <cell r="I14">
            <v>0</v>
          </cell>
          <cell r="J14">
            <v>0</v>
          </cell>
        </row>
        <row r="15">
          <cell r="B15">
            <v>87149200304</v>
          </cell>
          <cell r="C15" t="str">
            <v>輪圈及輪幅</v>
          </cell>
          <cell r="D15" t="str">
            <v>Wheel rims and spokes</v>
          </cell>
          <cell r="E15">
            <v>14154547</v>
          </cell>
          <cell r="F15">
            <v>18993100</v>
          </cell>
          <cell r="G15">
            <v>171676</v>
          </cell>
          <cell r="H15">
            <v>166204</v>
          </cell>
          <cell r="I15">
            <v>148749</v>
          </cell>
          <cell r="J15">
            <v>124033</v>
          </cell>
        </row>
        <row r="16">
          <cell r="B16">
            <v>87149620002</v>
          </cell>
          <cell r="C16" t="str">
            <v>曲柄齒輪及其零件</v>
          </cell>
          <cell r="D16" t="str">
            <v>Crank-gear and parts thereof</v>
          </cell>
          <cell r="E16">
            <v>27240997</v>
          </cell>
          <cell r="F16">
            <v>17755936</v>
          </cell>
          <cell r="G16">
            <v>776419</v>
          </cell>
          <cell r="H16">
            <v>365711</v>
          </cell>
          <cell r="I16">
            <v>0</v>
          </cell>
          <cell r="J16">
            <v>0</v>
          </cell>
        </row>
        <row r="17">
          <cell r="B17">
            <v>87149990157</v>
          </cell>
          <cell r="C17" t="str">
            <v>腳踏車用座管及上下管</v>
          </cell>
          <cell r="D17" t="str">
            <v>Seat tube, top tube and down tube of bicycles</v>
          </cell>
          <cell r="E17">
            <v>15640420</v>
          </cell>
          <cell r="F17">
            <v>13547009</v>
          </cell>
          <cell r="G17">
            <v>381741</v>
          </cell>
          <cell r="H17">
            <v>307803</v>
          </cell>
          <cell r="I17">
            <v>0</v>
          </cell>
          <cell r="J17">
            <v>0</v>
          </cell>
        </row>
        <row r="18">
          <cell r="B18">
            <v>87149610004</v>
          </cell>
          <cell r="C18" t="str">
            <v>踏板及其零件</v>
          </cell>
          <cell r="D18" t="str">
            <v>Pedals and parts thereof</v>
          </cell>
          <cell r="E18">
            <v>16530496</v>
          </cell>
          <cell r="F18">
            <v>10689254</v>
          </cell>
          <cell r="G18">
            <v>780858</v>
          </cell>
          <cell r="H18">
            <v>446012</v>
          </cell>
          <cell r="I18">
            <v>0</v>
          </cell>
          <cell r="J18">
            <v>0</v>
          </cell>
        </row>
        <row r="19">
          <cell r="B19">
            <v>87149990166</v>
          </cell>
          <cell r="C19" t="str">
            <v>腳踏車用把手</v>
          </cell>
          <cell r="D19" t="str">
            <v>Handle-bar of bicycles</v>
          </cell>
          <cell r="E19">
            <v>12932653</v>
          </cell>
          <cell r="F19">
            <v>10591689</v>
          </cell>
          <cell r="G19">
            <v>444317</v>
          </cell>
          <cell r="H19">
            <v>296811</v>
          </cell>
          <cell r="I19">
            <v>0</v>
          </cell>
          <cell r="J19">
            <v>0</v>
          </cell>
        </row>
        <row r="20">
          <cell r="B20">
            <v>87149310007</v>
          </cell>
          <cell r="C20" t="str">
            <v>輪轂，但倒煞車輪轂及輪轂煞車除外</v>
          </cell>
          <cell r="D20" t="str">
            <v>Hubs, other than coaster braking hubs and hub brakes</v>
          </cell>
          <cell r="E20">
            <v>13614595</v>
          </cell>
          <cell r="F20">
            <v>10068226</v>
          </cell>
          <cell r="G20">
            <v>260215</v>
          </cell>
          <cell r="H20">
            <v>190291</v>
          </cell>
          <cell r="I20">
            <v>0</v>
          </cell>
          <cell r="J20">
            <v>0</v>
          </cell>
        </row>
        <row r="21">
          <cell r="B21">
            <v>87149500007</v>
          </cell>
          <cell r="C21" t="str">
            <v>腳踏車車座</v>
          </cell>
          <cell r="D21" t="str">
            <v>Saddles of cycles</v>
          </cell>
          <cell r="E21">
            <v>9157225</v>
          </cell>
          <cell r="F21">
            <v>6832528</v>
          </cell>
          <cell r="G21">
            <v>480106</v>
          </cell>
          <cell r="H21">
            <v>249846</v>
          </cell>
          <cell r="I21">
            <v>0</v>
          </cell>
          <cell r="J21">
            <v>0</v>
          </cell>
        </row>
        <row r="22">
          <cell r="B22">
            <v>87149200108</v>
          </cell>
          <cell r="C22" t="str">
            <v>輪圈</v>
          </cell>
          <cell r="D22" t="str">
            <v>Wheel rims</v>
          </cell>
          <cell r="E22">
            <v>8844504</v>
          </cell>
          <cell r="F22">
            <v>6340391</v>
          </cell>
          <cell r="G22">
            <v>449594</v>
          </cell>
          <cell r="H22">
            <v>307699</v>
          </cell>
          <cell r="I22">
            <v>826305</v>
          </cell>
          <cell r="J22">
            <v>588746</v>
          </cell>
        </row>
        <row r="23">
          <cell r="B23">
            <v>87149990148</v>
          </cell>
          <cell r="C23" t="str">
            <v>腳踏車用把手豎管</v>
          </cell>
          <cell r="D23" t="str">
            <v>Handle-bar stems of bicycles</v>
          </cell>
          <cell r="E23">
            <v>8920699</v>
          </cell>
          <cell r="F23">
            <v>5977029</v>
          </cell>
          <cell r="G23">
            <v>295087</v>
          </cell>
          <cell r="H23">
            <v>158919</v>
          </cell>
          <cell r="I23">
            <v>0</v>
          </cell>
          <cell r="J23">
            <v>0</v>
          </cell>
        </row>
        <row r="24">
          <cell r="B24">
            <v>87149200206</v>
          </cell>
          <cell r="C24" t="str">
            <v>輪幅</v>
          </cell>
          <cell r="D24" t="str">
            <v>Wheel spokes</v>
          </cell>
          <cell r="E24">
            <v>3756513</v>
          </cell>
          <cell r="F24">
            <v>1428657</v>
          </cell>
          <cell r="G24">
            <v>433410</v>
          </cell>
          <cell r="H24">
            <v>118615</v>
          </cell>
          <cell r="I24">
            <v>60216258</v>
          </cell>
          <cell r="J24">
            <v>16217588</v>
          </cell>
        </row>
        <row r="25">
          <cell r="B25">
            <v>87149410006</v>
          </cell>
          <cell r="C25" t="str">
            <v>鋼?煞車器及其零件</v>
          </cell>
          <cell r="D25" t="str">
            <v>Caliper brake, and parts thereof</v>
          </cell>
          <cell r="E25">
            <v>1653645</v>
          </cell>
          <cell r="F25">
            <v>1075086</v>
          </cell>
          <cell r="G25">
            <v>68425</v>
          </cell>
          <cell r="H25">
            <v>40906</v>
          </cell>
          <cell r="I25">
            <v>0</v>
          </cell>
          <cell r="J25">
            <v>0</v>
          </cell>
        </row>
        <row r="26">
          <cell r="B26">
            <v>87149420004</v>
          </cell>
          <cell r="C26" t="str">
            <v>倒煞車輪轂及其零件</v>
          </cell>
          <cell r="D26" t="str">
            <v>Coaster braking hub and parts thereof</v>
          </cell>
          <cell r="E26">
            <v>222885</v>
          </cell>
          <cell r="F26">
            <v>721776</v>
          </cell>
          <cell r="G26">
            <v>23992</v>
          </cell>
          <cell r="H26">
            <v>12503</v>
          </cell>
          <cell r="I26">
            <v>0</v>
          </cell>
          <cell r="J26">
            <v>0</v>
          </cell>
        </row>
        <row r="27">
          <cell r="B27">
            <v>87149990139</v>
          </cell>
          <cell r="C27" t="str">
            <v>腳踏車用軸心</v>
          </cell>
          <cell r="D27" t="str">
            <v>Axle of bicycles</v>
          </cell>
          <cell r="E27">
            <v>1061568</v>
          </cell>
          <cell r="F27">
            <v>630165</v>
          </cell>
          <cell r="G27">
            <v>53134</v>
          </cell>
          <cell r="H27">
            <v>27789</v>
          </cell>
          <cell r="I27">
            <v>0</v>
          </cell>
          <cell r="J27">
            <v>0</v>
          </cell>
        </row>
        <row r="28">
          <cell r="B28">
            <v>87149910001</v>
          </cell>
          <cell r="C28" t="str">
            <v>邊車零件</v>
          </cell>
          <cell r="D28" t="str">
            <v>Parts for side cars</v>
          </cell>
          <cell r="E28">
            <v>607935</v>
          </cell>
          <cell r="F28">
            <v>357727</v>
          </cell>
          <cell r="G28">
            <v>32710</v>
          </cell>
          <cell r="H28">
            <v>25022</v>
          </cell>
          <cell r="I28">
            <v>0</v>
          </cell>
          <cell r="J28">
            <v>0</v>
          </cell>
        </row>
        <row r="29">
          <cell r="B29">
            <v>87149920009</v>
          </cell>
          <cell r="C29" t="str">
            <v>車輛用反光片、帶</v>
          </cell>
          <cell r="D29" t="str">
            <v>Reflective sheets and bands, suitable for vehicles use</v>
          </cell>
          <cell r="E29">
            <v>443998</v>
          </cell>
          <cell r="F29">
            <v>211493</v>
          </cell>
          <cell r="G29">
            <v>20523</v>
          </cell>
          <cell r="H29">
            <v>12117</v>
          </cell>
          <cell r="I29">
            <v>0</v>
          </cell>
          <cell r="J29">
            <v>0</v>
          </cell>
        </row>
        <row r="30">
          <cell r="B30">
            <v>87149320103</v>
          </cell>
          <cell r="C30" t="str">
            <v>裝有棘輪機構之單一鏈輪　</v>
          </cell>
          <cell r="D30" t="str">
            <v>Single sprocket-wheel, fitted with ratchet mechanism</v>
          </cell>
          <cell r="E30">
            <v>0</v>
          </cell>
          <cell r="F30">
            <v>150113</v>
          </cell>
          <cell r="G30">
            <v>0</v>
          </cell>
          <cell r="H30">
            <v>4036</v>
          </cell>
          <cell r="I30">
            <v>0</v>
          </cell>
          <cell r="J30">
            <v>0</v>
          </cell>
        </row>
        <row r="31">
          <cell r="B31">
            <v>87149320005</v>
          </cell>
          <cell r="C31" t="str">
            <v>飛輪之鏈輪</v>
          </cell>
          <cell r="D31" t="str">
            <v>Free-wheel sprocket-wheels</v>
          </cell>
          <cell r="E31">
            <v>21081807</v>
          </cell>
          <cell r="F31">
            <v>0</v>
          </cell>
          <cell r="G31">
            <v>564289</v>
          </cell>
          <cell r="H31">
            <v>0</v>
          </cell>
          <cell r="I31">
            <v>0</v>
          </cell>
          <cell r="J31">
            <v>0</v>
          </cell>
        </row>
        <row r="32">
          <cell r="B32">
            <v>87149990120</v>
          </cell>
          <cell r="C32" t="str">
            <v>腳踏車用飛輪</v>
          </cell>
          <cell r="D32" t="str">
            <v>Free wheel of bicycles</v>
          </cell>
          <cell r="E32">
            <v>4558568</v>
          </cell>
          <cell r="F32">
            <v>0</v>
          </cell>
          <cell r="G32">
            <v>179676</v>
          </cell>
          <cell r="H32">
            <v>0</v>
          </cell>
          <cell r="I32">
            <v>0</v>
          </cell>
          <cell r="J32">
            <v>0</v>
          </cell>
        </row>
        <row r="33">
          <cell r="B33">
            <v>85121010001</v>
          </cell>
          <cell r="C33" t="str">
            <v>腳踏車用電氣照明設備</v>
          </cell>
          <cell r="D33" t="str">
            <v>Electrical lighting equipment of a kind used on bicycles</v>
          </cell>
          <cell r="E33">
            <v>4718262</v>
          </cell>
          <cell r="F33">
            <v>2031581</v>
          </cell>
          <cell r="G33">
            <v>39628</v>
          </cell>
          <cell r="H33">
            <v>16206</v>
          </cell>
          <cell r="I33">
            <v>378818</v>
          </cell>
          <cell r="J33">
            <v>125842</v>
          </cell>
        </row>
        <row r="34">
          <cell r="B34">
            <v>85121020009</v>
          </cell>
          <cell r="C34" t="str">
            <v>腳踏車用視覺信號設備</v>
          </cell>
          <cell r="D34" t="str">
            <v>Electrical visual signalling equipment of a kind use on bicycles</v>
          </cell>
          <cell r="E34">
            <v>1972360</v>
          </cell>
          <cell r="F34">
            <v>1810994</v>
          </cell>
          <cell r="G34">
            <v>14205</v>
          </cell>
          <cell r="H34">
            <v>9979</v>
          </cell>
          <cell r="I34">
            <v>123171</v>
          </cell>
          <cell r="J34">
            <v>119825</v>
          </cell>
        </row>
        <row r="35">
          <cell r="B35">
            <v>73151100209</v>
          </cell>
          <cell r="C35" t="str">
            <v>腳踏車用滾子鏈</v>
          </cell>
          <cell r="D35" t="str">
            <v>Roller chain of bicycles</v>
          </cell>
          <cell r="E35">
            <v>8716460</v>
          </cell>
          <cell r="F35">
            <v>7337582</v>
          </cell>
          <cell r="G35">
            <v>419114</v>
          </cell>
          <cell r="H35">
            <v>268277</v>
          </cell>
          <cell r="I35">
            <v>0</v>
          </cell>
          <cell r="J35">
            <v>0</v>
          </cell>
        </row>
        <row r="36">
          <cell r="B36">
            <v>40115000008</v>
          </cell>
          <cell r="C36" t="str">
            <v>新橡膠氣胎，腳踏車用</v>
          </cell>
          <cell r="D36" t="str">
            <v>New pneumatic tyres, of rubber, of a kind used on bicycles</v>
          </cell>
          <cell r="E36">
            <v>25624637</v>
          </cell>
          <cell r="F36">
            <v>17028731</v>
          </cell>
          <cell r="G36">
            <v>1521882</v>
          </cell>
          <cell r="H36">
            <v>949689</v>
          </cell>
          <cell r="I36">
            <v>2123210</v>
          </cell>
          <cell r="J36">
            <v>1257665</v>
          </cell>
        </row>
        <row r="37">
          <cell r="B37">
            <v>40132000003</v>
          </cell>
          <cell r="C37" t="str">
            <v>橡膠內胎，腳踏車用</v>
          </cell>
          <cell r="D37" t="str">
            <v>Inner tubes, of rubber, of a kind used on bicycles</v>
          </cell>
          <cell r="E37">
            <v>4184855</v>
          </cell>
          <cell r="F37">
            <v>1452598</v>
          </cell>
          <cell r="G37">
            <v>403901</v>
          </cell>
          <cell r="H37">
            <v>134530</v>
          </cell>
          <cell r="I37">
            <v>2112173</v>
          </cell>
          <cell r="J37">
            <v>747903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全年進口類別合計驗算"/>
      <sheetName val="Sheet2(登會訊)"/>
      <sheetName val="二全年出口類別合計驗算"/>
      <sheetName val="主要進出口國家統計"/>
      <sheetName val="零件出口同期比較"/>
      <sheetName val="零件進口同期比較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2">
          <cell r="A2" t="str">
            <v>中文名稱</v>
          </cell>
          <cell r="B2" t="str">
            <v>2023年01至05月
出口金額($US)</v>
          </cell>
          <cell r="C2" t="str">
            <v>2023年01至05月
出口數量</v>
          </cell>
        </row>
        <row r="3">
          <cell r="A3" t="str">
            <v>總計</v>
          </cell>
          <cell r="B3">
            <v>634728880</v>
          </cell>
          <cell r="C3">
            <v>676162</v>
          </cell>
        </row>
        <row r="4">
          <cell r="A4" t="str">
            <v>美國</v>
          </cell>
          <cell r="B4">
            <v>220656986</v>
          </cell>
          <cell r="C4">
            <v>228232</v>
          </cell>
        </row>
        <row r="5">
          <cell r="A5" t="str">
            <v>荷蘭</v>
          </cell>
          <cell r="B5">
            <v>80569877</v>
          </cell>
          <cell r="C5">
            <v>66750</v>
          </cell>
        </row>
        <row r="6">
          <cell r="A6" t="str">
            <v>中國大陸</v>
          </cell>
          <cell r="B6">
            <v>48565855</v>
          </cell>
          <cell r="C6">
            <v>59541</v>
          </cell>
        </row>
        <row r="7">
          <cell r="A7" t="str">
            <v>英國</v>
          </cell>
          <cell r="B7">
            <v>31452758</v>
          </cell>
          <cell r="C7">
            <v>38308</v>
          </cell>
        </row>
        <row r="8">
          <cell r="A8" t="str">
            <v>澳大利亞</v>
          </cell>
          <cell r="B8">
            <v>30309693</v>
          </cell>
          <cell r="C8">
            <v>20739</v>
          </cell>
        </row>
        <row r="9">
          <cell r="A9" t="str">
            <v>德國</v>
          </cell>
          <cell r="B9">
            <v>25521513</v>
          </cell>
          <cell r="C9">
            <v>50501</v>
          </cell>
        </row>
        <row r="10">
          <cell r="A10" t="str">
            <v>加拿大</v>
          </cell>
          <cell r="B10">
            <v>25367050</v>
          </cell>
          <cell r="C10">
            <v>20474</v>
          </cell>
        </row>
        <row r="11">
          <cell r="A11" t="str">
            <v>日本</v>
          </cell>
          <cell r="B11">
            <v>18159724</v>
          </cell>
          <cell r="C11">
            <v>22929</v>
          </cell>
        </row>
        <row r="12">
          <cell r="A12" t="str">
            <v>南韓</v>
          </cell>
          <cell r="B12">
            <v>18151863</v>
          </cell>
          <cell r="C12">
            <v>14728</v>
          </cell>
        </row>
        <row r="13">
          <cell r="A13" t="str">
            <v>法國</v>
          </cell>
          <cell r="B13">
            <v>18123438</v>
          </cell>
          <cell r="C13">
            <v>21245</v>
          </cell>
        </row>
        <row r="14">
          <cell r="A14" t="str">
            <v>比利時</v>
          </cell>
          <cell r="B14">
            <v>17196122</v>
          </cell>
          <cell r="C14">
            <v>12094</v>
          </cell>
        </row>
        <row r="15">
          <cell r="A15" t="str">
            <v>義大利</v>
          </cell>
          <cell r="B15">
            <v>10178860</v>
          </cell>
          <cell r="C15">
            <v>6109</v>
          </cell>
        </row>
        <row r="16">
          <cell r="A16" t="str">
            <v>瑞士</v>
          </cell>
          <cell r="B16">
            <v>7159673</v>
          </cell>
          <cell r="C16">
            <v>5268</v>
          </cell>
        </row>
        <row r="17">
          <cell r="A17" t="str">
            <v>西班牙</v>
          </cell>
          <cell r="B17">
            <v>6491223</v>
          </cell>
          <cell r="C17">
            <v>6409</v>
          </cell>
        </row>
        <row r="18">
          <cell r="A18" t="str">
            <v>墨西哥</v>
          </cell>
          <cell r="B18">
            <v>6396708</v>
          </cell>
          <cell r="C18">
            <v>4955</v>
          </cell>
        </row>
        <row r="19">
          <cell r="A19" t="str">
            <v>挪威</v>
          </cell>
          <cell r="B19">
            <v>6048936</v>
          </cell>
          <cell r="C19">
            <v>15510</v>
          </cell>
        </row>
        <row r="20">
          <cell r="A20" t="str">
            <v>紐西蘭</v>
          </cell>
          <cell r="B20">
            <v>6048024</v>
          </cell>
          <cell r="C20">
            <v>3906</v>
          </cell>
        </row>
        <row r="21">
          <cell r="A21" t="str">
            <v>巴拿馬</v>
          </cell>
          <cell r="B21">
            <v>5757117</v>
          </cell>
          <cell r="C21">
            <v>2707</v>
          </cell>
        </row>
        <row r="22">
          <cell r="A22" t="str">
            <v>瑞典</v>
          </cell>
          <cell r="B22">
            <v>4433373</v>
          </cell>
          <cell r="C22">
            <v>20939</v>
          </cell>
        </row>
        <row r="23">
          <cell r="A23" t="str">
            <v>南非</v>
          </cell>
          <cell r="B23">
            <v>4208207</v>
          </cell>
          <cell r="C23">
            <v>2168</v>
          </cell>
        </row>
        <row r="24">
          <cell r="A24" t="str">
            <v>巴西</v>
          </cell>
          <cell r="B24">
            <v>4061100</v>
          </cell>
          <cell r="C24">
            <v>2692</v>
          </cell>
        </row>
        <row r="25">
          <cell r="A25" t="str">
            <v>波蘭</v>
          </cell>
          <cell r="B25">
            <v>3851848</v>
          </cell>
          <cell r="C25">
            <v>7363</v>
          </cell>
        </row>
        <row r="26">
          <cell r="A26" t="str">
            <v>哥倫比亞</v>
          </cell>
          <cell r="B26">
            <v>3658284</v>
          </cell>
          <cell r="C26">
            <v>2224</v>
          </cell>
        </row>
        <row r="27">
          <cell r="A27" t="str">
            <v>新加坡</v>
          </cell>
          <cell r="B27">
            <v>3011341</v>
          </cell>
          <cell r="C27">
            <v>1957</v>
          </cell>
        </row>
        <row r="28">
          <cell r="A28" t="str">
            <v>智利</v>
          </cell>
          <cell r="B28">
            <v>2967587</v>
          </cell>
          <cell r="C28">
            <v>1877</v>
          </cell>
        </row>
        <row r="29">
          <cell r="A29" t="str">
            <v>丹麥</v>
          </cell>
          <cell r="B29">
            <v>2556822</v>
          </cell>
          <cell r="C29">
            <v>6359</v>
          </cell>
        </row>
        <row r="30">
          <cell r="A30" t="str">
            <v>以色列</v>
          </cell>
          <cell r="B30">
            <v>2513511</v>
          </cell>
          <cell r="C30">
            <v>2215</v>
          </cell>
        </row>
        <row r="31">
          <cell r="A31" t="str">
            <v>香港</v>
          </cell>
          <cell r="B31">
            <v>2284738</v>
          </cell>
          <cell r="C31">
            <v>2464</v>
          </cell>
        </row>
        <row r="32">
          <cell r="A32" t="str">
            <v>捷克</v>
          </cell>
          <cell r="B32">
            <v>2126140</v>
          </cell>
          <cell r="C32">
            <v>4768</v>
          </cell>
        </row>
        <row r="33">
          <cell r="A33" t="str">
            <v>馬來西亞</v>
          </cell>
          <cell r="B33">
            <v>1768295</v>
          </cell>
          <cell r="C33">
            <v>909</v>
          </cell>
        </row>
        <row r="34">
          <cell r="A34" t="str">
            <v>阿拉伯聯合大公國</v>
          </cell>
          <cell r="B34">
            <v>1395293</v>
          </cell>
          <cell r="C34">
            <v>1152</v>
          </cell>
        </row>
        <row r="35">
          <cell r="A35" t="str">
            <v>菲律賓</v>
          </cell>
          <cell r="B35">
            <v>1181043</v>
          </cell>
          <cell r="C35">
            <v>1743</v>
          </cell>
        </row>
        <row r="36">
          <cell r="A36" t="str">
            <v>秘魯</v>
          </cell>
          <cell r="B36">
            <v>1156506</v>
          </cell>
          <cell r="C36">
            <v>569</v>
          </cell>
        </row>
        <row r="37">
          <cell r="A37" t="str">
            <v>泰國</v>
          </cell>
          <cell r="B37">
            <v>996611</v>
          </cell>
          <cell r="C37">
            <v>1294</v>
          </cell>
        </row>
        <row r="38">
          <cell r="A38" t="str">
            <v>印度</v>
          </cell>
          <cell r="B38">
            <v>980900</v>
          </cell>
          <cell r="C38">
            <v>1321</v>
          </cell>
        </row>
        <row r="39">
          <cell r="A39" t="str">
            <v>芬蘭</v>
          </cell>
          <cell r="B39">
            <v>932878</v>
          </cell>
          <cell r="C39">
            <v>1752</v>
          </cell>
        </row>
        <row r="40">
          <cell r="A40" t="str">
            <v>哥斯大黎加</v>
          </cell>
          <cell r="B40">
            <v>913512</v>
          </cell>
          <cell r="C40">
            <v>819</v>
          </cell>
        </row>
        <row r="41">
          <cell r="A41" t="str">
            <v>斯洛維尼亞</v>
          </cell>
          <cell r="B41">
            <v>880216</v>
          </cell>
          <cell r="C41">
            <v>974</v>
          </cell>
        </row>
        <row r="42">
          <cell r="A42" t="str">
            <v>奧地利</v>
          </cell>
          <cell r="B42">
            <v>746864</v>
          </cell>
          <cell r="C42">
            <v>1087</v>
          </cell>
        </row>
        <row r="43">
          <cell r="A43" t="str">
            <v>厄瓜多</v>
          </cell>
          <cell r="B43">
            <v>678873</v>
          </cell>
          <cell r="C43">
            <v>634</v>
          </cell>
        </row>
        <row r="44">
          <cell r="A44" t="str">
            <v>阿根廷</v>
          </cell>
          <cell r="B44">
            <v>641676</v>
          </cell>
          <cell r="C44">
            <v>425</v>
          </cell>
        </row>
        <row r="45">
          <cell r="A45" t="str">
            <v>俄羅斯</v>
          </cell>
          <cell r="B45">
            <v>623809</v>
          </cell>
          <cell r="C45">
            <v>1347</v>
          </cell>
        </row>
        <row r="46">
          <cell r="A46" t="str">
            <v>匈牙利</v>
          </cell>
          <cell r="B46">
            <v>456782</v>
          </cell>
          <cell r="C46">
            <v>1054</v>
          </cell>
        </row>
        <row r="47">
          <cell r="A47" t="str">
            <v>瓜地馬拉</v>
          </cell>
          <cell r="B47">
            <v>454670</v>
          </cell>
          <cell r="C47">
            <v>332</v>
          </cell>
        </row>
        <row r="48">
          <cell r="A48" t="str">
            <v>愛沙尼亞</v>
          </cell>
          <cell r="B48">
            <v>299048</v>
          </cell>
          <cell r="C48">
            <v>697</v>
          </cell>
        </row>
        <row r="49">
          <cell r="A49" t="str">
            <v>烏拉圭</v>
          </cell>
          <cell r="B49">
            <v>276469</v>
          </cell>
          <cell r="C49">
            <v>217</v>
          </cell>
        </row>
        <row r="50">
          <cell r="A50" t="str">
            <v>希臘</v>
          </cell>
          <cell r="B50">
            <v>274590</v>
          </cell>
          <cell r="C50">
            <v>1173</v>
          </cell>
        </row>
        <row r="51">
          <cell r="A51" t="str">
            <v>越南</v>
          </cell>
          <cell r="B51">
            <v>243704</v>
          </cell>
          <cell r="C51">
            <v>160</v>
          </cell>
        </row>
        <row r="52">
          <cell r="A52" t="str">
            <v>哈薩克</v>
          </cell>
          <cell r="B52">
            <v>237072</v>
          </cell>
          <cell r="C52">
            <v>290</v>
          </cell>
        </row>
        <row r="53">
          <cell r="A53" t="str">
            <v>多明尼加</v>
          </cell>
          <cell r="B53">
            <v>184149</v>
          </cell>
          <cell r="C53">
            <v>124</v>
          </cell>
        </row>
        <row r="54">
          <cell r="A54" t="str">
            <v>印尼</v>
          </cell>
          <cell r="B54">
            <v>183137</v>
          </cell>
          <cell r="C54">
            <v>58</v>
          </cell>
        </row>
        <row r="55">
          <cell r="A55" t="str">
            <v>葡萄牙</v>
          </cell>
          <cell r="B55">
            <v>169961</v>
          </cell>
          <cell r="C55">
            <v>80</v>
          </cell>
        </row>
        <row r="56">
          <cell r="A56" t="str">
            <v>立陶宛</v>
          </cell>
          <cell r="B56">
            <v>165765</v>
          </cell>
          <cell r="C56">
            <v>409</v>
          </cell>
        </row>
        <row r="57">
          <cell r="A57" t="str">
            <v>薩爾瓦多</v>
          </cell>
          <cell r="B57">
            <v>158479</v>
          </cell>
          <cell r="C57">
            <v>149</v>
          </cell>
        </row>
        <row r="58">
          <cell r="A58" t="str">
            <v>波多黎各</v>
          </cell>
          <cell r="B58">
            <v>136048</v>
          </cell>
          <cell r="C58">
            <v>260</v>
          </cell>
        </row>
        <row r="59">
          <cell r="A59" t="str">
            <v>卡達</v>
          </cell>
          <cell r="B59">
            <v>105263</v>
          </cell>
          <cell r="C59">
            <v>103</v>
          </cell>
        </row>
        <row r="60">
          <cell r="A60" t="str">
            <v>關島</v>
          </cell>
          <cell r="B60">
            <v>98155</v>
          </cell>
          <cell r="C60">
            <v>42</v>
          </cell>
        </row>
        <row r="61">
          <cell r="A61" t="str">
            <v>拉脫維亞</v>
          </cell>
          <cell r="B61">
            <v>84494</v>
          </cell>
          <cell r="C61">
            <v>263</v>
          </cell>
        </row>
        <row r="62">
          <cell r="A62" t="str">
            <v>蒙古</v>
          </cell>
          <cell r="B62">
            <v>67418</v>
          </cell>
          <cell r="C62">
            <v>61</v>
          </cell>
        </row>
        <row r="63">
          <cell r="A63" t="str">
            <v>冰島</v>
          </cell>
          <cell r="B63">
            <v>66435</v>
          </cell>
          <cell r="C63">
            <v>55</v>
          </cell>
        </row>
        <row r="64">
          <cell r="A64" t="str">
            <v>克羅埃西亞</v>
          </cell>
          <cell r="B64">
            <v>65785</v>
          </cell>
          <cell r="C64">
            <v>323</v>
          </cell>
        </row>
        <row r="65">
          <cell r="A65" t="str">
            <v>巴拉圭</v>
          </cell>
          <cell r="B65">
            <v>52881</v>
          </cell>
          <cell r="C65">
            <v>28</v>
          </cell>
        </row>
        <row r="66">
          <cell r="A66" t="str">
            <v>保加利亞</v>
          </cell>
          <cell r="B66">
            <v>48937</v>
          </cell>
          <cell r="C66">
            <v>325</v>
          </cell>
        </row>
        <row r="67">
          <cell r="A67" t="str">
            <v>烏克蘭</v>
          </cell>
          <cell r="B67">
            <v>44021</v>
          </cell>
          <cell r="C67">
            <v>119</v>
          </cell>
        </row>
        <row r="68">
          <cell r="A68" t="str">
            <v>法屬玻里尼西亞</v>
          </cell>
          <cell r="B68">
            <v>26202</v>
          </cell>
          <cell r="C68">
            <v>175</v>
          </cell>
        </row>
        <row r="69">
          <cell r="A69" t="str">
            <v>沙烏地阿拉伯</v>
          </cell>
          <cell r="B69">
            <v>21288</v>
          </cell>
          <cell r="C69">
            <v>17</v>
          </cell>
        </row>
        <row r="70">
          <cell r="A70" t="str">
            <v>模里西斯</v>
          </cell>
          <cell r="B70">
            <v>16534</v>
          </cell>
          <cell r="C70">
            <v>5</v>
          </cell>
        </row>
        <row r="71">
          <cell r="A71" t="str">
            <v>巴林</v>
          </cell>
          <cell r="B71">
            <v>15239</v>
          </cell>
          <cell r="C71">
            <v>20</v>
          </cell>
        </row>
        <row r="72">
          <cell r="A72" t="str">
            <v>汶萊</v>
          </cell>
          <cell r="B72">
            <v>11063</v>
          </cell>
          <cell r="C72">
            <v>7</v>
          </cell>
        </row>
        <row r="73">
          <cell r="A73" t="str">
            <v>肯亞</v>
          </cell>
          <cell r="B73">
            <v>8076</v>
          </cell>
          <cell r="C73">
            <v>3</v>
          </cell>
        </row>
        <row r="74">
          <cell r="A74" t="str">
            <v>盧森堡</v>
          </cell>
          <cell r="B74">
            <v>7582</v>
          </cell>
          <cell r="C74">
            <v>2</v>
          </cell>
        </row>
        <row r="75">
          <cell r="A75" t="str">
            <v>東加</v>
          </cell>
          <cell r="B75">
            <v>6536</v>
          </cell>
          <cell r="C75">
            <v>60</v>
          </cell>
        </row>
        <row r="76">
          <cell r="A76" t="str">
            <v>新克里多亞</v>
          </cell>
          <cell r="B76">
            <v>6438</v>
          </cell>
          <cell r="C76">
            <v>2</v>
          </cell>
        </row>
        <row r="77">
          <cell r="A77" t="str">
            <v>斯洛伐克</v>
          </cell>
          <cell r="B77">
            <v>6219</v>
          </cell>
          <cell r="C77">
            <v>50</v>
          </cell>
        </row>
        <row r="78">
          <cell r="A78" t="str">
            <v>尼加拉瓜</v>
          </cell>
          <cell r="B78">
            <v>5430</v>
          </cell>
          <cell r="C78">
            <v>2</v>
          </cell>
        </row>
        <row r="79">
          <cell r="A79" t="str">
            <v>貝南</v>
          </cell>
          <cell r="B79">
            <v>98</v>
          </cell>
          <cell r="C79">
            <v>30</v>
          </cell>
        </row>
        <row r="80">
          <cell r="A80" t="str">
            <v>迦納</v>
          </cell>
          <cell r="B80">
            <v>65</v>
          </cell>
          <cell r="C80">
            <v>10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2">
          <cell r="A2" t="str">
            <v>代碼</v>
          </cell>
          <cell r="B2" t="str">
            <v>中文名稱</v>
          </cell>
          <cell r="C2" t="str">
            <v>2022年01至05月
出口金額($US)</v>
          </cell>
          <cell r="D2" t="str">
            <v>2022年01至05月
出口重量(KG)</v>
          </cell>
        </row>
        <row r="3">
          <cell r="A3">
            <v>87149120007</v>
          </cell>
          <cell r="B3" t="str">
            <v>其他車架及叉及其零件</v>
          </cell>
          <cell r="C3">
            <v>461049560</v>
          </cell>
          <cell r="D3">
            <v>8562094</v>
          </cell>
        </row>
        <row r="4">
          <cell r="A4">
            <v>87149490009</v>
          </cell>
          <cell r="B4" t="str">
            <v>其他煞車器及其零件</v>
          </cell>
          <cell r="C4">
            <v>189104361</v>
          </cell>
          <cell r="D4">
            <v>4768994</v>
          </cell>
        </row>
        <row r="5">
          <cell r="A5">
            <v>87149620002</v>
          </cell>
          <cell r="B5" t="str">
            <v>曲柄齒輪及其零件</v>
          </cell>
          <cell r="C5">
            <v>74099435</v>
          </cell>
          <cell r="D5">
            <v>1938443</v>
          </cell>
        </row>
        <row r="6">
          <cell r="A6">
            <v>87149990111</v>
          </cell>
          <cell r="B6" t="str">
            <v>腳踏車用變速器</v>
          </cell>
          <cell r="C6">
            <v>72929867</v>
          </cell>
          <cell r="D6">
            <v>955498</v>
          </cell>
        </row>
        <row r="7">
          <cell r="A7">
            <v>87149610004</v>
          </cell>
          <cell r="B7" t="str">
            <v>踏板及其零件</v>
          </cell>
          <cell r="C7">
            <v>46143239</v>
          </cell>
          <cell r="D7">
            <v>2085697</v>
          </cell>
        </row>
        <row r="8">
          <cell r="A8">
            <v>87149990157</v>
          </cell>
          <cell r="B8" t="str">
            <v>腳踏車用座管及上下管</v>
          </cell>
          <cell r="C8">
            <v>45773774</v>
          </cell>
          <cell r="D8">
            <v>1076279</v>
          </cell>
        </row>
        <row r="9">
          <cell r="A9" t="str">
            <v>87149320005</v>
          </cell>
          <cell r="B9" t="str">
            <v>飛輪之鏈輪</v>
          </cell>
          <cell r="C9">
            <v>44576629</v>
          </cell>
          <cell r="D9">
            <v>1079441</v>
          </cell>
        </row>
        <row r="10">
          <cell r="A10">
            <v>87149200304</v>
          </cell>
          <cell r="B10" t="str">
            <v>輪圈及輪幅</v>
          </cell>
          <cell r="C10">
            <v>41607769</v>
          </cell>
          <cell r="D10">
            <v>505829</v>
          </cell>
        </row>
        <row r="11">
          <cell r="A11">
            <v>87149310007</v>
          </cell>
          <cell r="B11" t="str">
            <v>輪轂，但倒煞車輪轂及輪轂煞車除外</v>
          </cell>
          <cell r="C11">
            <v>36269565</v>
          </cell>
          <cell r="D11">
            <v>672706</v>
          </cell>
        </row>
        <row r="12">
          <cell r="A12">
            <v>87149990166</v>
          </cell>
          <cell r="B12" t="str">
            <v>腳踏車用把手</v>
          </cell>
          <cell r="C12">
            <v>32488346</v>
          </cell>
          <cell r="D12">
            <v>1102954</v>
          </cell>
        </row>
        <row r="13">
          <cell r="A13">
            <v>87149500007</v>
          </cell>
          <cell r="B13" t="str">
            <v>腳踏車車座</v>
          </cell>
          <cell r="C13">
            <v>25665887</v>
          </cell>
          <cell r="D13">
            <v>1196097</v>
          </cell>
        </row>
        <row r="14">
          <cell r="A14">
            <v>87149200108</v>
          </cell>
          <cell r="B14" t="str">
            <v>輪圈</v>
          </cell>
          <cell r="C14">
            <v>22734097</v>
          </cell>
          <cell r="D14">
            <v>1125501</v>
          </cell>
        </row>
        <row r="15">
          <cell r="A15">
            <v>87149990148</v>
          </cell>
          <cell r="B15" t="str">
            <v>腳踏車用把手豎管</v>
          </cell>
          <cell r="C15">
            <v>21357248</v>
          </cell>
          <cell r="D15">
            <v>672756</v>
          </cell>
        </row>
        <row r="16">
          <cell r="A16">
            <v>87149320906</v>
          </cell>
          <cell r="B16" t="str">
            <v>其他飛輪之鏈輪</v>
          </cell>
          <cell r="C16">
            <v>18690892</v>
          </cell>
          <cell r="D16">
            <v>541919</v>
          </cell>
        </row>
        <row r="17">
          <cell r="A17">
            <v>87149200206</v>
          </cell>
          <cell r="B17" t="str">
            <v>輪幅</v>
          </cell>
          <cell r="C17">
            <v>9739357</v>
          </cell>
          <cell r="D17">
            <v>963889</v>
          </cell>
        </row>
        <row r="18">
          <cell r="A18" t="str">
            <v>87149990120</v>
          </cell>
          <cell r="B18" t="str">
            <v>腳踏車用飛輪</v>
          </cell>
          <cell r="C18">
            <v>8946776</v>
          </cell>
          <cell r="D18">
            <v>324138</v>
          </cell>
        </row>
        <row r="19">
          <cell r="A19">
            <v>87149410006</v>
          </cell>
          <cell r="B19" t="str">
            <v>鋼?煞車器及其零件</v>
          </cell>
          <cell r="C19">
            <v>4446138</v>
          </cell>
          <cell r="D19">
            <v>172576</v>
          </cell>
        </row>
        <row r="20">
          <cell r="A20">
            <v>87149990139</v>
          </cell>
          <cell r="B20" t="str">
            <v>腳踏車用軸心</v>
          </cell>
          <cell r="C20">
            <v>3088850</v>
          </cell>
          <cell r="D20">
            <v>150437</v>
          </cell>
        </row>
        <row r="21">
          <cell r="A21">
            <v>87149320103</v>
          </cell>
          <cell r="B21" t="str">
            <v>裝有棘輪機構之單一鏈輪　</v>
          </cell>
          <cell r="C21">
            <v>265827</v>
          </cell>
          <cell r="D21">
            <v>6216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2">
          <cell r="A2" t="str">
            <v>代碼</v>
          </cell>
          <cell r="B2" t="str">
            <v>中文名稱</v>
          </cell>
          <cell r="C2" t="str">
            <v>2022年01至05月
進口金額($US)</v>
          </cell>
          <cell r="D2" t="str">
            <v>2022年01至05月
進口重量(KG)</v>
          </cell>
        </row>
        <row r="3">
          <cell r="A3">
            <v>87149120007</v>
          </cell>
          <cell r="B3" t="str">
            <v>其他車架及叉及其零件</v>
          </cell>
          <cell r="C3">
            <v>209063072</v>
          </cell>
          <cell r="D3">
            <v>4853497</v>
          </cell>
        </row>
        <row r="4">
          <cell r="A4">
            <v>87149490009</v>
          </cell>
          <cell r="B4" t="str">
            <v>其他煞車器及其零件</v>
          </cell>
          <cell r="C4">
            <v>60253154</v>
          </cell>
          <cell r="D4">
            <v>1981145</v>
          </cell>
        </row>
        <row r="5">
          <cell r="A5">
            <v>87149200108</v>
          </cell>
          <cell r="B5" t="str">
            <v>輪圈</v>
          </cell>
          <cell r="C5">
            <v>34053432</v>
          </cell>
          <cell r="D5">
            <v>684307</v>
          </cell>
        </row>
        <row r="6">
          <cell r="A6">
            <v>87149990111</v>
          </cell>
          <cell r="B6" t="str">
            <v>腳踏車用變速器</v>
          </cell>
          <cell r="C6">
            <v>32420637</v>
          </cell>
          <cell r="D6">
            <v>689648</v>
          </cell>
        </row>
        <row r="7">
          <cell r="A7">
            <v>87149310007</v>
          </cell>
          <cell r="B7" t="str">
            <v>輪轂，但倒煞車輪轂及輪轂煞車除外</v>
          </cell>
          <cell r="C7">
            <v>28906854</v>
          </cell>
          <cell r="D7">
            <v>1039991</v>
          </cell>
        </row>
        <row r="8">
          <cell r="A8">
            <v>87149620002</v>
          </cell>
          <cell r="B8" t="str">
            <v>曲柄齒輪及其零件</v>
          </cell>
          <cell r="C8">
            <v>21723981</v>
          </cell>
          <cell r="D8">
            <v>1178977</v>
          </cell>
        </row>
        <row r="9">
          <cell r="A9">
            <v>87149500007</v>
          </cell>
          <cell r="B9" t="str">
            <v>腳踏車車座</v>
          </cell>
          <cell r="C9">
            <v>13821248</v>
          </cell>
          <cell r="D9">
            <v>869565</v>
          </cell>
        </row>
        <row r="10">
          <cell r="A10">
            <v>87149990166</v>
          </cell>
          <cell r="B10" t="str">
            <v>腳踏車用把手</v>
          </cell>
          <cell r="C10">
            <v>13017864</v>
          </cell>
          <cell r="D10">
            <v>363752</v>
          </cell>
        </row>
        <row r="11">
          <cell r="A11" t="str">
            <v>87149320005</v>
          </cell>
          <cell r="B11" t="str">
            <v>飛輪之鏈輪</v>
          </cell>
          <cell r="C11">
            <v>9045723</v>
          </cell>
          <cell r="D11">
            <v>337809</v>
          </cell>
        </row>
        <row r="12">
          <cell r="A12">
            <v>87149990157</v>
          </cell>
          <cell r="B12" t="str">
            <v>腳踏車用座管及上下管</v>
          </cell>
          <cell r="C12">
            <v>7351970</v>
          </cell>
          <cell r="D12">
            <v>366737</v>
          </cell>
        </row>
        <row r="13">
          <cell r="A13">
            <v>87149410006</v>
          </cell>
          <cell r="B13" t="str">
            <v>鋼?煞車器及其零件</v>
          </cell>
          <cell r="C13">
            <v>7089912</v>
          </cell>
          <cell r="D13">
            <v>85022</v>
          </cell>
        </row>
        <row r="14">
          <cell r="A14">
            <v>87149200206</v>
          </cell>
          <cell r="B14" t="str">
            <v>輪幅</v>
          </cell>
          <cell r="C14">
            <v>6143137</v>
          </cell>
          <cell r="D14">
            <v>103475</v>
          </cell>
        </row>
        <row r="15">
          <cell r="A15">
            <v>87149610004</v>
          </cell>
          <cell r="B15" t="str">
            <v>踏板及其零件</v>
          </cell>
          <cell r="C15">
            <v>5359299</v>
          </cell>
          <cell r="D15">
            <v>443654</v>
          </cell>
        </row>
        <row r="16">
          <cell r="A16">
            <v>87149200304</v>
          </cell>
          <cell r="B16" t="str">
            <v>輪圈及輪幅</v>
          </cell>
          <cell r="C16">
            <v>4896937</v>
          </cell>
          <cell r="D16">
            <v>152190</v>
          </cell>
        </row>
        <row r="17">
          <cell r="A17">
            <v>87149990148</v>
          </cell>
          <cell r="B17" t="str">
            <v>腳踏車用把手豎管</v>
          </cell>
          <cell r="C17">
            <v>3744966</v>
          </cell>
          <cell r="D17">
            <v>213131</v>
          </cell>
        </row>
        <row r="18">
          <cell r="A18">
            <v>87149320906</v>
          </cell>
          <cell r="B18" t="str">
            <v>其他飛輪之鏈輪</v>
          </cell>
          <cell r="C18">
            <v>2571311</v>
          </cell>
          <cell r="D18">
            <v>135347</v>
          </cell>
        </row>
        <row r="19">
          <cell r="A19" t="str">
            <v>87149990120</v>
          </cell>
          <cell r="B19" t="str">
            <v>腳踏車用飛輪</v>
          </cell>
          <cell r="C19">
            <v>2244982</v>
          </cell>
          <cell r="D19">
            <v>102163</v>
          </cell>
        </row>
        <row r="20">
          <cell r="A20">
            <v>87149990139</v>
          </cell>
          <cell r="B20" t="str">
            <v>腳踏車用軸心</v>
          </cell>
          <cell r="C20">
            <v>976744</v>
          </cell>
          <cell r="D20">
            <v>118260</v>
          </cell>
        </row>
        <row r="21">
          <cell r="A21">
            <v>87149320103</v>
          </cell>
          <cell r="B21" t="str">
            <v>裝有棘輪機構之單一鏈輪　</v>
          </cell>
          <cell r="C21">
            <v>573049</v>
          </cell>
          <cell r="D21">
            <v>13284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33547174</v>
          </cell>
          <cell r="F11">
            <v>73370</v>
          </cell>
        </row>
        <row r="12">
          <cell r="C12" t="str">
            <v>荷蘭</v>
          </cell>
          <cell r="D12" t="str">
            <v>NETHERLANDS</v>
          </cell>
          <cell r="E12">
            <v>13590883</v>
          </cell>
          <cell r="F12">
            <v>14525</v>
          </cell>
        </row>
        <row r="13">
          <cell r="C13" t="str">
            <v>澳大利亞</v>
          </cell>
          <cell r="D13" t="str">
            <v>AUSTRALIA</v>
          </cell>
          <cell r="E13">
            <v>7518300</v>
          </cell>
          <cell r="F13">
            <v>8737</v>
          </cell>
        </row>
        <row r="14">
          <cell r="C14" t="str">
            <v>英國</v>
          </cell>
          <cell r="D14" t="str">
            <v>UNITED KINGDOM</v>
          </cell>
          <cell r="E14">
            <v>5955460</v>
          </cell>
          <cell r="F14">
            <v>12194</v>
          </cell>
        </row>
        <row r="15">
          <cell r="C15" t="str">
            <v>日本</v>
          </cell>
          <cell r="D15" t="str">
            <v>JAPAN</v>
          </cell>
          <cell r="E15">
            <v>3259963</v>
          </cell>
          <cell r="F15">
            <v>4019</v>
          </cell>
        </row>
        <row r="16">
          <cell r="C16" t="str">
            <v>加拿大</v>
          </cell>
          <cell r="D16" t="str">
            <v>CANADA</v>
          </cell>
          <cell r="E16">
            <v>2558579</v>
          </cell>
          <cell r="F16">
            <v>2267</v>
          </cell>
        </row>
        <row r="17">
          <cell r="C17" t="str">
            <v>比利時</v>
          </cell>
          <cell r="D17" t="str">
            <v>BELGIUM</v>
          </cell>
          <cell r="E17">
            <v>2448875</v>
          </cell>
          <cell r="F17">
            <v>4599</v>
          </cell>
        </row>
        <row r="18">
          <cell r="C18" t="str">
            <v>中國大陸</v>
          </cell>
          <cell r="D18" t="str">
            <v>CHINA</v>
          </cell>
          <cell r="E18">
            <v>2387001</v>
          </cell>
          <cell r="F18">
            <v>2168</v>
          </cell>
        </row>
        <row r="19">
          <cell r="C19" t="str">
            <v>韓國</v>
          </cell>
          <cell r="D19" t="str">
            <v>KOREA,REPUBLIC OF</v>
          </cell>
          <cell r="E19">
            <v>2212342</v>
          </cell>
          <cell r="F19">
            <v>1790</v>
          </cell>
        </row>
        <row r="20">
          <cell r="C20" t="str">
            <v>紐西蘭</v>
          </cell>
          <cell r="D20" t="str">
            <v>NEW  ZEALAND</v>
          </cell>
          <cell r="E20">
            <v>1858681</v>
          </cell>
          <cell r="F20">
            <v>1783</v>
          </cell>
        </row>
        <row r="21">
          <cell r="C21" t="str">
            <v>德國</v>
          </cell>
          <cell r="D21" t="str">
            <v>GERMANY,FEDERAL REPUBLIC  OF</v>
          </cell>
          <cell r="E21">
            <v>1411961</v>
          </cell>
          <cell r="F21">
            <v>5797</v>
          </cell>
        </row>
        <row r="22">
          <cell r="C22" t="str">
            <v>瑞士</v>
          </cell>
          <cell r="D22" t="str">
            <v>SWITZERLAND</v>
          </cell>
          <cell r="E22">
            <v>1325166</v>
          </cell>
          <cell r="F22">
            <v>835</v>
          </cell>
        </row>
        <row r="23">
          <cell r="C23" t="str">
            <v>義大利</v>
          </cell>
          <cell r="D23" t="str">
            <v>ITALY</v>
          </cell>
          <cell r="E23">
            <v>1221871</v>
          </cell>
          <cell r="F23">
            <v>1030</v>
          </cell>
        </row>
        <row r="24">
          <cell r="C24" t="str">
            <v>法國</v>
          </cell>
          <cell r="D24" t="str">
            <v>FRANCE</v>
          </cell>
          <cell r="E24">
            <v>1193068</v>
          </cell>
          <cell r="F24">
            <v>1094</v>
          </cell>
        </row>
        <row r="25">
          <cell r="C25" t="str">
            <v>新加坡</v>
          </cell>
          <cell r="D25" t="str">
            <v>SINGAPORE</v>
          </cell>
          <cell r="E25">
            <v>955426</v>
          </cell>
          <cell r="F25">
            <v>856</v>
          </cell>
        </row>
        <row r="26">
          <cell r="C26" t="str">
            <v>墨西哥</v>
          </cell>
          <cell r="D26" t="str">
            <v>MEXICO</v>
          </cell>
          <cell r="E26">
            <v>881802</v>
          </cell>
          <cell r="F26">
            <v>1226</v>
          </cell>
        </row>
        <row r="27">
          <cell r="C27" t="str">
            <v>西班牙</v>
          </cell>
          <cell r="D27" t="str">
            <v>SPAIN</v>
          </cell>
          <cell r="E27">
            <v>798510</v>
          </cell>
          <cell r="F27">
            <v>1769</v>
          </cell>
        </row>
        <row r="28">
          <cell r="C28" t="str">
            <v>俄羅斯</v>
          </cell>
          <cell r="D28" t="str">
            <v>RUSSIA</v>
          </cell>
          <cell r="E28">
            <v>779724</v>
          </cell>
          <cell r="F28">
            <v>1812</v>
          </cell>
        </row>
        <row r="29">
          <cell r="C29" t="str">
            <v>哥倫比亞</v>
          </cell>
          <cell r="D29" t="str">
            <v>COLOMBIA</v>
          </cell>
          <cell r="E29">
            <v>727903</v>
          </cell>
          <cell r="F29">
            <v>546</v>
          </cell>
        </row>
        <row r="30">
          <cell r="C30" t="str">
            <v>波蘭</v>
          </cell>
          <cell r="D30" t="str">
            <v>POLAND</v>
          </cell>
          <cell r="E30">
            <v>695253</v>
          </cell>
          <cell r="F30">
            <v>2077</v>
          </cell>
        </row>
        <row r="31">
          <cell r="C31" t="str">
            <v>南非</v>
          </cell>
          <cell r="D31" t="str">
            <v>SOUTH  AFRICA</v>
          </cell>
          <cell r="E31">
            <v>630607</v>
          </cell>
          <cell r="F31">
            <v>506</v>
          </cell>
        </row>
        <row r="32">
          <cell r="C32" t="str">
            <v>挪威</v>
          </cell>
          <cell r="D32" t="str">
            <v>NORWAY</v>
          </cell>
          <cell r="E32">
            <v>518579</v>
          </cell>
          <cell r="F32">
            <v>314</v>
          </cell>
        </row>
        <row r="33">
          <cell r="C33" t="str">
            <v>馬來西亞</v>
          </cell>
          <cell r="D33" t="str">
            <v>MALAYSIA</v>
          </cell>
          <cell r="E33">
            <v>417088</v>
          </cell>
          <cell r="F33">
            <v>332</v>
          </cell>
        </row>
        <row r="34">
          <cell r="C34" t="str">
            <v>以色列</v>
          </cell>
          <cell r="D34" t="str">
            <v>ISRAEL</v>
          </cell>
          <cell r="E34">
            <v>411890</v>
          </cell>
          <cell r="F34">
            <v>552</v>
          </cell>
        </row>
        <row r="35">
          <cell r="C35" t="str">
            <v>香港</v>
          </cell>
          <cell r="D35" t="str">
            <v>HONG KONG</v>
          </cell>
          <cell r="E35">
            <v>379724</v>
          </cell>
          <cell r="F35">
            <v>695</v>
          </cell>
        </row>
        <row r="36">
          <cell r="C36" t="str">
            <v>菲律賓</v>
          </cell>
          <cell r="D36" t="str">
            <v>PHILIPPINES</v>
          </cell>
          <cell r="E36">
            <v>377477</v>
          </cell>
          <cell r="F36">
            <v>884</v>
          </cell>
        </row>
        <row r="37">
          <cell r="C37" t="str">
            <v>丹麥</v>
          </cell>
          <cell r="D37" t="str">
            <v>DENMARK</v>
          </cell>
          <cell r="E37">
            <v>357540</v>
          </cell>
          <cell r="F37">
            <v>2376</v>
          </cell>
        </row>
        <row r="38">
          <cell r="C38" t="str">
            <v>巴拿馬</v>
          </cell>
          <cell r="D38" t="str">
            <v>PANAMA</v>
          </cell>
          <cell r="E38">
            <v>333448</v>
          </cell>
          <cell r="F38">
            <v>432</v>
          </cell>
        </row>
        <row r="39">
          <cell r="C39" t="str">
            <v>越南</v>
          </cell>
          <cell r="D39" t="str">
            <v>VIET NAM</v>
          </cell>
          <cell r="E39">
            <v>332513</v>
          </cell>
          <cell r="F39">
            <v>161</v>
          </cell>
        </row>
        <row r="40">
          <cell r="C40" t="str">
            <v>關島</v>
          </cell>
          <cell r="D40" t="str">
            <v>GUAM</v>
          </cell>
          <cell r="E40">
            <v>316499</v>
          </cell>
          <cell r="F40">
            <v>156</v>
          </cell>
        </row>
        <row r="41">
          <cell r="C41" t="str">
            <v>巴西</v>
          </cell>
          <cell r="D41" t="str">
            <v>BRAZIL</v>
          </cell>
          <cell r="E41">
            <v>284126</v>
          </cell>
          <cell r="F41">
            <v>323</v>
          </cell>
        </row>
        <row r="42">
          <cell r="C42" t="str">
            <v>智利</v>
          </cell>
          <cell r="D42" t="str">
            <v>CHILE</v>
          </cell>
          <cell r="E42">
            <v>254834</v>
          </cell>
          <cell r="F42">
            <v>188</v>
          </cell>
        </row>
        <row r="43">
          <cell r="C43" t="str">
            <v>泰國</v>
          </cell>
          <cell r="D43" t="str">
            <v>THAILAND</v>
          </cell>
          <cell r="E43">
            <v>243778</v>
          </cell>
          <cell r="F43">
            <v>156</v>
          </cell>
        </row>
        <row r="44">
          <cell r="C44" t="str">
            <v>瑞典</v>
          </cell>
          <cell r="D44" t="str">
            <v>SWEDEN</v>
          </cell>
          <cell r="E44">
            <v>210711</v>
          </cell>
          <cell r="F44">
            <v>373</v>
          </cell>
        </row>
        <row r="45">
          <cell r="C45" t="str">
            <v>阿根廷</v>
          </cell>
          <cell r="D45" t="str">
            <v>ARGENTINA</v>
          </cell>
          <cell r="E45">
            <v>193761</v>
          </cell>
          <cell r="F45">
            <v>169</v>
          </cell>
        </row>
        <row r="46">
          <cell r="C46" t="str">
            <v>捷克</v>
          </cell>
          <cell r="D46" t="str">
            <v>CZECH  REPUBLIC</v>
          </cell>
          <cell r="E46">
            <v>163570</v>
          </cell>
          <cell r="F46">
            <v>124</v>
          </cell>
        </row>
        <row r="47">
          <cell r="C47" t="str">
            <v>肯亞</v>
          </cell>
          <cell r="D47" t="str">
            <v>KENYA</v>
          </cell>
          <cell r="E47">
            <v>135910</v>
          </cell>
          <cell r="F47">
            <v>132</v>
          </cell>
        </row>
        <row r="48">
          <cell r="C48" t="str">
            <v>哥斯大黎加</v>
          </cell>
          <cell r="D48" t="str">
            <v>COSTA RICA</v>
          </cell>
          <cell r="E48">
            <v>132131</v>
          </cell>
          <cell r="F48">
            <v>81</v>
          </cell>
        </row>
        <row r="49">
          <cell r="C49" t="str">
            <v>希臘</v>
          </cell>
          <cell r="D49" t="str">
            <v>GREECE</v>
          </cell>
          <cell r="E49">
            <v>115217</v>
          </cell>
          <cell r="F49">
            <v>2810</v>
          </cell>
        </row>
        <row r="50">
          <cell r="C50" t="str">
            <v>烏克蘭</v>
          </cell>
          <cell r="D50" t="str">
            <v>UKRAINE</v>
          </cell>
          <cell r="E50">
            <v>105789</v>
          </cell>
          <cell r="F50">
            <v>117</v>
          </cell>
        </row>
        <row r="51">
          <cell r="C51" t="str">
            <v>奧地利</v>
          </cell>
          <cell r="D51" t="str">
            <v>AUSTRIA</v>
          </cell>
          <cell r="E51">
            <v>101179</v>
          </cell>
          <cell r="F51">
            <v>149</v>
          </cell>
        </row>
        <row r="52">
          <cell r="C52" t="str">
            <v>沙烏地阿拉伯</v>
          </cell>
          <cell r="D52" t="str">
            <v>SAUDI  ARABIA</v>
          </cell>
          <cell r="E52">
            <v>64056</v>
          </cell>
          <cell r="F52">
            <v>68</v>
          </cell>
        </row>
        <row r="53">
          <cell r="C53" t="str">
            <v>阿拉伯聯合大公國</v>
          </cell>
          <cell r="D53" t="str">
            <v>UNITED ARAB EMIRATES</v>
          </cell>
          <cell r="E53">
            <v>63501</v>
          </cell>
          <cell r="F53">
            <v>121</v>
          </cell>
        </row>
        <row r="54">
          <cell r="C54" t="str">
            <v>厄瓜多</v>
          </cell>
          <cell r="D54" t="str">
            <v>ECUADOR</v>
          </cell>
          <cell r="E54">
            <v>61248</v>
          </cell>
          <cell r="F54">
            <v>50</v>
          </cell>
        </row>
        <row r="55">
          <cell r="C55" t="str">
            <v>印尼</v>
          </cell>
          <cell r="D55" t="str">
            <v>INDONESIA</v>
          </cell>
          <cell r="E55">
            <v>42910</v>
          </cell>
          <cell r="F55">
            <v>34</v>
          </cell>
        </row>
        <row r="56">
          <cell r="C56" t="str">
            <v>愛爾蘭</v>
          </cell>
          <cell r="D56" t="str">
            <v>IRELAND</v>
          </cell>
          <cell r="E56">
            <v>40485</v>
          </cell>
          <cell r="F56">
            <v>250</v>
          </cell>
        </row>
        <row r="57">
          <cell r="C57" t="str">
            <v>新克里多亞</v>
          </cell>
          <cell r="D57" t="str">
            <v>NEW CALEDDNIA</v>
          </cell>
          <cell r="E57">
            <v>31889</v>
          </cell>
          <cell r="F57">
            <v>25</v>
          </cell>
        </row>
        <row r="58">
          <cell r="C58" t="str">
            <v>葡萄牙</v>
          </cell>
          <cell r="D58" t="str">
            <v>PORTUGAL</v>
          </cell>
          <cell r="E58">
            <v>30641</v>
          </cell>
          <cell r="F58">
            <v>13</v>
          </cell>
        </row>
        <row r="59">
          <cell r="C59" t="str">
            <v>薩爾瓦多</v>
          </cell>
          <cell r="D59" t="str">
            <v>EL  SALVADOR</v>
          </cell>
          <cell r="E59">
            <v>28492</v>
          </cell>
          <cell r="F59">
            <v>22</v>
          </cell>
        </row>
        <row r="60">
          <cell r="C60" t="str">
            <v>阿魯巴</v>
          </cell>
          <cell r="D60" t="str">
            <v>ARUBA</v>
          </cell>
          <cell r="E60">
            <v>7938</v>
          </cell>
          <cell r="F60">
            <v>5</v>
          </cell>
        </row>
        <row r="61">
          <cell r="C61" t="str">
            <v>黎巴嫩</v>
          </cell>
          <cell r="D61" t="str">
            <v>LEBANON</v>
          </cell>
          <cell r="E61">
            <v>7556</v>
          </cell>
          <cell r="F61">
            <v>6</v>
          </cell>
        </row>
        <row r="62">
          <cell r="C62" t="str">
            <v>印度</v>
          </cell>
          <cell r="D62" t="str">
            <v>INDIA</v>
          </cell>
          <cell r="E62">
            <v>6932</v>
          </cell>
          <cell r="F62">
            <v>6</v>
          </cell>
        </row>
        <row r="63">
          <cell r="C63" t="str">
            <v>保加利亞</v>
          </cell>
          <cell r="D63" t="str">
            <v>BULGARIA</v>
          </cell>
          <cell r="E63">
            <v>6170</v>
          </cell>
          <cell r="F63">
            <v>53</v>
          </cell>
        </row>
        <row r="64">
          <cell r="C64" t="str">
            <v>立陶宛</v>
          </cell>
          <cell r="D64" t="str">
            <v>LITHUANIA</v>
          </cell>
          <cell r="E64">
            <v>3951</v>
          </cell>
          <cell r="F64">
            <v>1</v>
          </cell>
        </row>
        <row r="65">
          <cell r="C65" t="str">
            <v>祕魯</v>
          </cell>
          <cell r="D65" t="str">
            <v>PERU</v>
          </cell>
          <cell r="E65">
            <v>3605</v>
          </cell>
          <cell r="F65">
            <v>1</v>
          </cell>
        </row>
        <row r="66">
          <cell r="C66" t="str">
            <v>芬蘭</v>
          </cell>
          <cell r="D66" t="str">
            <v>FINLAND</v>
          </cell>
          <cell r="E66">
            <v>1837</v>
          </cell>
          <cell r="F66">
            <v>6</v>
          </cell>
        </row>
        <row r="67">
          <cell r="C67" t="str">
            <v>匈牙利</v>
          </cell>
          <cell r="D67" t="str">
            <v>HUNGARY</v>
          </cell>
          <cell r="E67">
            <v>1698</v>
          </cell>
          <cell r="F67">
            <v>13</v>
          </cell>
        </row>
        <row r="68">
          <cell r="C68" t="str">
            <v>馬紹爾群島共和國</v>
          </cell>
          <cell r="D68" t="str">
            <v>MARSHALL ISLANDS</v>
          </cell>
          <cell r="E68">
            <v>763</v>
          </cell>
          <cell r="F68">
            <v>2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"/>
      <sheetName val="整車比較"/>
      <sheetName val="整車出口地區"/>
      <sheetName val="同期比較"/>
      <sheetName val="整車進口"/>
      <sheetName val="折疊車"/>
      <sheetName val="折疊出口比較"/>
      <sheetName val="電輔車"/>
      <sheetName val="電輔車比較"/>
      <sheetName val="電動摺疊同期比較"/>
      <sheetName val="零件"/>
      <sheetName val="零件出口比較"/>
      <sheetName val="零件進口比較"/>
    </sheetNames>
    <sheetDataSet>
      <sheetData sheetId="0">
        <row r="22">
          <cell r="B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12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32188211</v>
          </cell>
          <cell r="F11">
            <v>60970</v>
          </cell>
        </row>
        <row r="12">
          <cell r="C12" t="str">
            <v>荷蘭</v>
          </cell>
          <cell r="D12" t="str">
            <v>NETHERLANDS</v>
          </cell>
          <cell r="E12">
            <v>15201155</v>
          </cell>
          <cell r="F12">
            <v>15792</v>
          </cell>
        </row>
        <row r="13">
          <cell r="C13" t="str">
            <v>澳大利亞</v>
          </cell>
          <cell r="D13" t="str">
            <v>AUSTRALIA</v>
          </cell>
          <cell r="E13">
            <v>8168473</v>
          </cell>
          <cell r="F13">
            <v>12512</v>
          </cell>
        </row>
        <row r="14">
          <cell r="C14" t="str">
            <v>英國</v>
          </cell>
          <cell r="D14" t="str">
            <v>UNITED KINGDOM</v>
          </cell>
          <cell r="E14">
            <v>5372669</v>
          </cell>
          <cell r="F14">
            <v>14217</v>
          </cell>
        </row>
        <row r="15">
          <cell r="C15" t="str">
            <v>比利時</v>
          </cell>
          <cell r="D15" t="str">
            <v>BELGIUM</v>
          </cell>
          <cell r="E15">
            <v>4708366</v>
          </cell>
          <cell r="F15">
            <v>6519</v>
          </cell>
        </row>
        <row r="16">
          <cell r="C16" t="str">
            <v>瑞士</v>
          </cell>
          <cell r="D16" t="str">
            <v>SWITZERLAND</v>
          </cell>
          <cell r="E16">
            <v>3402098</v>
          </cell>
          <cell r="F16">
            <v>2736</v>
          </cell>
        </row>
        <row r="17">
          <cell r="C17" t="str">
            <v>中國大陸</v>
          </cell>
          <cell r="D17" t="str">
            <v>CHINA</v>
          </cell>
          <cell r="E17">
            <v>3401926</v>
          </cell>
          <cell r="F17">
            <v>3104</v>
          </cell>
        </row>
        <row r="18">
          <cell r="C18" t="str">
            <v>日本</v>
          </cell>
          <cell r="D18" t="str">
            <v>JAPAN</v>
          </cell>
          <cell r="E18">
            <v>3196394</v>
          </cell>
          <cell r="F18">
            <v>5220</v>
          </cell>
        </row>
        <row r="19">
          <cell r="C19" t="str">
            <v>義大利</v>
          </cell>
          <cell r="D19" t="str">
            <v>ITALY</v>
          </cell>
          <cell r="E19">
            <v>2462982</v>
          </cell>
          <cell r="F19">
            <v>1914</v>
          </cell>
        </row>
        <row r="20">
          <cell r="C20" t="str">
            <v>加拿大</v>
          </cell>
          <cell r="D20" t="str">
            <v>CANADA</v>
          </cell>
          <cell r="E20">
            <v>2345835</v>
          </cell>
          <cell r="F20">
            <v>3014</v>
          </cell>
        </row>
        <row r="21">
          <cell r="C21" t="str">
            <v>紐西蘭</v>
          </cell>
          <cell r="D21" t="str">
            <v>NEW  ZEALAND</v>
          </cell>
          <cell r="E21">
            <v>2014871</v>
          </cell>
          <cell r="F21">
            <v>2182</v>
          </cell>
        </row>
        <row r="22">
          <cell r="C22" t="str">
            <v>德國</v>
          </cell>
          <cell r="D22" t="str">
            <v>GERMANY,FEDERAL REPUBLIC  OF</v>
          </cell>
          <cell r="E22">
            <v>1991602</v>
          </cell>
          <cell r="F22">
            <v>5920</v>
          </cell>
        </row>
        <row r="23">
          <cell r="C23" t="str">
            <v>韓國</v>
          </cell>
          <cell r="D23" t="str">
            <v>KOREA,REPUBLIC OF</v>
          </cell>
          <cell r="E23">
            <v>1984044</v>
          </cell>
          <cell r="F23">
            <v>1546</v>
          </cell>
        </row>
        <row r="24">
          <cell r="C24" t="str">
            <v>新加坡</v>
          </cell>
          <cell r="D24" t="str">
            <v>SINGAPORE</v>
          </cell>
          <cell r="E24">
            <v>1781279</v>
          </cell>
          <cell r="F24">
            <v>1391</v>
          </cell>
        </row>
        <row r="25">
          <cell r="C25" t="str">
            <v>西班牙</v>
          </cell>
          <cell r="D25" t="str">
            <v>SPAIN</v>
          </cell>
          <cell r="E25">
            <v>1213680</v>
          </cell>
          <cell r="F25">
            <v>2665</v>
          </cell>
        </row>
        <row r="26">
          <cell r="C26" t="str">
            <v>俄羅斯</v>
          </cell>
          <cell r="D26" t="str">
            <v>RUSSIA</v>
          </cell>
          <cell r="E26">
            <v>1193493</v>
          </cell>
          <cell r="F26">
            <v>2631</v>
          </cell>
        </row>
        <row r="27">
          <cell r="C27" t="str">
            <v>馬來西亞</v>
          </cell>
          <cell r="D27" t="str">
            <v>MALAYSIA</v>
          </cell>
          <cell r="E27">
            <v>1167495</v>
          </cell>
          <cell r="F27">
            <v>830</v>
          </cell>
        </row>
        <row r="28">
          <cell r="C28" t="str">
            <v>印尼</v>
          </cell>
          <cell r="D28" t="str">
            <v>INDONESIA</v>
          </cell>
          <cell r="E28">
            <v>958153</v>
          </cell>
          <cell r="F28">
            <v>823</v>
          </cell>
        </row>
        <row r="29">
          <cell r="C29" t="str">
            <v>挪威</v>
          </cell>
          <cell r="D29" t="str">
            <v>NORWAY</v>
          </cell>
          <cell r="E29">
            <v>906262</v>
          </cell>
          <cell r="F29">
            <v>838</v>
          </cell>
        </row>
        <row r="30">
          <cell r="C30" t="str">
            <v>法國</v>
          </cell>
          <cell r="D30" t="str">
            <v>FRANCE</v>
          </cell>
          <cell r="E30">
            <v>895521</v>
          </cell>
          <cell r="F30">
            <v>680</v>
          </cell>
        </row>
        <row r="31">
          <cell r="C31" t="str">
            <v>墨西哥</v>
          </cell>
          <cell r="D31" t="str">
            <v>MEXICO</v>
          </cell>
          <cell r="E31">
            <v>675471</v>
          </cell>
          <cell r="F31">
            <v>534</v>
          </cell>
        </row>
        <row r="32">
          <cell r="C32" t="str">
            <v>波蘭</v>
          </cell>
          <cell r="D32" t="str">
            <v>POLAND</v>
          </cell>
          <cell r="E32">
            <v>651295</v>
          </cell>
          <cell r="F32">
            <v>2420</v>
          </cell>
        </row>
        <row r="33">
          <cell r="C33" t="str">
            <v>捷克</v>
          </cell>
          <cell r="D33" t="str">
            <v>CZECH  REPUBLIC</v>
          </cell>
          <cell r="E33">
            <v>600700</v>
          </cell>
          <cell r="F33">
            <v>2983</v>
          </cell>
        </row>
        <row r="34">
          <cell r="C34" t="str">
            <v>智利</v>
          </cell>
          <cell r="D34" t="str">
            <v>CHILE</v>
          </cell>
          <cell r="E34">
            <v>495836</v>
          </cell>
          <cell r="F34">
            <v>933</v>
          </cell>
        </row>
        <row r="35">
          <cell r="C35" t="str">
            <v>巴拿馬</v>
          </cell>
          <cell r="D35" t="str">
            <v>PANAMA</v>
          </cell>
          <cell r="E35">
            <v>492827</v>
          </cell>
          <cell r="F35">
            <v>408</v>
          </cell>
        </row>
        <row r="36">
          <cell r="C36" t="str">
            <v>菲律賓</v>
          </cell>
          <cell r="D36" t="str">
            <v>PHILIPPINES</v>
          </cell>
          <cell r="E36">
            <v>486108</v>
          </cell>
          <cell r="F36">
            <v>872</v>
          </cell>
        </row>
        <row r="37">
          <cell r="C37" t="str">
            <v>南非</v>
          </cell>
          <cell r="D37" t="str">
            <v>SOUTH  AFRICA</v>
          </cell>
          <cell r="E37">
            <v>482820</v>
          </cell>
          <cell r="F37">
            <v>360</v>
          </cell>
        </row>
        <row r="38">
          <cell r="C38" t="str">
            <v>香港</v>
          </cell>
          <cell r="D38" t="str">
            <v>HONG KONG</v>
          </cell>
          <cell r="E38">
            <v>425334</v>
          </cell>
          <cell r="F38">
            <v>456</v>
          </cell>
        </row>
        <row r="39">
          <cell r="C39" t="str">
            <v>阿根廷</v>
          </cell>
          <cell r="D39" t="str">
            <v>ARGENTINA</v>
          </cell>
          <cell r="E39">
            <v>300945</v>
          </cell>
          <cell r="F39">
            <v>364</v>
          </cell>
        </row>
        <row r="40">
          <cell r="C40" t="str">
            <v>泰國</v>
          </cell>
          <cell r="D40" t="str">
            <v>THAILAND</v>
          </cell>
          <cell r="E40">
            <v>279986</v>
          </cell>
          <cell r="F40">
            <v>452</v>
          </cell>
        </row>
        <row r="41">
          <cell r="C41" t="str">
            <v>哥倫比亞</v>
          </cell>
          <cell r="D41" t="str">
            <v>COLOMBIA</v>
          </cell>
          <cell r="E41">
            <v>261722</v>
          </cell>
          <cell r="F41">
            <v>233</v>
          </cell>
        </row>
        <row r="42">
          <cell r="C42" t="str">
            <v>丹麥</v>
          </cell>
          <cell r="D42" t="str">
            <v>DENMARK</v>
          </cell>
          <cell r="E42">
            <v>252100</v>
          </cell>
          <cell r="F42">
            <v>3399</v>
          </cell>
        </row>
        <row r="43">
          <cell r="C43" t="str">
            <v>祕魯</v>
          </cell>
          <cell r="D43" t="str">
            <v>PERU</v>
          </cell>
          <cell r="E43">
            <v>224562</v>
          </cell>
          <cell r="F43">
            <v>246</v>
          </cell>
        </row>
        <row r="44">
          <cell r="C44" t="str">
            <v>烏克蘭</v>
          </cell>
          <cell r="D44" t="str">
            <v>UKRAINE</v>
          </cell>
          <cell r="E44">
            <v>211371</v>
          </cell>
          <cell r="F44">
            <v>461</v>
          </cell>
        </row>
        <row r="45">
          <cell r="C45" t="str">
            <v>奧地利</v>
          </cell>
          <cell r="D45" t="str">
            <v>AUSTRIA</v>
          </cell>
          <cell r="E45">
            <v>208957</v>
          </cell>
          <cell r="F45">
            <v>177</v>
          </cell>
        </row>
        <row r="46">
          <cell r="C46" t="str">
            <v>以色列</v>
          </cell>
          <cell r="D46" t="str">
            <v>ISRAEL</v>
          </cell>
          <cell r="E46">
            <v>192722</v>
          </cell>
          <cell r="F46">
            <v>108</v>
          </cell>
        </row>
        <row r="47">
          <cell r="C47" t="str">
            <v>烏拉圭</v>
          </cell>
          <cell r="D47" t="str">
            <v>URUGUAY</v>
          </cell>
          <cell r="E47">
            <v>163785</v>
          </cell>
          <cell r="F47">
            <v>184</v>
          </cell>
        </row>
        <row r="48">
          <cell r="C48" t="str">
            <v>印度</v>
          </cell>
          <cell r="D48" t="str">
            <v>INDIA</v>
          </cell>
          <cell r="E48">
            <v>156683</v>
          </cell>
          <cell r="F48">
            <v>211</v>
          </cell>
        </row>
        <row r="49">
          <cell r="C49" t="str">
            <v>阿拉伯聯合大公國</v>
          </cell>
          <cell r="D49" t="str">
            <v>UNITED ARAB EMIRATES</v>
          </cell>
          <cell r="E49">
            <v>156263</v>
          </cell>
          <cell r="F49">
            <v>123</v>
          </cell>
        </row>
        <row r="50">
          <cell r="C50" t="str">
            <v>多明尼加</v>
          </cell>
          <cell r="D50" t="str">
            <v>DOMINICAN  REPUBLIC</v>
          </cell>
          <cell r="E50">
            <v>155913</v>
          </cell>
          <cell r="F50">
            <v>90</v>
          </cell>
        </row>
        <row r="51">
          <cell r="C51" t="str">
            <v>巴西</v>
          </cell>
          <cell r="D51" t="str">
            <v>BRAZIL</v>
          </cell>
          <cell r="E51">
            <v>145591</v>
          </cell>
          <cell r="F51">
            <v>146</v>
          </cell>
        </row>
        <row r="52">
          <cell r="C52" t="str">
            <v>越南</v>
          </cell>
          <cell r="D52" t="str">
            <v>VIET NAM</v>
          </cell>
          <cell r="E52">
            <v>135445</v>
          </cell>
          <cell r="F52">
            <v>82</v>
          </cell>
        </row>
        <row r="53">
          <cell r="C53" t="str">
            <v>瑞典</v>
          </cell>
          <cell r="D53" t="str">
            <v>SWEDEN</v>
          </cell>
          <cell r="E53">
            <v>121134</v>
          </cell>
          <cell r="F53">
            <v>255</v>
          </cell>
        </row>
        <row r="54">
          <cell r="C54" t="str">
            <v>土耳其</v>
          </cell>
          <cell r="D54" t="str">
            <v>TURKEY</v>
          </cell>
          <cell r="E54">
            <v>108432</v>
          </cell>
          <cell r="F54">
            <v>94</v>
          </cell>
        </row>
        <row r="55">
          <cell r="C55" t="str">
            <v>立陶宛</v>
          </cell>
          <cell r="D55" t="str">
            <v>LITHUANIA</v>
          </cell>
          <cell r="E55">
            <v>93772</v>
          </cell>
          <cell r="F55">
            <v>355</v>
          </cell>
        </row>
        <row r="56">
          <cell r="C56" t="str">
            <v>留尼旺</v>
          </cell>
          <cell r="D56" t="str">
            <v>REUNION</v>
          </cell>
          <cell r="E56">
            <v>63646</v>
          </cell>
          <cell r="F56">
            <v>50</v>
          </cell>
        </row>
        <row r="57">
          <cell r="C57" t="str">
            <v>賽普勒斯</v>
          </cell>
          <cell r="D57" t="str">
            <v>CYPRUS</v>
          </cell>
          <cell r="E57">
            <v>50840</v>
          </cell>
          <cell r="F57">
            <v>340</v>
          </cell>
        </row>
        <row r="58">
          <cell r="C58" t="str">
            <v>希臘</v>
          </cell>
          <cell r="D58" t="str">
            <v>GREECE</v>
          </cell>
          <cell r="E58">
            <v>49405</v>
          </cell>
          <cell r="F58">
            <v>233</v>
          </cell>
        </row>
        <row r="59">
          <cell r="C59" t="str">
            <v>柬埔寨</v>
          </cell>
          <cell r="D59" t="str">
            <v>KINGDOM  OF CAMBODIA</v>
          </cell>
          <cell r="E59">
            <v>41742</v>
          </cell>
          <cell r="F59">
            <v>23</v>
          </cell>
        </row>
        <row r="60">
          <cell r="C60" t="str">
            <v>哈薩克</v>
          </cell>
          <cell r="D60" t="str">
            <v>KAZAKHSTAN</v>
          </cell>
          <cell r="E60">
            <v>41708</v>
          </cell>
          <cell r="F60">
            <v>36</v>
          </cell>
        </row>
        <row r="61">
          <cell r="C61" t="str">
            <v>瓜地馬拉</v>
          </cell>
          <cell r="D61" t="str">
            <v>GUATEMALA</v>
          </cell>
          <cell r="E61">
            <v>41358</v>
          </cell>
          <cell r="F61">
            <v>38</v>
          </cell>
        </row>
        <row r="62">
          <cell r="C62" t="str">
            <v>拉脫維亞</v>
          </cell>
          <cell r="D62" t="str">
            <v>LATVIA</v>
          </cell>
          <cell r="E62">
            <v>33520</v>
          </cell>
          <cell r="F62">
            <v>214</v>
          </cell>
        </row>
        <row r="63">
          <cell r="C63" t="str">
            <v>哥斯大黎加</v>
          </cell>
          <cell r="D63" t="str">
            <v>COSTA RICA</v>
          </cell>
          <cell r="E63">
            <v>32015</v>
          </cell>
          <cell r="F63">
            <v>22</v>
          </cell>
        </row>
        <row r="64">
          <cell r="C64" t="str">
            <v>冰島</v>
          </cell>
          <cell r="D64" t="str">
            <v>ICELAND</v>
          </cell>
          <cell r="E64">
            <v>28971</v>
          </cell>
          <cell r="F64">
            <v>41</v>
          </cell>
        </row>
        <row r="65">
          <cell r="C65" t="str">
            <v>汶萊</v>
          </cell>
          <cell r="D65" t="str">
            <v>BRUNEI  DARUSSALAM</v>
          </cell>
          <cell r="E65">
            <v>16410</v>
          </cell>
          <cell r="F65">
            <v>12</v>
          </cell>
        </row>
        <row r="66">
          <cell r="C66" t="str">
            <v>關島</v>
          </cell>
          <cell r="D66" t="str">
            <v>GUAM</v>
          </cell>
          <cell r="E66">
            <v>6718</v>
          </cell>
          <cell r="F66">
            <v>5</v>
          </cell>
        </row>
        <row r="67">
          <cell r="C67" t="str">
            <v>匈牙利</v>
          </cell>
          <cell r="D67" t="str">
            <v>HUNGARY</v>
          </cell>
          <cell r="E67">
            <v>5808</v>
          </cell>
          <cell r="F67">
            <v>55</v>
          </cell>
        </row>
        <row r="68">
          <cell r="C68" t="str">
            <v>厄瓜多</v>
          </cell>
          <cell r="D68" t="str">
            <v>ECUADOR</v>
          </cell>
          <cell r="E68">
            <v>4829</v>
          </cell>
          <cell r="F68">
            <v>24</v>
          </cell>
        </row>
        <row r="69">
          <cell r="C69" t="str">
            <v>納米比亞</v>
          </cell>
          <cell r="D69" t="str">
            <v>NAMIBIA</v>
          </cell>
          <cell r="E69">
            <v>3324</v>
          </cell>
          <cell r="F69">
            <v>18</v>
          </cell>
        </row>
        <row r="70">
          <cell r="C70" t="str">
            <v>多哥</v>
          </cell>
          <cell r="D70" t="str">
            <v>TOGO</v>
          </cell>
          <cell r="E70">
            <v>420</v>
          </cell>
          <cell r="F70">
            <v>40</v>
          </cell>
        </row>
        <row r="71">
          <cell r="C71" t="str">
            <v>史瓦帝尼王國</v>
          </cell>
          <cell r="D71" t="str">
            <v>Kingdom of Eswatini</v>
          </cell>
          <cell r="E71">
            <v>175</v>
          </cell>
          <cell r="F71">
            <v>52</v>
          </cell>
        </row>
        <row r="72">
          <cell r="C72" t="str">
            <v>迦納</v>
          </cell>
          <cell r="D72" t="str">
            <v>GHANA</v>
          </cell>
          <cell r="E72">
            <v>175</v>
          </cell>
          <cell r="F72">
            <v>6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 refreshError="1">
        <row r="2">
          <cell r="A2" t="str">
            <v>中文名稱</v>
          </cell>
          <cell r="B2" t="str">
            <v>2022年01至05月
出口金額($US)</v>
          </cell>
          <cell r="C2" t="str">
            <v>2022年01至05月
出口數量</v>
          </cell>
        </row>
        <row r="3">
          <cell r="A3" t="str">
            <v>總計</v>
          </cell>
          <cell r="B3">
            <v>604877519</v>
          </cell>
          <cell r="C3">
            <v>834702</v>
          </cell>
        </row>
        <row r="4">
          <cell r="A4" t="str">
            <v>美國</v>
          </cell>
          <cell r="B4">
            <v>247986036</v>
          </cell>
          <cell r="C4">
            <v>360862</v>
          </cell>
        </row>
        <row r="5">
          <cell r="A5" t="str">
            <v>荷蘭</v>
          </cell>
          <cell r="B5">
            <v>52902323</v>
          </cell>
          <cell r="C5">
            <v>59003</v>
          </cell>
        </row>
        <row r="6">
          <cell r="A6" t="str">
            <v>澳大利亞</v>
          </cell>
          <cell r="B6">
            <v>37354611</v>
          </cell>
          <cell r="C6">
            <v>46908</v>
          </cell>
        </row>
        <row r="7">
          <cell r="A7" t="str">
            <v>英國</v>
          </cell>
          <cell r="B7">
            <v>35520328</v>
          </cell>
          <cell r="C7">
            <v>58090</v>
          </cell>
        </row>
        <row r="8">
          <cell r="A8" t="str">
            <v>比利時</v>
          </cell>
          <cell r="B8">
            <v>22554971</v>
          </cell>
          <cell r="C8">
            <v>35032</v>
          </cell>
        </row>
        <row r="9">
          <cell r="A9" t="str">
            <v>南韓</v>
          </cell>
          <cell r="B9">
            <v>22374895</v>
          </cell>
          <cell r="C9">
            <v>18770</v>
          </cell>
        </row>
        <row r="10">
          <cell r="A10" t="str">
            <v>加拿大</v>
          </cell>
          <cell r="B10">
            <v>21242753</v>
          </cell>
          <cell r="C10">
            <v>21421</v>
          </cell>
        </row>
        <row r="11">
          <cell r="A11" t="str">
            <v>日本</v>
          </cell>
          <cell r="B11">
            <v>17242391</v>
          </cell>
          <cell r="C11">
            <v>22509</v>
          </cell>
        </row>
        <row r="12">
          <cell r="A12" t="str">
            <v>中國大陸</v>
          </cell>
          <cell r="B12">
            <v>14434673</v>
          </cell>
          <cell r="C12">
            <v>11352</v>
          </cell>
        </row>
        <row r="13">
          <cell r="A13" t="str">
            <v>紐西蘭</v>
          </cell>
          <cell r="B13">
            <v>12373855</v>
          </cell>
          <cell r="C13">
            <v>11743</v>
          </cell>
        </row>
        <row r="14">
          <cell r="A14" t="str">
            <v>德國</v>
          </cell>
          <cell r="B14">
            <v>10746288</v>
          </cell>
          <cell r="C14">
            <v>34711</v>
          </cell>
        </row>
        <row r="15">
          <cell r="A15" t="str">
            <v>義大利</v>
          </cell>
          <cell r="B15">
            <v>9630725</v>
          </cell>
          <cell r="C15">
            <v>9000</v>
          </cell>
        </row>
        <row r="16">
          <cell r="A16" t="str">
            <v>法國</v>
          </cell>
          <cell r="B16">
            <v>8837432</v>
          </cell>
          <cell r="C16">
            <v>9429</v>
          </cell>
        </row>
        <row r="17">
          <cell r="A17" t="str">
            <v>新加坡</v>
          </cell>
          <cell r="B17">
            <v>7009772</v>
          </cell>
          <cell r="C17">
            <v>5037</v>
          </cell>
        </row>
        <row r="18">
          <cell r="A18" t="str">
            <v>瑞士</v>
          </cell>
          <cell r="B18">
            <v>6999828</v>
          </cell>
          <cell r="C18">
            <v>5661</v>
          </cell>
        </row>
        <row r="19">
          <cell r="A19" t="str">
            <v>哥倫比亞</v>
          </cell>
          <cell r="B19">
            <v>6127813</v>
          </cell>
          <cell r="C19">
            <v>4584</v>
          </cell>
        </row>
        <row r="20">
          <cell r="A20" t="str">
            <v>墨西哥</v>
          </cell>
          <cell r="B20">
            <v>5779890</v>
          </cell>
          <cell r="C20">
            <v>5749</v>
          </cell>
        </row>
        <row r="21">
          <cell r="A21" t="str">
            <v>智利</v>
          </cell>
          <cell r="B21">
            <v>5705619</v>
          </cell>
          <cell r="C21">
            <v>5291</v>
          </cell>
        </row>
        <row r="22">
          <cell r="A22" t="str">
            <v>南非</v>
          </cell>
          <cell r="B22">
            <v>4914543</v>
          </cell>
          <cell r="C22">
            <v>3239</v>
          </cell>
        </row>
        <row r="23">
          <cell r="A23" t="str">
            <v>挪威</v>
          </cell>
          <cell r="B23">
            <v>4187932</v>
          </cell>
          <cell r="C23">
            <v>7985</v>
          </cell>
        </row>
        <row r="24">
          <cell r="A24" t="str">
            <v>馬來西亞</v>
          </cell>
          <cell r="B24">
            <v>4046558</v>
          </cell>
          <cell r="C24">
            <v>2709</v>
          </cell>
        </row>
        <row r="25">
          <cell r="A25" t="str">
            <v>波蘭</v>
          </cell>
          <cell r="B25">
            <v>3985378</v>
          </cell>
          <cell r="C25">
            <v>11848</v>
          </cell>
        </row>
        <row r="26">
          <cell r="A26" t="str">
            <v>丹麥</v>
          </cell>
          <cell r="B26">
            <v>3679089</v>
          </cell>
          <cell r="C26">
            <v>11533</v>
          </cell>
        </row>
        <row r="27">
          <cell r="A27" t="str">
            <v>瑞典</v>
          </cell>
          <cell r="B27">
            <v>3300688</v>
          </cell>
          <cell r="C27">
            <v>20270</v>
          </cell>
        </row>
        <row r="28">
          <cell r="A28" t="str">
            <v>以色列</v>
          </cell>
          <cell r="B28">
            <v>3256996</v>
          </cell>
          <cell r="C28">
            <v>2813</v>
          </cell>
        </row>
        <row r="29">
          <cell r="A29" t="str">
            <v>香港</v>
          </cell>
          <cell r="B29">
            <v>3109580</v>
          </cell>
          <cell r="C29">
            <v>3638</v>
          </cell>
        </row>
        <row r="30">
          <cell r="A30" t="str">
            <v>泰國</v>
          </cell>
          <cell r="B30">
            <v>3058446</v>
          </cell>
          <cell r="C30">
            <v>2203</v>
          </cell>
        </row>
        <row r="31">
          <cell r="A31" t="str">
            <v>巴西</v>
          </cell>
          <cell r="B31">
            <v>2365194</v>
          </cell>
          <cell r="C31">
            <v>1657</v>
          </cell>
        </row>
        <row r="32">
          <cell r="A32" t="str">
            <v>巴拿馬</v>
          </cell>
          <cell r="B32">
            <v>2039751</v>
          </cell>
          <cell r="C32">
            <v>1358</v>
          </cell>
        </row>
        <row r="33">
          <cell r="A33" t="str">
            <v>哥斯大黎加</v>
          </cell>
          <cell r="B33">
            <v>1939483</v>
          </cell>
          <cell r="C33">
            <v>1477</v>
          </cell>
        </row>
        <row r="34">
          <cell r="A34" t="str">
            <v>捷克</v>
          </cell>
          <cell r="B34">
            <v>1922168</v>
          </cell>
          <cell r="C34">
            <v>6780</v>
          </cell>
        </row>
        <row r="35">
          <cell r="A35" t="str">
            <v>厄瓜多</v>
          </cell>
          <cell r="B35">
            <v>1804782</v>
          </cell>
          <cell r="C35">
            <v>1297</v>
          </cell>
        </row>
        <row r="36">
          <cell r="A36" t="str">
            <v>菲律賓</v>
          </cell>
          <cell r="B36">
            <v>1727617</v>
          </cell>
          <cell r="C36">
            <v>1852</v>
          </cell>
        </row>
        <row r="37">
          <cell r="A37" t="str">
            <v>印尼</v>
          </cell>
          <cell r="B37">
            <v>1549192</v>
          </cell>
          <cell r="C37">
            <v>1355</v>
          </cell>
        </row>
        <row r="38">
          <cell r="A38" t="str">
            <v>阿拉伯聯合大公國</v>
          </cell>
          <cell r="B38">
            <v>1447594</v>
          </cell>
          <cell r="C38">
            <v>941</v>
          </cell>
        </row>
        <row r="39">
          <cell r="A39" t="str">
            <v>西班牙</v>
          </cell>
          <cell r="B39">
            <v>1270960</v>
          </cell>
          <cell r="C39">
            <v>3243</v>
          </cell>
        </row>
        <row r="40">
          <cell r="A40" t="str">
            <v>阿根廷</v>
          </cell>
          <cell r="B40">
            <v>1165920</v>
          </cell>
          <cell r="C40">
            <v>1453</v>
          </cell>
        </row>
        <row r="41">
          <cell r="A41" t="str">
            <v>越南</v>
          </cell>
          <cell r="B41">
            <v>841430</v>
          </cell>
          <cell r="C41">
            <v>513</v>
          </cell>
        </row>
        <row r="42">
          <cell r="A42" t="str">
            <v>俄羅斯</v>
          </cell>
          <cell r="B42">
            <v>827297</v>
          </cell>
          <cell r="C42">
            <v>2815</v>
          </cell>
        </row>
        <row r="43">
          <cell r="A43" t="str">
            <v>印度</v>
          </cell>
          <cell r="B43">
            <v>807070</v>
          </cell>
          <cell r="C43">
            <v>811</v>
          </cell>
        </row>
        <row r="44">
          <cell r="A44" t="str">
            <v>秘魯</v>
          </cell>
          <cell r="B44">
            <v>790071</v>
          </cell>
          <cell r="C44">
            <v>607</v>
          </cell>
        </row>
        <row r="45">
          <cell r="A45" t="str">
            <v>關島</v>
          </cell>
          <cell r="B45">
            <v>668413</v>
          </cell>
          <cell r="C45">
            <v>308</v>
          </cell>
        </row>
        <row r="46">
          <cell r="A46" t="str">
            <v>匈牙利</v>
          </cell>
          <cell r="B46">
            <v>589100</v>
          </cell>
          <cell r="C46">
            <v>3823</v>
          </cell>
        </row>
        <row r="47">
          <cell r="A47" t="str">
            <v>奧地利</v>
          </cell>
          <cell r="B47">
            <v>543705</v>
          </cell>
          <cell r="C47">
            <v>1359</v>
          </cell>
        </row>
        <row r="48">
          <cell r="A48" t="str">
            <v>芬蘭</v>
          </cell>
          <cell r="B48">
            <v>418926</v>
          </cell>
          <cell r="C48">
            <v>775</v>
          </cell>
        </row>
        <row r="49">
          <cell r="A49" t="str">
            <v>瓜地馬拉</v>
          </cell>
          <cell r="B49">
            <v>362105</v>
          </cell>
          <cell r="C49">
            <v>284</v>
          </cell>
        </row>
        <row r="50">
          <cell r="A50" t="str">
            <v>希臘</v>
          </cell>
          <cell r="B50">
            <v>350210</v>
          </cell>
          <cell r="C50">
            <v>2867</v>
          </cell>
        </row>
        <row r="51">
          <cell r="A51" t="str">
            <v>哈薩克</v>
          </cell>
          <cell r="B51">
            <v>286089</v>
          </cell>
          <cell r="C51">
            <v>377</v>
          </cell>
        </row>
        <row r="52">
          <cell r="A52" t="str">
            <v>立陶宛</v>
          </cell>
          <cell r="B52">
            <v>261981</v>
          </cell>
          <cell r="C52">
            <v>1009</v>
          </cell>
        </row>
        <row r="53">
          <cell r="A53" t="str">
            <v>土耳其</v>
          </cell>
          <cell r="B53">
            <v>216800</v>
          </cell>
          <cell r="C53">
            <v>165</v>
          </cell>
        </row>
        <row r="54">
          <cell r="A54" t="str">
            <v>烏拉圭</v>
          </cell>
          <cell r="B54">
            <v>207741</v>
          </cell>
          <cell r="C54">
            <v>305</v>
          </cell>
        </row>
        <row r="55">
          <cell r="A55" t="str">
            <v>拉脫維亞</v>
          </cell>
          <cell r="B55">
            <v>190424</v>
          </cell>
          <cell r="C55">
            <v>876</v>
          </cell>
        </row>
        <row r="56">
          <cell r="A56" t="str">
            <v>多明尼加</v>
          </cell>
          <cell r="B56">
            <v>170940</v>
          </cell>
          <cell r="C56">
            <v>149</v>
          </cell>
        </row>
        <row r="57">
          <cell r="A57" t="str">
            <v>沙烏地阿拉伯</v>
          </cell>
          <cell r="B57">
            <v>169043</v>
          </cell>
          <cell r="C57">
            <v>528</v>
          </cell>
        </row>
        <row r="58">
          <cell r="A58" t="str">
            <v>斯洛維尼亞</v>
          </cell>
          <cell r="B58">
            <v>168893</v>
          </cell>
          <cell r="C58">
            <v>730</v>
          </cell>
        </row>
        <row r="59">
          <cell r="A59" t="str">
            <v>留尼旺</v>
          </cell>
          <cell r="B59">
            <v>140936</v>
          </cell>
          <cell r="C59">
            <v>190</v>
          </cell>
        </row>
        <row r="60">
          <cell r="A60" t="str">
            <v>薩爾瓦多</v>
          </cell>
          <cell r="B60">
            <v>135812</v>
          </cell>
          <cell r="C60">
            <v>198</v>
          </cell>
        </row>
        <row r="61">
          <cell r="A61" t="str">
            <v>尼泊爾</v>
          </cell>
          <cell r="B61">
            <v>116615</v>
          </cell>
          <cell r="C61">
            <v>61</v>
          </cell>
        </row>
        <row r="62">
          <cell r="A62" t="str">
            <v>波多黎各</v>
          </cell>
          <cell r="B62">
            <v>115469</v>
          </cell>
          <cell r="C62">
            <v>96</v>
          </cell>
        </row>
        <row r="63">
          <cell r="A63" t="str">
            <v>肯亞</v>
          </cell>
          <cell r="B63">
            <v>112601</v>
          </cell>
          <cell r="C63">
            <v>94</v>
          </cell>
        </row>
        <row r="64">
          <cell r="A64" t="str">
            <v>愛沙尼亞</v>
          </cell>
          <cell r="B64">
            <v>109190</v>
          </cell>
          <cell r="C64">
            <v>437</v>
          </cell>
        </row>
        <row r="65">
          <cell r="A65" t="str">
            <v>卡達</v>
          </cell>
          <cell r="B65">
            <v>83717</v>
          </cell>
          <cell r="C65">
            <v>94</v>
          </cell>
        </row>
        <row r="66">
          <cell r="A66" t="str">
            <v>烏茲別克</v>
          </cell>
          <cell r="B66">
            <v>80115</v>
          </cell>
          <cell r="C66">
            <v>200</v>
          </cell>
        </row>
        <row r="67">
          <cell r="A67" t="str">
            <v>斯洛伐克</v>
          </cell>
          <cell r="B67">
            <v>77364</v>
          </cell>
          <cell r="C67">
            <v>470</v>
          </cell>
        </row>
        <row r="68">
          <cell r="A68" t="str">
            <v>委內瑞拉</v>
          </cell>
          <cell r="B68">
            <v>70513</v>
          </cell>
          <cell r="C68">
            <v>234</v>
          </cell>
        </row>
        <row r="69">
          <cell r="A69" t="str">
            <v>賽普勒斯</v>
          </cell>
          <cell r="B69">
            <v>68501</v>
          </cell>
          <cell r="C69">
            <v>404</v>
          </cell>
        </row>
        <row r="70">
          <cell r="A70" t="str">
            <v>波士尼亞及赫塞哥維納</v>
          </cell>
          <cell r="B70">
            <v>67151</v>
          </cell>
          <cell r="C70">
            <v>51</v>
          </cell>
        </row>
        <row r="71">
          <cell r="A71" t="str">
            <v>克羅埃西亞</v>
          </cell>
          <cell r="B71">
            <v>56854</v>
          </cell>
          <cell r="C71">
            <v>345</v>
          </cell>
        </row>
        <row r="72">
          <cell r="A72" t="str">
            <v>保加利亞</v>
          </cell>
          <cell r="B72">
            <v>38612</v>
          </cell>
          <cell r="C72">
            <v>270</v>
          </cell>
        </row>
        <row r="73">
          <cell r="A73" t="str">
            <v>烏克蘭</v>
          </cell>
          <cell r="B73">
            <v>36817</v>
          </cell>
          <cell r="C73">
            <v>212</v>
          </cell>
        </row>
        <row r="74">
          <cell r="A74" t="str">
            <v>黎巴嫩</v>
          </cell>
          <cell r="B74">
            <v>33010</v>
          </cell>
          <cell r="C74">
            <v>24</v>
          </cell>
        </row>
        <row r="75">
          <cell r="A75" t="str">
            <v>冰島</v>
          </cell>
          <cell r="B75">
            <v>29270</v>
          </cell>
          <cell r="C75">
            <v>30</v>
          </cell>
        </row>
        <row r="76">
          <cell r="A76" t="str">
            <v>羅馬尼亞</v>
          </cell>
          <cell r="B76">
            <v>12060</v>
          </cell>
          <cell r="C76">
            <v>114</v>
          </cell>
        </row>
        <row r="77">
          <cell r="A77" t="str">
            <v>模里西斯</v>
          </cell>
          <cell r="B77">
            <v>10572</v>
          </cell>
          <cell r="C77">
            <v>10</v>
          </cell>
        </row>
        <row r="78">
          <cell r="A78" t="str">
            <v>馬爾他</v>
          </cell>
          <cell r="B78">
            <v>9005</v>
          </cell>
          <cell r="C78">
            <v>52</v>
          </cell>
        </row>
        <row r="79">
          <cell r="A79" t="str">
            <v>法屬玻里尼西亞</v>
          </cell>
          <cell r="B79">
            <v>6699</v>
          </cell>
          <cell r="C79">
            <v>10</v>
          </cell>
        </row>
        <row r="80">
          <cell r="A80" t="str">
            <v>馬紹爾群島共和國</v>
          </cell>
          <cell r="B80">
            <v>324</v>
          </cell>
          <cell r="C80">
            <v>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2">
          <cell r="A2" t="str">
            <v>中文名稱</v>
          </cell>
          <cell r="B2" t="str">
            <v>2023年05月
進口金額($US)</v>
          </cell>
          <cell r="C2" t="str">
            <v>2023年05月
進口數量</v>
          </cell>
        </row>
        <row r="3">
          <cell r="A3" t="str">
            <v>總計</v>
          </cell>
          <cell r="B3">
            <v>2792679</v>
          </cell>
          <cell r="C3">
            <v>18408</v>
          </cell>
        </row>
        <row r="4">
          <cell r="A4" t="str">
            <v>中國大陸</v>
          </cell>
          <cell r="B4">
            <v>1901996</v>
          </cell>
          <cell r="C4">
            <v>17442</v>
          </cell>
        </row>
        <row r="5">
          <cell r="A5" t="str">
            <v>越南</v>
          </cell>
          <cell r="B5">
            <v>579552</v>
          </cell>
          <cell r="C5">
            <v>788</v>
          </cell>
        </row>
        <row r="6">
          <cell r="A6" t="str">
            <v>英國</v>
          </cell>
          <cell r="B6">
            <v>125985</v>
          </cell>
          <cell r="C6">
            <v>105</v>
          </cell>
        </row>
        <row r="7">
          <cell r="A7" t="str">
            <v>義大利</v>
          </cell>
          <cell r="B7">
            <v>53142</v>
          </cell>
          <cell r="C7">
            <v>8</v>
          </cell>
        </row>
        <row r="8">
          <cell r="A8" t="str">
            <v>印尼</v>
          </cell>
          <cell r="B8">
            <v>47607</v>
          </cell>
          <cell r="C8">
            <v>10</v>
          </cell>
        </row>
        <row r="9">
          <cell r="A9" t="str">
            <v>比利時</v>
          </cell>
          <cell r="B9">
            <v>38873</v>
          </cell>
          <cell r="C9">
            <v>35</v>
          </cell>
        </row>
        <row r="10">
          <cell r="A10" t="str">
            <v>德國</v>
          </cell>
          <cell r="B10">
            <v>38750</v>
          </cell>
          <cell r="C10">
            <v>5</v>
          </cell>
        </row>
        <row r="11">
          <cell r="A11" t="str">
            <v>日本</v>
          </cell>
          <cell r="B11">
            <v>3517</v>
          </cell>
          <cell r="C11">
            <v>10</v>
          </cell>
        </row>
        <row r="12">
          <cell r="A12" t="str">
            <v>中華民國</v>
          </cell>
          <cell r="B12">
            <v>2866</v>
          </cell>
          <cell r="C12">
            <v>2</v>
          </cell>
        </row>
        <row r="13">
          <cell r="A13" t="str">
            <v>美國</v>
          </cell>
          <cell r="B13">
            <v>391</v>
          </cell>
          <cell r="C13">
            <v>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2">
          <cell r="A2" t="str">
            <v>中文名稱</v>
          </cell>
          <cell r="B2" t="str">
            <v>2023年01至05月
進口金額($US)</v>
          </cell>
          <cell r="C2" t="str">
            <v>2023年01至05月
進口數量</v>
          </cell>
        </row>
        <row r="3">
          <cell r="A3" t="str">
            <v>總計</v>
          </cell>
          <cell r="B3">
            <v>11827486</v>
          </cell>
          <cell r="C3">
            <v>80871</v>
          </cell>
        </row>
        <row r="4">
          <cell r="A4" t="str">
            <v>中國大陸</v>
          </cell>
          <cell r="B4">
            <v>7675273</v>
          </cell>
          <cell r="C4">
            <v>76362</v>
          </cell>
        </row>
        <row r="5">
          <cell r="A5" t="str">
            <v>越南</v>
          </cell>
          <cell r="B5">
            <v>1530441</v>
          </cell>
          <cell r="C5">
            <v>1853</v>
          </cell>
        </row>
        <row r="6">
          <cell r="A6" t="str">
            <v>柬埔寨</v>
          </cell>
          <cell r="B6">
            <v>1219513</v>
          </cell>
          <cell r="C6">
            <v>1428</v>
          </cell>
        </row>
        <row r="7">
          <cell r="A7" t="str">
            <v>英國</v>
          </cell>
          <cell r="B7">
            <v>502523</v>
          </cell>
          <cell r="C7">
            <v>422</v>
          </cell>
        </row>
        <row r="8">
          <cell r="A8" t="str">
            <v>德國</v>
          </cell>
          <cell r="B8">
            <v>203929</v>
          </cell>
          <cell r="C8">
            <v>36</v>
          </cell>
        </row>
        <row r="9">
          <cell r="A9" t="str">
            <v>美國</v>
          </cell>
          <cell r="B9">
            <v>158096</v>
          </cell>
          <cell r="C9">
            <v>41</v>
          </cell>
        </row>
        <row r="10">
          <cell r="A10" t="str">
            <v>義大利</v>
          </cell>
          <cell r="B10">
            <v>143960</v>
          </cell>
          <cell r="C10">
            <v>25</v>
          </cell>
        </row>
        <row r="11">
          <cell r="A11" t="str">
            <v>中華民國</v>
          </cell>
          <cell r="B11">
            <v>137987</v>
          </cell>
          <cell r="C11">
            <v>62</v>
          </cell>
        </row>
        <row r="12">
          <cell r="A12" t="str">
            <v>印尼</v>
          </cell>
          <cell r="B12">
            <v>86137</v>
          </cell>
          <cell r="C12">
            <v>313</v>
          </cell>
        </row>
        <row r="13">
          <cell r="A13" t="str">
            <v>南韓</v>
          </cell>
          <cell r="B13">
            <v>54195</v>
          </cell>
          <cell r="C13">
            <v>117</v>
          </cell>
        </row>
        <row r="14">
          <cell r="A14" t="str">
            <v>法國</v>
          </cell>
          <cell r="B14">
            <v>44192</v>
          </cell>
          <cell r="C14">
            <v>94</v>
          </cell>
        </row>
        <row r="15">
          <cell r="A15" t="str">
            <v>比利時</v>
          </cell>
          <cell r="B15">
            <v>38873</v>
          </cell>
          <cell r="C15">
            <v>35</v>
          </cell>
        </row>
        <row r="16">
          <cell r="A16" t="str">
            <v>日本</v>
          </cell>
          <cell r="B16">
            <v>16248</v>
          </cell>
          <cell r="C16">
            <v>71</v>
          </cell>
        </row>
        <row r="17">
          <cell r="A17" t="str">
            <v>西班牙</v>
          </cell>
          <cell r="B17">
            <v>10236</v>
          </cell>
          <cell r="C17">
            <v>4</v>
          </cell>
        </row>
        <row r="18">
          <cell r="A18" t="str">
            <v>澳大利亞</v>
          </cell>
          <cell r="B18">
            <v>3105</v>
          </cell>
          <cell r="C18">
            <v>1</v>
          </cell>
        </row>
        <row r="19">
          <cell r="A19" t="str">
            <v>斯洛伐克</v>
          </cell>
          <cell r="B19">
            <v>2647</v>
          </cell>
          <cell r="C19">
            <v>2</v>
          </cell>
        </row>
        <row r="20">
          <cell r="A20" t="str">
            <v>孟加拉</v>
          </cell>
          <cell r="B20">
            <v>131</v>
          </cell>
          <cell r="C20">
            <v>5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2">
          <cell r="A2" t="str">
            <v>中文名稱</v>
          </cell>
          <cell r="B2" t="str">
            <v>2023年05月
出口金額($US)</v>
          </cell>
          <cell r="C2" t="str">
            <v>2023年05月
出口數量</v>
          </cell>
        </row>
        <row r="3">
          <cell r="A3" t="str">
            <v>總計</v>
          </cell>
          <cell r="B3">
            <v>116784135</v>
          </cell>
          <cell r="C3">
            <v>66723</v>
          </cell>
        </row>
        <row r="4">
          <cell r="A4" t="str">
            <v>荷蘭</v>
          </cell>
          <cell r="B4">
            <v>40836563</v>
          </cell>
          <cell r="C4">
            <v>23573</v>
          </cell>
        </row>
        <row r="5">
          <cell r="A5" t="str">
            <v>美國</v>
          </cell>
          <cell r="B5">
            <v>28698205</v>
          </cell>
          <cell r="C5">
            <v>12735</v>
          </cell>
        </row>
        <row r="6">
          <cell r="A6" t="str">
            <v>德國</v>
          </cell>
          <cell r="B6">
            <v>9952588</v>
          </cell>
          <cell r="C6">
            <v>8829</v>
          </cell>
        </row>
        <row r="7">
          <cell r="A7" t="str">
            <v>英國</v>
          </cell>
          <cell r="B7">
            <v>6272063</v>
          </cell>
          <cell r="C7">
            <v>4109</v>
          </cell>
        </row>
        <row r="8">
          <cell r="A8" t="str">
            <v>希臘</v>
          </cell>
          <cell r="B8">
            <v>5796027</v>
          </cell>
          <cell r="C8">
            <v>2308</v>
          </cell>
        </row>
        <row r="9">
          <cell r="A9" t="str">
            <v>加拿大</v>
          </cell>
          <cell r="B9">
            <v>2840899</v>
          </cell>
          <cell r="C9">
            <v>1207</v>
          </cell>
        </row>
        <row r="10">
          <cell r="A10" t="str">
            <v>紐西蘭</v>
          </cell>
          <cell r="B10">
            <v>2420775</v>
          </cell>
          <cell r="C10">
            <v>1097</v>
          </cell>
        </row>
        <row r="11">
          <cell r="A11" t="str">
            <v>澳大利亞</v>
          </cell>
          <cell r="B11">
            <v>2260176</v>
          </cell>
          <cell r="C11">
            <v>929</v>
          </cell>
        </row>
        <row r="12">
          <cell r="A12" t="str">
            <v>法國</v>
          </cell>
          <cell r="B12">
            <v>2125204</v>
          </cell>
          <cell r="C12">
            <v>1549</v>
          </cell>
        </row>
        <row r="13">
          <cell r="A13" t="str">
            <v>義大利</v>
          </cell>
          <cell r="B13">
            <v>1808336</v>
          </cell>
          <cell r="C13">
            <v>744</v>
          </cell>
        </row>
        <row r="14">
          <cell r="A14" t="str">
            <v>瑞士</v>
          </cell>
          <cell r="B14">
            <v>1415273</v>
          </cell>
          <cell r="C14">
            <v>808</v>
          </cell>
        </row>
        <row r="15">
          <cell r="A15" t="str">
            <v>比利時</v>
          </cell>
          <cell r="B15">
            <v>1371214</v>
          </cell>
          <cell r="C15">
            <v>1063</v>
          </cell>
        </row>
        <row r="16">
          <cell r="A16" t="str">
            <v>丹麥</v>
          </cell>
          <cell r="B16">
            <v>1301888</v>
          </cell>
          <cell r="C16">
            <v>1100</v>
          </cell>
        </row>
        <row r="17">
          <cell r="A17" t="str">
            <v>南非</v>
          </cell>
          <cell r="B17">
            <v>1268251</v>
          </cell>
          <cell r="C17">
            <v>483</v>
          </cell>
        </row>
        <row r="18">
          <cell r="A18" t="str">
            <v>奧地利</v>
          </cell>
          <cell r="B18">
            <v>1195930</v>
          </cell>
          <cell r="C18">
            <v>655</v>
          </cell>
        </row>
        <row r="19">
          <cell r="A19" t="str">
            <v>西班牙</v>
          </cell>
          <cell r="B19">
            <v>1157734</v>
          </cell>
          <cell r="C19">
            <v>475</v>
          </cell>
        </row>
        <row r="20">
          <cell r="A20" t="str">
            <v>巴拿馬</v>
          </cell>
          <cell r="B20">
            <v>1110159</v>
          </cell>
          <cell r="C20">
            <v>418</v>
          </cell>
        </row>
        <row r="21">
          <cell r="A21" t="str">
            <v>瑞典</v>
          </cell>
          <cell r="B21">
            <v>1048844</v>
          </cell>
          <cell r="C21">
            <v>1619</v>
          </cell>
        </row>
        <row r="22">
          <cell r="A22" t="str">
            <v>南韓</v>
          </cell>
          <cell r="B22">
            <v>758809</v>
          </cell>
          <cell r="C22">
            <v>406</v>
          </cell>
        </row>
        <row r="23">
          <cell r="A23" t="str">
            <v>挪威</v>
          </cell>
          <cell r="B23">
            <v>662912</v>
          </cell>
          <cell r="C23">
            <v>502</v>
          </cell>
        </row>
        <row r="24">
          <cell r="A24" t="str">
            <v>波蘭</v>
          </cell>
          <cell r="B24">
            <v>645002</v>
          </cell>
          <cell r="C24">
            <v>348</v>
          </cell>
        </row>
        <row r="25">
          <cell r="A25" t="str">
            <v>智利</v>
          </cell>
          <cell r="B25">
            <v>402376</v>
          </cell>
          <cell r="C25">
            <v>132</v>
          </cell>
        </row>
        <row r="26">
          <cell r="A26" t="str">
            <v>捷克</v>
          </cell>
          <cell r="B26">
            <v>377662</v>
          </cell>
          <cell r="C26">
            <v>891</v>
          </cell>
        </row>
        <row r="27">
          <cell r="A27" t="str">
            <v>日本</v>
          </cell>
          <cell r="B27">
            <v>361478</v>
          </cell>
          <cell r="C27">
            <v>324</v>
          </cell>
        </row>
        <row r="28">
          <cell r="A28" t="str">
            <v>阿拉伯聯合大公國</v>
          </cell>
          <cell r="B28">
            <v>183556</v>
          </cell>
          <cell r="C28">
            <v>196</v>
          </cell>
        </row>
        <row r="29">
          <cell r="A29" t="str">
            <v>芬蘭</v>
          </cell>
          <cell r="B29">
            <v>114490</v>
          </cell>
          <cell r="C29">
            <v>44</v>
          </cell>
        </row>
        <row r="30">
          <cell r="A30" t="str">
            <v>哥倫比亞</v>
          </cell>
          <cell r="B30">
            <v>110387</v>
          </cell>
          <cell r="C30">
            <v>45</v>
          </cell>
        </row>
        <row r="31">
          <cell r="A31" t="str">
            <v>葡萄牙</v>
          </cell>
          <cell r="B31">
            <v>72843</v>
          </cell>
          <cell r="C31">
            <v>43</v>
          </cell>
        </row>
        <row r="32">
          <cell r="A32" t="str">
            <v>中國大陸</v>
          </cell>
          <cell r="B32">
            <v>59004</v>
          </cell>
          <cell r="C32">
            <v>40</v>
          </cell>
        </row>
        <row r="33">
          <cell r="A33" t="str">
            <v>哈薩克</v>
          </cell>
          <cell r="B33">
            <v>55194</v>
          </cell>
          <cell r="C33">
            <v>16</v>
          </cell>
        </row>
        <row r="34">
          <cell r="A34" t="str">
            <v>馬來西亞</v>
          </cell>
          <cell r="B34">
            <v>48453</v>
          </cell>
          <cell r="C34">
            <v>20</v>
          </cell>
        </row>
        <row r="35">
          <cell r="A35" t="str">
            <v>墨西哥</v>
          </cell>
          <cell r="B35">
            <v>19701</v>
          </cell>
          <cell r="C35">
            <v>7</v>
          </cell>
        </row>
        <row r="36">
          <cell r="A36" t="str">
            <v>巴西</v>
          </cell>
          <cell r="B36">
            <v>16672</v>
          </cell>
          <cell r="C36">
            <v>3</v>
          </cell>
        </row>
        <row r="37">
          <cell r="A37" t="str">
            <v>香港</v>
          </cell>
          <cell r="B37">
            <v>14197</v>
          </cell>
          <cell r="C37">
            <v>4</v>
          </cell>
        </row>
        <row r="38">
          <cell r="A38" t="str">
            <v>黎巴嫩</v>
          </cell>
          <cell r="B38">
            <v>1270</v>
          </cell>
          <cell r="C38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76"/>
  <sheetViews>
    <sheetView zoomScaleNormal="100" workbookViewId="0">
      <selection activeCell="A2" sqref="A2"/>
    </sheetView>
  </sheetViews>
  <sheetFormatPr defaultColWidth="15" defaultRowHeight="16.5"/>
  <cols>
    <col min="1" max="1" width="16.5" style="5" customWidth="1"/>
    <col min="2" max="3" width="15" style="5"/>
    <col min="4" max="4" width="15" style="6"/>
    <col min="5" max="8" width="15" style="5"/>
    <col min="9" max="9" width="15" style="6"/>
    <col min="10" max="16384" width="15" style="5"/>
  </cols>
  <sheetData>
    <row r="1" spans="1:9" s="4" customFormat="1" ht="19.5">
      <c r="A1" s="1" t="s">
        <v>479</v>
      </c>
      <c r="B1" s="2"/>
      <c r="C1" s="2"/>
      <c r="D1" s="3"/>
      <c r="E1" s="2"/>
      <c r="F1" s="2"/>
      <c r="G1" s="2"/>
      <c r="H1" s="2"/>
      <c r="I1" s="3"/>
    </row>
    <row r="2" spans="1:9" ht="17.25" customHeight="1"/>
    <row r="3" spans="1:9" s="7" customFormat="1">
      <c r="A3" s="554" t="s">
        <v>107</v>
      </c>
      <c r="B3" s="555"/>
      <c r="C3" s="555"/>
      <c r="D3" s="555"/>
      <c r="E3" s="555"/>
      <c r="F3" s="555"/>
      <c r="G3" s="555"/>
      <c r="H3" s="555"/>
      <c r="I3" s="556"/>
    </row>
    <row r="4" spans="1:9" s="13" customFormat="1">
      <c r="A4" s="8" t="s">
        <v>480</v>
      </c>
      <c r="B4" s="8" t="s">
        <v>481</v>
      </c>
      <c r="C4" s="8" t="s">
        <v>482</v>
      </c>
      <c r="D4" s="9" t="s">
        <v>1</v>
      </c>
      <c r="E4" s="10" t="s">
        <v>483</v>
      </c>
      <c r="F4" s="11" t="s">
        <v>2</v>
      </c>
      <c r="G4" s="8" t="s">
        <v>484</v>
      </c>
      <c r="H4" s="11" t="s">
        <v>2</v>
      </c>
      <c r="I4" s="12" t="s">
        <v>1</v>
      </c>
    </row>
    <row r="5" spans="1:9" s="13" customFormat="1">
      <c r="A5" s="14"/>
      <c r="B5" s="14" t="s">
        <v>3</v>
      </c>
      <c r="C5" s="8" t="s">
        <v>4</v>
      </c>
      <c r="D5" s="9" t="s">
        <v>4</v>
      </c>
      <c r="E5" s="11" t="s">
        <v>3</v>
      </c>
      <c r="F5" s="11"/>
      <c r="G5" s="8" t="s">
        <v>4</v>
      </c>
      <c r="H5" s="8"/>
      <c r="I5" s="12" t="s">
        <v>4</v>
      </c>
    </row>
    <row r="6" spans="1:9">
      <c r="A6" s="15" t="s">
        <v>5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6</v>
      </c>
      <c r="B7" s="21">
        <f>SUM(B8:B10)</f>
        <v>55331</v>
      </c>
      <c r="C7" s="22">
        <f>SUM(C8:C10)</f>
        <v>48648942</v>
      </c>
      <c r="D7" s="23">
        <f>IF(B7,C7/B7,0)</f>
        <v>879.23482315519334</v>
      </c>
      <c r="E7" s="22">
        <f>SUM(E8:E10)</f>
        <v>253661</v>
      </c>
      <c r="F7" s="24">
        <f>E7/$E$67</f>
        <v>0.37514826328601725</v>
      </c>
      <c r="G7" s="22">
        <f>SUM(G8:G10)</f>
        <v>252420744</v>
      </c>
      <c r="H7" s="24">
        <f>G7/$G$67</f>
        <v>0.39768277756638393</v>
      </c>
      <c r="I7" s="25">
        <f>IF(E7,G7/E7,0)</f>
        <v>995.1105767145915</v>
      </c>
    </row>
    <row r="8" spans="1:9">
      <c r="A8" s="449" t="s">
        <v>200</v>
      </c>
      <c r="B8" s="27">
        <f>VLOOKUP(A8,[1]進出口值表查詢結果!$A$2:$C$58,3,0)</f>
        <v>51468</v>
      </c>
      <c r="C8" s="28">
        <f>VLOOKUP(A8,[1]進出口值表查詢結果!$A$2:$C$58,2,0)</f>
        <v>43852199</v>
      </c>
      <c r="D8" s="23">
        <f t="shared" ref="D8:D67" si="0">IF(B8,C8/B8,0)</f>
        <v>852.028425429393</v>
      </c>
      <c r="E8" s="27">
        <f>VLOOKUP(A8,[2]進出口值表查詢結果!$A$2:$C$80,3,0)</f>
        <v>228232</v>
      </c>
      <c r="F8" s="29">
        <f>E8/$E$67</f>
        <v>0.3375404119131214</v>
      </c>
      <c r="G8" s="27">
        <f>VLOOKUP(A8,[2]進出口值表查詢結果!$A$2:$C$80,2,0)</f>
        <v>220656986</v>
      </c>
      <c r="H8" s="24">
        <f>G8/$G$67</f>
        <v>0.34763974501995243</v>
      </c>
      <c r="I8" s="25">
        <f t="shared" ref="I8:I67" si="1">IF(E8,G8/E8,0)</f>
        <v>966.81002663955974</v>
      </c>
    </row>
    <row r="9" spans="1:9">
      <c r="A9" s="450" t="s">
        <v>7</v>
      </c>
      <c r="B9" s="27">
        <f>VLOOKUP(A9,[1]進出口值表查詢結果!$A$2:$C$58,3,0)</f>
        <v>2852</v>
      </c>
      <c r="C9" s="28">
        <f>VLOOKUP(A9,[1]進出口值表查詢結果!$A$2:$C$58,2,0)</f>
        <v>3789546</v>
      </c>
      <c r="D9" s="23">
        <f t="shared" si="0"/>
        <v>1328.7328190743337</v>
      </c>
      <c r="E9" s="27">
        <f>VLOOKUP(A9,[2]進出口值表查詢結果!$A$2:$C$80,3,0)</f>
        <v>20474</v>
      </c>
      <c r="F9" s="29">
        <f>E9/$E$67</f>
        <v>3.0279725864511758E-2</v>
      </c>
      <c r="G9" s="27">
        <f>VLOOKUP(A9,[2]進出口值表查詢結果!$A$2:$C$80,2,0)</f>
        <v>25367050</v>
      </c>
      <c r="H9" s="24">
        <f>G9/$G$67</f>
        <v>3.9965173791997613E-2</v>
      </c>
      <c r="I9" s="25">
        <f t="shared" si="1"/>
        <v>1238.9884731855036</v>
      </c>
    </row>
    <row r="10" spans="1:9">
      <c r="A10" s="450" t="s">
        <v>8</v>
      </c>
      <c r="B10" s="27">
        <f>VLOOKUP(A10,[1]進出口值表查詢結果!$A$2:$C$58,3,0)</f>
        <v>1011</v>
      </c>
      <c r="C10" s="28">
        <f>VLOOKUP(A10,[1]進出口值表查詢結果!$A$2:$C$58,2,0)</f>
        <v>1007197</v>
      </c>
      <c r="D10" s="23">
        <f t="shared" si="0"/>
        <v>996.23837784371904</v>
      </c>
      <c r="E10" s="27">
        <f>VLOOKUP(A10,[2]進出口值表查詢結果!$A$2:$C$80,3,0)</f>
        <v>4955</v>
      </c>
      <c r="F10" s="29">
        <f>E10/$E$67</f>
        <v>7.3281255083840853E-3</v>
      </c>
      <c r="G10" s="27">
        <f>VLOOKUP(A10,[2]進出口值表查詢結果!$A$2:$C$80,2,0)</f>
        <v>6396708</v>
      </c>
      <c r="H10" s="24">
        <f>G10/$G$67</f>
        <v>1.0077858754433861E-2</v>
      </c>
      <c r="I10" s="25">
        <f t="shared" si="1"/>
        <v>1290.9602421796164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9</v>
      </c>
      <c r="B12" s="33">
        <f>SUM(B13:B39)</f>
        <v>41432</v>
      </c>
      <c r="C12" s="33">
        <f>SUM(C13:C39)</f>
        <v>36571253</v>
      </c>
      <c r="D12" s="23">
        <f t="shared" si="0"/>
        <v>882.68133326897089</v>
      </c>
      <c r="E12" s="33">
        <f>SUM(E13:E39)</f>
        <v>210726</v>
      </c>
      <c r="F12" s="24">
        <f t="shared" ref="F12:F27" si="2">E12/$E$67</f>
        <v>0.31165016667603324</v>
      </c>
      <c r="G12" s="33">
        <f>SUM(G13:G39)</f>
        <v>175188337</v>
      </c>
      <c r="H12" s="24">
        <f t="shared" ref="H12:H39" si="3">G12/$G$67</f>
        <v>0.27600498814548979</v>
      </c>
      <c r="I12" s="25">
        <f t="shared" si="1"/>
        <v>831.35605952753815</v>
      </c>
    </row>
    <row r="13" spans="1:9">
      <c r="A13" s="449" t="s">
        <v>201</v>
      </c>
      <c r="B13" s="27">
        <f>VLOOKUP(A13,[1]進出口值表查詢結果!$A$2:$C$58,3,0)</f>
        <v>12785</v>
      </c>
      <c r="C13" s="28">
        <f>VLOOKUP(A13,[1]進出口值表查詢結果!$A$2:$C$58,2,0)</f>
        <v>16069327</v>
      </c>
      <c r="D13" s="23">
        <f t="shared" si="0"/>
        <v>1256.8890887759092</v>
      </c>
      <c r="E13" s="27">
        <f>VLOOKUP(A13,[2]進出口值表查詢結果!$A$2:$C$80,3,0)</f>
        <v>66750</v>
      </c>
      <c r="F13" s="29">
        <f t="shared" si="2"/>
        <v>9.8718946051390047E-2</v>
      </c>
      <c r="G13" s="27">
        <f>VLOOKUP(A13,[2]進出口值表查詢結果!$A$2:$C$80,2,0)</f>
        <v>80569877</v>
      </c>
      <c r="H13" s="24">
        <f t="shared" si="3"/>
        <v>0.12693589269169539</v>
      </c>
      <c r="I13" s="25">
        <f t="shared" si="1"/>
        <v>1207.0393558052435</v>
      </c>
    </row>
    <row r="14" spans="1:9">
      <c r="A14" s="449" t="s">
        <v>202</v>
      </c>
      <c r="B14" s="27">
        <f>VLOOKUP(A14,[1]進出口值表查詢結果!$A$2:$C$58,3,0)</f>
        <v>9015</v>
      </c>
      <c r="C14" s="28">
        <f>VLOOKUP(A14,[1]進出口值表查詢結果!$A$2:$C$58,2,0)</f>
        <v>4665163</v>
      </c>
      <c r="D14" s="23">
        <f t="shared" si="0"/>
        <v>517.48896283971158</v>
      </c>
      <c r="E14" s="27">
        <f>VLOOKUP(A14,[2]進出口值表查詢結果!$A$2:$C$80,3,0)</f>
        <v>50501</v>
      </c>
      <c r="F14" s="29">
        <f t="shared" si="2"/>
        <v>7.46877227646629E-2</v>
      </c>
      <c r="G14" s="27">
        <f>VLOOKUP(A14,[2]進出口值表查詢結果!$A$2:$C$80,2,0)</f>
        <v>25521513</v>
      </c>
      <c r="H14" s="24">
        <f t="shared" si="3"/>
        <v>4.0208526512926272E-2</v>
      </c>
      <c r="I14" s="25">
        <f t="shared" si="1"/>
        <v>505.36648779232092</v>
      </c>
    </row>
    <row r="15" spans="1:9">
      <c r="A15" s="450" t="s">
        <v>10</v>
      </c>
      <c r="B15" s="27">
        <f>VLOOKUP(A15,[1]進出口值表查詢結果!$A$2:$C$58,3,0)</f>
        <v>420</v>
      </c>
      <c r="C15" s="28">
        <f>VLOOKUP(A15,[1]進出口值表查詢結果!$A$2:$C$58,2,0)</f>
        <v>876847</v>
      </c>
      <c r="D15" s="23">
        <f t="shared" si="0"/>
        <v>2087.7309523809522</v>
      </c>
      <c r="E15" s="27">
        <f>VLOOKUP(A15,[2]進出口值表查詢結果!$A$2:$C$80,3,0)</f>
        <v>6409</v>
      </c>
      <c r="F15" s="29">
        <f t="shared" si="2"/>
        <v>9.4784977564548144E-3</v>
      </c>
      <c r="G15" s="27">
        <f>VLOOKUP(A15,[2]進出口值表查詢結果!$A$2:$C$80,2,0)</f>
        <v>6491223</v>
      </c>
      <c r="H15" s="24">
        <f t="shared" si="3"/>
        <v>1.0226764851159758E-2</v>
      </c>
      <c r="I15" s="25">
        <f t="shared" si="1"/>
        <v>1012.8293025432985</v>
      </c>
    </row>
    <row r="16" spans="1:9">
      <c r="A16" s="449" t="s">
        <v>203</v>
      </c>
      <c r="B16" s="27">
        <f>VLOOKUP(A16,[1]進出口值表查詢結果!$A$2:$C$58,3,0)</f>
        <v>4981</v>
      </c>
      <c r="C16" s="28">
        <f>VLOOKUP(A16,[1]進出口值表查詢結果!$A$2:$C$58,2,0)</f>
        <v>3928492</v>
      </c>
      <c r="D16" s="23">
        <f t="shared" si="0"/>
        <v>788.69544268219238</v>
      </c>
      <c r="E16" s="27">
        <f>VLOOKUP(A16,[2]進出口值表查詢結果!$A$2:$C$80,3,0)</f>
        <v>21245</v>
      </c>
      <c r="F16" s="29">
        <f t="shared" si="2"/>
        <v>3.1419985151487369E-2</v>
      </c>
      <c r="G16" s="27">
        <f>VLOOKUP(A16,[2]進出口值表查詢結果!$A$2:$C$80,2,0)</f>
        <v>18123438</v>
      </c>
      <c r="H16" s="24">
        <f t="shared" si="3"/>
        <v>2.8553038267299258E-2</v>
      </c>
      <c r="I16" s="25">
        <f t="shared" si="1"/>
        <v>853.06839256295598</v>
      </c>
    </row>
    <row r="17" spans="1:9">
      <c r="A17" s="450" t="s">
        <v>11</v>
      </c>
      <c r="B17" s="27">
        <f>VLOOKUP(A17,[1]進出口值表查詢結果!$A$2:$C$58,3,0)</f>
        <v>1041</v>
      </c>
      <c r="C17" s="28">
        <f>VLOOKUP(A17,[1]進出口值表查詢結果!$A$2:$C$58,2,0)</f>
        <v>1748388</v>
      </c>
      <c r="D17" s="23">
        <f t="shared" si="0"/>
        <v>1679.5273775216137</v>
      </c>
      <c r="E17" s="27">
        <f>VLOOKUP(A17,[2]進出口值表查詢結果!$A$2:$C$80,3,0)</f>
        <v>6109</v>
      </c>
      <c r="F17" s="29">
        <f t="shared" si="2"/>
        <v>9.0348171000440725E-3</v>
      </c>
      <c r="G17" s="27">
        <f>VLOOKUP(A17,[2]進出口值表查詢結果!$A$2:$C$80,2,0)</f>
        <v>10178860</v>
      </c>
      <c r="H17" s="24">
        <f t="shared" si="3"/>
        <v>1.6036547761935773E-2</v>
      </c>
      <c r="I17" s="25">
        <f t="shared" si="1"/>
        <v>1666.2072352267146</v>
      </c>
    </row>
    <row r="18" spans="1:9">
      <c r="A18" s="450" t="s">
        <v>12</v>
      </c>
      <c r="B18" s="27">
        <f>VLOOKUP(A18,[1]進出口值表查詢結果!$A$2:$C$58,3,0)</f>
        <v>3119</v>
      </c>
      <c r="C18" s="28">
        <f>VLOOKUP(A18,[1]進出口值表查詢結果!$A$2:$C$58,2,0)</f>
        <v>4923738</v>
      </c>
      <c r="D18" s="23">
        <f t="shared" si="0"/>
        <v>1578.6271240782303</v>
      </c>
      <c r="E18" s="27">
        <f>VLOOKUP(A18,[2]進出口值表查詢結果!$A$2:$C$80,3,0)</f>
        <v>12094</v>
      </c>
      <c r="F18" s="29">
        <f t="shared" si="2"/>
        <v>1.7886246195438372E-2</v>
      </c>
      <c r="G18" s="27">
        <f>VLOOKUP(A18,[2]進出口值表查詢結果!$A$2:$C$80,2,0)</f>
        <v>17196122</v>
      </c>
      <c r="H18" s="24">
        <f t="shared" si="3"/>
        <v>2.7092074335738434E-2</v>
      </c>
      <c r="I18" s="25">
        <f t="shared" si="1"/>
        <v>1421.8721680171986</v>
      </c>
    </row>
    <row r="19" spans="1:9">
      <c r="A19" s="449" t="s">
        <v>204</v>
      </c>
      <c r="B19" s="27">
        <f>VLOOKUP(A19,[1]進出口值表查詢結果!$A$2:$C$58,3,0)</f>
        <v>1676</v>
      </c>
      <c r="C19" s="28">
        <f>VLOOKUP(A19,[1]進出口值表查詢結果!$A$2:$C$58,2,0)</f>
        <v>679519</v>
      </c>
      <c r="D19" s="23">
        <f t="shared" si="0"/>
        <v>405.44093078758948</v>
      </c>
      <c r="E19" s="27">
        <f>VLOOKUP(A19,[2]進出口值表查詢結果!$A$2:$C$80,3,0)</f>
        <v>6359</v>
      </c>
      <c r="F19" s="29">
        <f t="shared" si="2"/>
        <v>9.4045509803863565E-3</v>
      </c>
      <c r="G19" s="27">
        <f>VLOOKUP(A19,[2]進出口值表查詢結果!$A$2:$C$80,2,0)</f>
        <v>2556822</v>
      </c>
      <c r="H19" s="24">
        <f t="shared" si="3"/>
        <v>4.0282112261852653E-3</v>
      </c>
      <c r="I19" s="25">
        <f t="shared" si="1"/>
        <v>402.07925774492844</v>
      </c>
    </row>
    <row r="20" spans="1:9">
      <c r="A20" s="450" t="s">
        <v>205</v>
      </c>
      <c r="B20" s="27">
        <f>VLOOKUP(A20,[1]進出口值表查詢結果!$A$2:$C$58,3,0)</f>
        <v>30</v>
      </c>
      <c r="C20" s="28">
        <f>VLOOKUP(A20,[1]進出口值表查詢結果!$A$2:$C$58,2,0)</f>
        <v>59101</v>
      </c>
      <c r="D20" s="23">
        <f t="shared" si="0"/>
        <v>1970.0333333333333</v>
      </c>
      <c r="E20" s="27">
        <f>VLOOKUP(A20,[2]進出口值表查詢結果!$A$2:$C$80,3,0)</f>
        <v>80</v>
      </c>
      <c r="F20" s="29">
        <f t="shared" si="2"/>
        <v>1.1831484170953115E-4</v>
      </c>
      <c r="G20" s="27">
        <f>VLOOKUP(A20,[2]進出口值表查詢結果!$A$2:$C$80,2,0)</f>
        <v>169961</v>
      </c>
      <c r="H20" s="24">
        <f t="shared" si="3"/>
        <v>2.6776944512119886E-4</v>
      </c>
      <c r="I20" s="25">
        <f t="shared" si="1"/>
        <v>2124.5124999999998</v>
      </c>
    </row>
    <row r="21" spans="1:9">
      <c r="A21" s="449" t="s">
        <v>206</v>
      </c>
      <c r="B21" s="27">
        <v>0</v>
      </c>
      <c r="C21" s="28">
        <v>0</v>
      </c>
      <c r="D21" s="23">
        <f t="shared" si="0"/>
        <v>0</v>
      </c>
      <c r="E21" s="27">
        <f>VLOOKUP(A21,[2]進出口值表查詢結果!$A$2:$C$80,3,0)</f>
        <v>1173</v>
      </c>
      <c r="F21" s="29">
        <f t="shared" si="2"/>
        <v>1.7347913665660005E-3</v>
      </c>
      <c r="G21" s="27">
        <f>VLOOKUP(A21,[2]進出口值表查詢結果!$A$2:$C$80,2,0)</f>
        <v>274590</v>
      </c>
      <c r="H21" s="24">
        <f t="shared" si="3"/>
        <v>4.3260990424762142E-4</v>
      </c>
      <c r="I21" s="25">
        <f t="shared" si="1"/>
        <v>234.0920716112532</v>
      </c>
    </row>
    <row r="22" spans="1:9">
      <c r="A22" s="450" t="s">
        <v>14</v>
      </c>
      <c r="B22" s="27">
        <v>0</v>
      </c>
      <c r="C22" s="27">
        <v>0</v>
      </c>
      <c r="D22" s="23">
        <f t="shared" si="0"/>
        <v>0</v>
      </c>
      <c r="E22" s="27">
        <v>0</v>
      </c>
      <c r="F22" s="29">
        <f t="shared" si="2"/>
        <v>0</v>
      </c>
      <c r="G22" s="27">
        <v>0</v>
      </c>
      <c r="H22" s="24">
        <f t="shared" si="3"/>
        <v>0</v>
      </c>
      <c r="I22" s="25">
        <f t="shared" si="1"/>
        <v>0</v>
      </c>
    </row>
    <row r="23" spans="1:9">
      <c r="A23" s="450" t="s">
        <v>15</v>
      </c>
      <c r="B23" s="27">
        <v>0</v>
      </c>
      <c r="C23" s="27">
        <v>0</v>
      </c>
      <c r="D23" s="23">
        <f t="shared" si="0"/>
        <v>0</v>
      </c>
      <c r="E23" s="27">
        <f>VLOOKUP(A23,[2]進出口值表查詢結果!$A$2:$C$80,3,0)</f>
        <v>2</v>
      </c>
      <c r="F23" s="29">
        <f t="shared" si="2"/>
        <v>2.9578710427382789E-6</v>
      </c>
      <c r="G23" s="27">
        <f>VLOOKUP(A23,[2]進出口值表查詢結果!$A$2:$C$80,2,0)</f>
        <v>7582</v>
      </c>
      <c r="H23" s="24">
        <f t="shared" si="3"/>
        <v>1.1945257635039389E-5</v>
      </c>
      <c r="I23" s="25">
        <f t="shared" si="1"/>
        <v>3791</v>
      </c>
    </row>
    <row r="24" spans="1:9">
      <c r="A24" s="450" t="s">
        <v>16</v>
      </c>
      <c r="B24" s="27">
        <f>VLOOKUP(A24,[1]進出口值表查詢結果!$A$2:$C$58,3,0)</f>
        <v>1025</v>
      </c>
      <c r="C24" s="28">
        <f>VLOOKUP(A24,[1]進出口值表查詢結果!$A$2:$C$58,2,0)</f>
        <v>613514</v>
      </c>
      <c r="D24" s="23">
        <f t="shared" si="0"/>
        <v>598.55024390243898</v>
      </c>
      <c r="E24" s="27">
        <f>VLOOKUP(A24,[2]進出口值表查詢結果!$A$2:$C$80,3,0)</f>
        <v>1087</v>
      </c>
      <c r="F24" s="29">
        <f t="shared" si="2"/>
        <v>1.6076029117282544E-3</v>
      </c>
      <c r="G24" s="27">
        <f>VLOOKUP(A24,[2]進出口值表查詢結果!$A$2:$C$80,2,0)</f>
        <v>746864</v>
      </c>
      <c r="H24" s="24">
        <f t="shared" si="3"/>
        <v>1.1766661696565627E-3</v>
      </c>
      <c r="I24" s="25">
        <f t="shared" si="1"/>
        <v>687.08739650413986</v>
      </c>
    </row>
    <row r="25" spans="1:9">
      <c r="A25" s="449" t="s">
        <v>207</v>
      </c>
      <c r="B25" s="27">
        <f>VLOOKUP(A25,[1]進出口值表查詢結果!$A$2:$C$58,3,0)</f>
        <v>3588</v>
      </c>
      <c r="C25" s="28">
        <f>VLOOKUP(A25,[1]進出口值表查詢結果!$A$2:$C$58,2,0)</f>
        <v>1178509</v>
      </c>
      <c r="D25" s="23">
        <f t="shared" si="0"/>
        <v>328.45847268673356</v>
      </c>
      <c r="E25" s="27">
        <f>VLOOKUP(A25,[2]進出口值表查詢結果!$A$2:$C$80,3,0)</f>
        <v>20939</v>
      </c>
      <c r="F25" s="29">
        <f t="shared" si="2"/>
        <v>3.0967430881948407E-2</v>
      </c>
      <c r="G25" s="27">
        <f>VLOOKUP(A25,[2]進出口值表查詢結果!$A$2:$C$80,2,0)</f>
        <v>4433373</v>
      </c>
      <c r="H25" s="24">
        <f t="shared" si="3"/>
        <v>6.9846719437124082E-3</v>
      </c>
      <c r="I25" s="25">
        <f t="shared" si="1"/>
        <v>211.72801948517122</v>
      </c>
    </row>
    <row r="26" spans="1:9">
      <c r="A26" s="449" t="s">
        <v>208</v>
      </c>
      <c r="B26" s="27">
        <f>VLOOKUP(A26,[1]進出口值表查詢結果!$A$2:$C$58,3,0)</f>
        <v>322</v>
      </c>
      <c r="C26" s="28">
        <f>VLOOKUP(A26,[1]進出口值表查詢結果!$A$2:$C$58,2,0)</f>
        <v>241062</v>
      </c>
      <c r="D26" s="23">
        <f t="shared" si="0"/>
        <v>748.63975155279502</v>
      </c>
      <c r="E26" s="27">
        <f>VLOOKUP(A26,[2]進出口值表查詢結果!$A$2:$C$80,3,0)</f>
        <v>1752</v>
      </c>
      <c r="F26" s="29">
        <f t="shared" si="2"/>
        <v>2.5910950334387321E-3</v>
      </c>
      <c r="G26" s="27">
        <f>VLOOKUP(A26,[2]進出口值表查詢結果!$A$2:$C$80,2,0)</f>
        <v>932878</v>
      </c>
      <c r="H26" s="24">
        <f t="shared" si="3"/>
        <v>1.4697267280480448E-3</v>
      </c>
      <c r="I26" s="25">
        <f t="shared" si="1"/>
        <v>532.46461187214607</v>
      </c>
    </row>
    <row r="27" spans="1:9">
      <c r="A27" s="451" t="s">
        <v>209</v>
      </c>
      <c r="B27" s="27">
        <f>VLOOKUP(A27,[1]進出口值表查詢結果!$A$2:$C$58,3,0)</f>
        <v>1609</v>
      </c>
      <c r="C27" s="28">
        <f>VLOOKUP(A27,[1]進出口值表查詢結果!$A$2:$C$58,2,0)</f>
        <v>749365</v>
      </c>
      <c r="D27" s="23">
        <f t="shared" si="0"/>
        <v>465.73337476693598</v>
      </c>
      <c r="E27" s="27">
        <f>VLOOKUP(A27,[2]進出口值表查詢結果!$A$2:$C$80,3,0)</f>
        <v>7363</v>
      </c>
      <c r="F27" s="29">
        <f t="shared" si="2"/>
        <v>1.0889402243840973E-2</v>
      </c>
      <c r="G27" s="27">
        <f>VLOOKUP(A27,[2]進出口值表查詢結果!$A$2:$C$80,2,0)</f>
        <v>3851848</v>
      </c>
      <c r="H27" s="24">
        <f t="shared" si="3"/>
        <v>6.0684933699566342E-3</v>
      </c>
      <c r="I27" s="25">
        <f t="shared" si="1"/>
        <v>523.1356783919598</v>
      </c>
    </row>
    <row r="28" spans="1:9">
      <c r="A28" s="451" t="s">
        <v>210</v>
      </c>
      <c r="B28" s="27">
        <f>VLOOKUP(A28,[1]進出口值表查詢結果!$A$2:$C$58,3,0)</f>
        <v>784</v>
      </c>
      <c r="C28" s="28">
        <f>VLOOKUP(A28,[1]進出口值表查詢結果!$A$2:$C$58,2,0)</f>
        <v>277336</v>
      </c>
      <c r="D28" s="23">
        <f t="shared" si="0"/>
        <v>353.74489795918367</v>
      </c>
      <c r="E28" s="27">
        <f>VLOOKUP(A28,[2]進出口值表查詢結果!$A$2:$C$80,3,0)</f>
        <v>4768</v>
      </c>
      <c r="F28" s="29">
        <f t="shared" ref="F28:F39" si="4">E28/$E$67</f>
        <v>7.0515645658880566E-3</v>
      </c>
      <c r="G28" s="27">
        <f>VLOOKUP(A28,[2]進出口值表查詢結果!$A$2:$C$80,2,0)</f>
        <v>2126140</v>
      </c>
      <c r="H28" s="24">
        <f t="shared" si="3"/>
        <v>3.3496821509051236E-3</v>
      </c>
      <c r="I28" s="25">
        <f t="shared" si="1"/>
        <v>445.91862416107381</v>
      </c>
    </row>
    <row r="29" spans="1:9">
      <c r="A29" s="450" t="s">
        <v>211</v>
      </c>
      <c r="B29" s="27">
        <f>VLOOKUP(A29,[1]進出口值表查詢結果!$A$2:$C$58,3,0)</f>
        <v>267</v>
      </c>
      <c r="C29" s="28">
        <f>VLOOKUP(A29,[1]進出口值表查詢結果!$A$2:$C$58,2,0)</f>
        <v>65809</v>
      </c>
      <c r="D29" s="23">
        <f t="shared" si="0"/>
        <v>246.47565543071161</v>
      </c>
      <c r="E29" s="27">
        <f>VLOOKUP(A29,[2]進出口值表查詢結果!$A$2:$C$80,3,0)</f>
        <v>1054</v>
      </c>
      <c r="F29" s="29">
        <f t="shared" si="4"/>
        <v>1.5587980395230729E-3</v>
      </c>
      <c r="G29" s="27">
        <f>VLOOKUP(A29,[2]進出口值表查詢結果!$A$2:$C$80,2,0)</f>
        <v>456782</v>
      </c>
      <c r="H29" s="24">
        <f t="shared" si="3"/>
        <v>7.1964899407129547E-4</v>
      </c>
      <c r="I29" s="25">
        <f t="shared" si="1"/>
        <v>433.37950664136622</v>
      </c>
    </row>
    <row r="30" spans="1:9">
      <c r="A30" s="450" t="s">
        <v>212</v>
      </c>
      <c r="B30" s="27">
        <v>0</v>
      </c>
      <c r="C30" s="27">
        <v>0</v>
      </c>
      <c r="D30" s="23">
        <f t="shared" si="0"/>
        <v>0</v>
      </c>
      <c r="E30" s="27">
        <v>0</v>
      </c>
      <c r="F30" s="29">
        <f t="shared" si="4"/>
        <v>0</v>
      </c>
      <c r="G30" s="27">
        <v>0</v>
      </c>
      <c r="H30" s="24">
        <f t="shared" si="3"/>
        <v>0</v>
      </c>
      <c r="I30" s="25">
        <f t="shared" si="1"/>
        <v>0</v>
      </c>
    </row>
    <row r="31" spans="1:9">
      <c r="A31" s="450" t="s">
        <v>17</v>
      </c>
      <c r="B31" s="27">
        <f>VLOOKUP(A31,[1]進出口值表查詢結果!$A$2:$C$58,3,0)</f>
        <v>437</v>
      </c>
      <c r="C31" s="28">
        <f>VLOOKUP(A31,[1]進出口值表查詢結果!$A$2:$C$58,2,0)</f>
        <v>368545</v>
      </c>
      <c r="D31" s="23">
        <f t="shared" si="0"/>
        <v>843.35240274599539</v>
      </c>
      <c r="E31" s="27">
        <f>VLOOKUP(A31,[2]進出口值表查詢結果!$A$2:$C$80,3,0)</f>
        <v>974</v>
      </c>
      <c r="F31" s="29">
        <f t="shared" si="4"/>
        <v>1.4404831978135418E-3</v>
      </c>
      <c r="G31" s="27">
        <f>VLOOKUP(A31,[2]進出口值表查詢結果!$A$2:$C$80,2,0)</f>
        <v>880216</v>
      </c>
      <c r="H31" s="24">
        <f t="shared" si="3"/>
        <v>1.3867590206388593E-3</v>
      </c>
      <c r="I31" s="25">
        <f t="shared" si="1"/>
        <v>903.71252566735109</v>
      </c>
    </row>
    <row r="32" spans="1:9">
      <c r="A32" s="450" t="s">
        <v>18</v>
      </c>
      <c r="B32" s="27">
        <f>VLOOKUP(A32,[1]進出口值表查詢結果!$A$2:$C$58,3,0)</f>
        <v>50</v>
      </c>
      <c r="C32" s="28">
        <f>VLOOKUP(A32,[1]進出口值表查詢結果!$A$2:$C$58,2,0)</f>
        <v>6219</v>
      </c>
      <c r="D32" s="23">
        <f t="shared" si="0"/>
        <v>124.38</v>
      </c>
      <c r="E32" s="27">
        <f>VLOOKUP(A32,[2]進出口值表查詢結果!$A$2:$C$80,3,0)</f>
        <v>50</v>
      </c>
      <c r="F32" s="29">
        <f t="shared" si="4"/>
        <v>7.3946776068456961E-5</v>
      </c>
      <c r="G32" s="27">
        <f>VLOOKUP(A32,[2]進出口值表查詢結果!$A$2:$C$80,2,0)</f>
        <v>6219</v>
      </c>
      <c r="H32" s="24">
        <f t="shared" si="3"/>
        <v>9.7978840981680246E-6</v>
      </c>
      <c r="I32" s="25">
        <f t="shared" si="1"/>
        <v>124.38</v>
      </c>
    </row>
    <row r="33" spans="1:9">
      <c r="A33" s="450" t="s">
        <v>213</v>
      </c>
      <c r="B33" s="27">
        <v>0</v>
      </c>
      <c r="C33" s="28">
        <v>0</v>
      </c>
      <c r="D33" s="23">
        <f t="shared" si="0"/>
        <v>0</v>
      </c>
      <c r="E33" s="27">
        <f>VLOOKUP(A33,[2]進出口值表查詢結果!$A$2:$C$80,3,0)</f>
        <v>697</v>
      </c>
      <c r="F33" s="29">
        <f t="shared" si="4"/>
        <v>1.03081805839429E-3</v>
      </c>
      <c r="G33" s="27">
        <f>VLOOKUP(A33,[2]進出口值表查詢結果!$A$2:$C$80,2,0)</f>
        <v>299048</v>
      </c>
      <c r="H33" s="24">
        <f t="shared" si="3"/>
        <v>4.7114289174930875E-4</v>
      </c>
      <c r="I33" s="25">
        <f t="shared" si="1"/>
        <v>429.05021520803444</v>
      </c>
    </row>
    <row r="34" spans="1:9">
      <c r="A34" s="450" t="s">
        <v>214</v>
      </c>
      <c r="B34" s="27">
        <v>0</v>
      </c>
      <c r="C34" s="28">
        <v>0</v>
      </c>
      <c r="D34" s="23">
        <f t="shared" si="0"/>
        <v>0</v>
      </c>
      <c r="E34" s="27">
        <f>VLOOKUP(A34,[2]進出口值表查詢結果!$A$2:$C$80,3,0)</f>
        <v>263</v>
      </c>
      <c r="F34" s="29">
        <f t="shared" si="4"/>
        <v>3.8896004212008367E-4</v>
      </c>
      <c r="G34" s="27">
        <f>VLOOKUP(A34,[2]進出口值表查詢結果!$A$2:$C$80,2,0)</f>
        <v>84494</v>
      </c>
      <c r="H34" s="24">
        <f t="shared" si="3"/>
        <v>1.3311825357623558E-4</v>
      </c>
      <c r="I34" s="25">
        <f t="shared" si="1"/>
        <v>321.26996197718631</v>
      </c>
    </row>
    <row r="35" spans="1:9">
      <c r="A35" s="450" t="s">
        <v>215</v>
      </c>
      <c r="B35" s="27">
        <f>VLOOKUP(A35,[1]進出口值表查詢結果!$A$2:$C$58,3,0)</f>
        <v>283</v>
      </c>
      <c r="C35" s="28">
        <f>VLOOKUP(A35,[1]進出口值表查詢結果!$A$2:$C$58,2,0)</f>
        <v>120319</v>
      </c>
      <c r="D35" s="23">
        <f t="shared" si="0"/>
        <v>425.15547703180209</v>
      </c>
      <c r="E35" s="27">
        <f>VLOOKUP(A35,[2]進出口值表查詢結果!$A$2:$C$80,3,0)</f>
        <v>409</v>
      </c>
      <c r="F35" s="29">
        <f t="shared" si="4"/>
        <v>6.0488462823997803E-4</v>
      </c>
      <c r="G35" s="27">
        <f>VLOOKUP(A35,[2]進出口值表查詢結果!$A$2:$C$80,2,0)</f>
        <v>165765</v>
      </c>
      <c r="H35" s="24">
        <f t="shared" si="3"/>
        <v>2.6115874859829918E-4</v>
      </c>
      <c r="I35" s="25">
        <f t="shared" si="1"/>
        <v>405.29339853300735</v>
      </c>
    </row>
    <row r="36" spans="1:9">
      <c r="A36" s="450" t="s">
        <v>216</v>
      </c>
      <c r="B36" s="27">
        <v>0</v>
      </c>
      <c r="C36" s="27">
        <v>0</v>
      </c>
      <c r="D36" s="23">
        <f t="shared" si="0"/>
        <v>0</v>
      </c>
      <c r="E36" s="27">
        <v>0</v>
      </c>
      <c r="F36" s="29">
        <f t="shared" si="4"/>
        <v>0</v>
      </c>
      <c r="G36" s="27">
        <v>0</v>
      </c>
      <c r="H36" s="24">
        <f t="shared" si="3"/>
        <v>0</v>
      </c>
      <c r="I36" s="25">
        <f t="shared" si="1"/>
        <v>0</v>
      </c>
    </row>
    <row r="37" spans="1:9">
      <c r="A37" s="450" t="s">
        <v>217</v>
      </c>
      <c r="B37" s="27">
        <v>0</v>
      </c>
      <c r="C37" s="27">
        <v>0</v>
      </c>
      <c r="D37" s="23">
        <f t="shared" si="0"/>
        <v>0</v>
      </c>
      <c r="E37" s="27">
        <v>0</v>
      </c>
      <c r="F37" s="29">
        <f t="shared" si="4"/>
        <v>0</v>
      </c>
      <c r="G37" s="27">
        <v>0</v>
      </c>
      <c r="H37" s="24">
        <f t="shared" si="3"/>
        <v>0</v>
      </c>
      <c r="I37" s="25">
        <f t="shared" si="1"/>
        <v>0</v>
      </c>
    </row>
    <row r="38" spans="1:9">
      <c r="A38" s="450" t="s">
        <v>218</v>
      </c>
      <c r="B38" s="27">
        <v>0</v>
      </c>
      <c r="C38" s="28">
        <v>0</v>
      </c>
      <c r="D38" s="23">
        <f t="shared" si="0"/>
        <v>0</v>
      </c>
      <c r="E38" s="27">
        <f>VLOOKUP(A38,[2]進出口值表查詢結果!$A$2:$C$80,3,0)</f>
        <v>325</v>
      </c>
      <c r="F38" s="29">
        <f t="shared" si="4"/>
        <v>4.8065404444497028E-4</v>
      </c>
      <c r="G38" s="27">
        <f>VLOOKUP(A38,[2]進出口值表查詢結果!$A$2:$C$80,2,0)</f>
        <v>48937</v>
      </c>
      <c r="H38" s="24">
        <f t="shared" si="3"/>
        <v>7.7099059995505486E-5</v>
      </c>
      <c r="I38" s="25">
        <f t="shared" si="1"/>
        <v>150.57538461538462</v>
      </c>
    </row>
    <row r="39" spans="1:9">
      <c r="A39" s="450" t="s">
        <v>19</v>
      </c>
      <c r="B39" s="27">
        <v>0</v>
      </c>
      <c r="C39" s="27">
        <v>0</v>
      </c>
      <c r="D39" s="23">
        <f t="shared" si="0"/>
        <v>0</v>
      </c>
      <c r="E39" s="27">
        <f>VLOOKUP(A39,[2]進出口值表查詢結果!$A$2:$C$80,3,0)</f>
        <v>323</v>
      </c>
      <c r="F39" s="29">
        <f t="shared" si="4"/>
        <v>4.7769617340223203E-4</v>
      </c>
      <c r="G39" s="27">
        <f>VLOOKUP(A39,[2]進出口值表查詢結果!$A$2:$C$80,2,0)</f>
        <v>65785</v>
      </c>
      <c r="H39" s="24">
        <f t="shared" si="3"/>
        <v>1.0364267653931235E-4</v>
      </c>
      <c r="I39" s="25">
        <f t="shared" si="1"/>
        <v>203.6687306501548</v>
      </c>
    </row>
    <row r="40" spans="1:9">
      <c r="A40" s="30"/>
      <c r="B40" s="27"/>
      <c r="C40" s="27"/>
      <c r="D40" s="23"/>
      <c r="E40" s="27"/>
      <c r="F40" s="29"/>
      <c r="G40" s="27"/>
      <c r="H40" s="29"/>
      <c r="I40" s="25"/>
    </row>
    <row r="41" spans="1:9" ht="18" customHeight="1">
      <c r="A41" s="36" t="s">
        <v>20</v>
      </c>
      <c r="B41" s="33">
        <f>SUM(B42:B45)</f>
        <v>2813</v>
      </c>
      <c r="C41" s="33">
        <f>SUM(C42:C45)</f>
        <v>1991078</v>
      </c>
      <c r="D41" s="23">
        <f t="shared" si="0"/>
        <v>707.81301102026305</v>
      </c>
      <c r="E41" s="33">
        <f>SUM(E42:E45)</f>
        <v>20833</v>
      </c>
      <c r="F41" s="24">
        <f>E41/$E$67</f>
        <v>3.0810663716683281E-2</v>
      </c>
      <c r="G41" s="33">
        <f>SUM(G42:G45)</f>
        <v>13275044</v>
      </c>
      <c r="H41" s="24">
        <f>G41/$G$67</f>
        <v>2.0914510775057217E-2</v>
      </c>
      <c r="I41" s="25">
        <f t="shared" si="1"/>
        <v>637.21230739691839</v>
      </c>
    </row>
    <row r="42" spans="1:9">
      <c r="A42" s="449" t="s">
        <v>219</v>
      </c>
      <c r="B42" s="27">
        <f>VLOOKUP(A42,[1]進出口值表查詢結果!$A$2:$C$58,3,0)</f>
        <v>530</v>
      </c>
      <c r="C42" s="28">
        <f>VLOOKUP(A42,[1]進出口值表查詢結果!$A$2:$C$58,2,0)</f>
        <v>853403</v>
      </c>
      <c r="D42" s="23">
        <f t="shared" si="0"/>
        <v>1610.1943396226416</v>
      </c>
      <c r="E42" s="27">
        <f>VLOOKUP(A42,[2]進出口值表查詢結果!$A$2:$C$80,3,0)</f>
        <v>5268</v>
      </c>
      <c r="F42" s="29">
        <f>E42/$E$67</f>
        <v>7.7910323265726264E-3</v>
      </c>
      <c r="G42" s="27">
        <f>VLOOKUP(A42,[2]進出口值表查詢結果!$A$2:$C$80,2,0)</f>
        <v>7159673</v>
      </c>
      <c r="H42" s="29">
        <f>G42/$G$67</f>
        <v>1.1279891660199864E-2</v>
      </c>
      <c r="I42" s="25">
        <f t="shared" si="1"/>
        <v>1359.0875094912681</v>
      </c>
    </row>
    <row r="43" spans="1:9">
      <c r="A43" s="449" t="s">
        <v>220</v>
      </c>
      <c r="B43" s="27">
        <f>VLOOKUP(A43,[1]進出口值表查詢結果!$A$2:$C$58,3,0)</f>
        <v>2271</v>
      </c>
      <c r="C43" s="28">
        <f>VLOOKUP(A43,[1]進出口值表查詢結果!$A$2:$C$58,2,0)</f>
        <v>1123022</v>
      </c>
      <c r="D43" s="23">
        <f t="shared" si="0"/>
        <v>494.5055041831792</v>
      </c>
      <c r="E43" s="27">
        <f>VLOOKUP(A43,[2]進出口值表查詢結果!$A$2:$C$80,3,0)</f>
        <v>15510</v>
      </c>
      <c r="F43" s="29">
        <f>E43/$E$67</f>
        <v>2.293828993643535E-2</v>
      </c>
      <c r="G43" s="27">
        <f>VLOOKUP(A43,[2]進出口值表查詢結果!$A$2:$C$80,2,0)</f>
        <v>6048936</v>
      </c>
      <c r="H43" s="29">
        <f>G43/$G$67</f>
        <v>9.5299523790378024E-3</v>
      </c>
      <c r="I43" s="25">
        <f t="shared" si="1"/>
        <v>390.00232108317215</v>
      </c>
    </row>
    <row r="44" spans="1:9">
      <c r="A44" s="449" t="s">
        <v>221</v>
      </c>
      <c r="B44" s="27">
        <f>VLOOKUP(A44,[1]進出口值表查詢結果!$A$2:$C$58,3,0)</f>
        <v>12</v>
      </c>
      <c r="C44" s="28">
        <f>VLOOKUP(A44,[1]進出口值表查詢結果!$A$2:$C$58,2,0)</f>
        <v>14653</v>
      </c>
      <c r="D44" s="23">
        <f t="shared" si="0"/>
        <v>1221.0833333333333</v>
      </c>
      <c r="E44" s="27">
        <f>VLOOKUP(A44,[2]進出口值表查詢結果!$A$2:$C$80,3,0)</f>
        <v>55</v>
      </c>
      <c r="F44" s="29">
        <f>E44/$E$67</f>
        <v>8.1341453675302667E-5</v>
      </c>
      <c r="G44" s="27">
        <f>VLOOKUP(A44,[2]進出口值表查詢結果!$A$2:$C$80,2,0)</f>
        <v>66435</v>
      </c>
      <c r="H44" s="29">
        <f>G44/$G$67</f>
        <v>1.046667358195518E-4</v>
      </c>
      <c r="I44" s="25">
        <f t="shared" si="1"/>
        <v>1207.909090909091</v>
      </c>
    </row>
    <row r="45" spans="1:9">
      <c r="A45" s="450" t="s">
        <v>21</v>
      </c>
      <c r="B45" s="27">
        <v>0</v>
      </c>
      <c r="C45" s="27">
        <v>0</v>
      </c>
      <c r="D45" s="23">
        <f t="shared" si="0"/>
        <v>0</v>
      </c>
      <c r="E45" s="27">
        <v>0</v>
      </c>
      <c r="F45" s="29">
        <f>E45/$E$67</f>
        <v>0</v>
      </c>
      <c r="G45" s="27">
        <v>0</v>
      </c>
      <c r="H45" s="29">
        <f>G45/$G$67</f>
        <v>0</v>
      </c>
      <c r="I45" s="25">
        <f t="shared" si="1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>
      <c r="A47" s="36" t="s">
        <v>22</v>
      </c>
      <c r="B47" s="33">
        <f>SUM(B48:B65)</f>
        <v>28093</v>
      </c>
      <c r="C47" s="33">
        <f>SUM(C48:C65)</f>
        <v>33289944</v>
      </c>
      <c r="D47" s="23">
        <f t="shared" si="0"/>
        <v>1184.9907094293951</v>
      </c>
      <c r="E47" s="33">
        <f>SUM(E48:E65)</f>
        <v>176631</v>
      </c>
      <c r="F47" s="24">
        <f t="shared" ref="F47:F65" si="5">E47/$E$67</f>
        <v>0.26122586007495247</v>
      </c>
      <c r="G47" s="33">
        <f>SUM(G48:G65)</f>
        <v>175749448</v>
      </c>
      <c r="H47" s="24">
        <f t="shared" ref="H47:H66" si="6">G47/$G$67</f>
        <v>0.27688900495594276</v>
      </c>
      <c r="I47" s="25">
        <f t="shared" si="1"/>
        <v>995.00907541711251</v>
      </c>
    </row>
    <row r="48" spans="1:9">
      <c r="A48" s="481" t="s">
        <v>162</v>
      </c>
      <c r="B48" s="27">
        <f>VLOOKUP(A48,[1]進出口值表查詢結果!$A$2:$C$58,3,0)</f>
        <v>5878</v>
      </c>
      <c r="C48" s="28">
        <f>VLOOKUP(A48,[1]進出口值表查詢結果!$A$2:$C$58,2,0)</f>
        <v>5177828</v>
      </c>
      <c r="D48" s="23">
        <f t="shared" si="0"/>
        <v>880.88261313371891</v>
      </c>
      <c r="E48" s="27">
        <f>VLOOKUP(A48,[2]進出口值表查詢結果!$A$2:$C$80,3,0)</f>
        <v>38308</v>
      </c>
      <c r="F48" s="29">
        <f t="shared" ref="F48" si="7">E48/$E$67</f>
        <v>5.6655061952608991E-2</v>
      </c>
      <c r="G48" s="27">
        <f>VLOOKUP(A48,[2]進出口值表查詢結果!$A$2:$C$80,2,0)</f>
        <v>31452758</v>
      </c>
      <c r="H48" s="29">
        <f t="shared" ref="H48" si="8">G48/$G$67</f>
        <v>4.9553059567732288E-2</v>
      </c>
      <c r="I48" s="25">
        <f t="shared" si="1"/>
        <v>821.04933695311684</v>
      </c>
    </row>
    <row r="49" spans="1:9">
      <c r="A49" s="449" t="s">
        <v>222</v>
      </c>
      <c r="B49" s="27">
        <f>VLOOKUP(A49,[1]進出口值表查詢結果!$A$2:$C$58,3,0)</f>
        <v>4980</v>
      </c>
      <c r="C49" s="28">
        <f>VLOOKUP(A49,[1]進出口值表查詢結果!$A$2:$C$58,2,0)</f>
        <v>3138686</v>
      </c>
      <c r="D49" s="23">
        <f t="shared" si="0"/>
        <v>630.25823293172687</v>
      </c>
      <c r="E49" s="27">
        <f>VLOOKUP(A49,[2]進出口值表查詢結果!$A$2:$C$80,3,0)</f>
        <v>22929</v>
      </c>
      <c r="F49" s="29">
        <f t="shared" si="5"/>
        <v>3.3910512569472993E-2</v>
      </c>
      <c r="G49" s="27">
        <f>VLOOKUP(A49,[2]進出口值表查詢結果!$A$2:$C$80,2,0)</f>
        <v>18159724</v>
      </c>
      <c r="H49" s="29">
        <f t="shared" si="6"/>
        <v>2.8610205982749673E-2</v>
      </c>
      <c r="I49" s="25">
        <f t="shared" si="1"/>
        <v>791.99808103275325</v>
      </c>
    </row>
    <row r="50" spans="1:9">
      <c r="A50" s="291" t="s">
        <v>223</v>
      </c>
      <c r="B50" s="27">
        <f>VLOOKUP(A50,[1]進出口值表查詢結果!$A$2:$C$58,3,0)</f>
        <v>269</v>
      </c>
      <c r="C50" s="28">
        <f>VLOOKUP(A50,[1]進出口值表查詢結果!$A$2:$C$58,2,0)</f>
        <v>478835</v>
      </c>
      <c r="D50" s="23">
        <f t="shared" si="0"/>
        <v>1780.0557620817845</v>
      </c>
      <c r="E50" s="27">
        <f>VLOOKUP(A50,[2]進出口值表查詢結果!$A$2:$C$80,3,0)</f>
        <v>1152</v>
      </c>
      <c r="F50" s="29">
        <f t="shared" si="5"/>
        <v>1.7037337206172486E-3</v>
      </c>
      <c r="G50" s="27">
        <f>VLOOKUP(A50,[2]進出口值表查詢結果!$A$2:$C$80,2,0)</f>
        <v>1395293</v>
      </c>
      <c r="H50" s="29">
        <f t="shared" si="6"/>
        <v>2.198250377389477E-3</v>
      </c>
      <c r="I50" s="25">
        <f t="shared" si="1"/>
        <v>1211.1918402777778</v>
      </c>
    </row>
    <row r="51" spans="1:9">
      <c r="A51" s="449" t="s">
        <v>224</v>
      </c>
      <c r="B51" s="27">
        <f>VLOOKUP(A51,[1]進出口值表查詢結果!$A$2:$C$58,3,0)</f>
        <v>686</v>
      </c>
      <c r="C51" s="28">
        <f>VLOOKUP(A51,[1]進出口值表查詢結果!$A$2:$C$58,2,0)</f>
        <v>1150797</v>
      </c>
      <c r="D51" s="23">
        <f t="shared" si="0"/>
        <v>1677.5466472303208</v>
      </c>
      <c r="E51" s="27">
        <f>VLOOKUP(A51,[2]進出口值表查詢結果!$A$2:$C$80,3,0)</f>
        <v>2692</v>
      </c>
      <c r="F51" s="29">
        <f t="shared" si="5"/>
        <v>3.981294423525723E-3</v>
      </c>
      <c r="G51" s="27">
        <f>VLOOKUP(A51,[2]進出口值表查詢結果!$A$2:$C$80,2,0)</f>
        <v>4061100</v>
      </c>
      <c r="H51" s="29">
        <f t="shared" si="6"/>
        <v>6.3981648353545846E-3</v>
      </c>
      <c r="I51" s="25">
        <f t="shared" si="1"/>
        <v>1508.5809806835066</v>
      </c>
    </row>
    <row r="52" spans="1:9">
      <c r="A52" s="450" t="s">
        <v>23</v>
      </c>
      <c r="B52" s="27">
        <f>VLOOKUP(A52,[1]進出口值表查詢結果!$A$2:$C$58,3,0)</f>
        <v>108</v>
      </c>
      <c r="C52" s="28">
        <f>VLOOKUP(A52,[1]進出口值表查詢結果!$A$2:$C$58,2,0)</f>
        <v>167111</v>
      </c>
      <c r="D52" s="23">
        <f t="shared" si="0"/>
        <v>1547.3240740740741</v>
      </c>
      <c r="E52" s="27">
        <f>VLOOKUP(A52,[2]進出口值表查詢結果!$A$2:$C$80,3,0)</f>
        <v>425</v>
      </c>
      <c r="F52" s="29">
        <f t="shared" si="5"/>
        <v>6.2854759658188418E-4</v>
      </c>
      <c r="G52" s="27">
        <f>VLOOKUP(A52,[2]進出口值表查詢結果!$A$2:$C$80,2,0)</f>
        <v>641676</v>
      </c>
      <c r="H52" s="29">
        <f t="shared" si="6"/>
        <v>1.0109450195491341E-3</v>
      </c>
      <c r="I52" s="25">
        <f t="shared" si="1"/>
        <v>1509.8258823529411</v>
      </c>
    </row>
    <row r="53" spans="1:9">
      <c r="A53" s="449" t="s">
        <v>225</v>
      </c>
      <c r="B53" s="27">
        <f>VLOOKUP(A53,[1]進出口值表查詢結果!$A$2:$C$58,3,0)</f>
        <v>352</v>
      </c>
      <c r="C53" s="28">
        <f>VLOOKUP(A53,[1]進出口值表查詢結果!$A$2:$C$58,2,0)</f>
        <v>562034</v>
      </c>
      <c r="D53" s="23">
        <f t="shared" si="0"/>
        <v>1596.6875</v>
      </c>
      <c r="E53" s="27">
        <f>VLOOKUP(A53,[2]進出口值表查詢結果!$A$2:$C$80,3,0)</f>
        <v>1877</v>
      </c>
      <c r="F53" s="29">
        <f t="shared" si="5"/>
        <v>2.7759619736098745E-3</v>
      </c>
      <c r="G53" s="27">
        <f>VLOOKUP(A53,[2]進出口值表查詢結果!$A$2:$C$80,2,0)</f>
        <v>2967587</v>
      </c>
      <c r="H53" s="29">
        <f t="shared" si="6"/>
        <v>4.6753615496430536E-3</v>
      </c>
      <c r="I53" s="25">
        <f t="shared" si="1"/>
        <v>1581.0266382525306</v>
      </c>
    </row>
    <row r="54" spans="1:9">
      <c r="A54" s="450" t="s">
        <v>226</v>
      </c>
      <c r="B54" s="27">
        <f>VLOOKUP(A54,[1]進出口值表查詢結果!$A$2:$C$58,3,0)</f>
        <v>2402</v>
      </c>
      <c r="C54" s="28">
        <f>VLOOKUP(A54,[1]進出口值表查詢結果!$A$2:$C$58,2,0)</f>
        <v>3602928</v>
      </c>
      <c r="D54" s="23">
        <f t="shared" si="0"/>
        <v>1499.970024979184</v>
      </c>
      <c r="E54" s="27">
        <f>VLOOKUP(A54,[2]進出口值表查詢結果!$A$2:$C$80,3,0)</f>
        <v>20739</v>
      </c>
      <c r="F54" s="29">
        <f t="shared" si="5"/>
        <v>3.0671643777674579E-2</v>
      </c>
      <c r="G54" s="27">
        <f>VLOOKUP(A54,[2]進出口值表查詢結果!$A$2:$C$80,2,0)</f>
        <v>30309693</v>
      </c>
      <c r="H54" s="29">
        <f t="shared" si="6"/>
        <v>4.7752188304398563E-2</v>
      </c>
      <c r="I54" s="25">
        <f t="shared" si="1"/>
        <v>1461.4828583827571</v>
      </c>
    </row>
    <row r="55" spans="1:9">
      <c r="A55" s="450" t="s">
        <v>24</v>
      </c>
      <c r="B55" s="27">
        <f>VLOOKUP(A55,[1]進出口值表查詢結果!$A$2:$C$58,3,0)</f>
        <v>334</v>
      </c>
      <c r="C55" s="28">
        <f>VLOOKUP(A55,[1]進出口值表查詢結果!$A$2:$C$58,2,0)</f>
        <v>400522</v>
      </c>
      <c r="D55" s="23">
        <f t="shared" si="0"/>
        <v>1199.1676646706587</v>
      </c>
      <c r="E55" s="27">
        <f>VLOOKUP(A55,[2]進出口值表查詢結果!$A$2:$C$80,3,0)</f>
        <v>2215</v>
      </c>
      <c r="F55" s="29">
        <f t="shared" si="5"/>
        <v>3.2758421798326437E-3</v>
      </c>
      <c r="G55" s="27">
        <f>VLOOKUP(A55,[2]進出口值表查詢結果!$A$2:$C$80,2,0)</f>
        <v>2513511</v>
      </c>
      <c r="H55" s="29">
        <f t="shared" si="6"/>
        <v>3.9599757931291857E-3</v>
      </c>
      <c r="I55" s="25">
        <f t="shared" si="1"/>
        <v>1134.7679458239277</v>
      </c>
    </row>
    <row r="56" spans="1:9">
      <c r="A56" s="450" t="s">
        <v>227</v>
      </c>
      <c r="B56" s="27">
        <f>VLOOKUP(A56,[1]進出口值表查詢結果!$A$2:$C$58,3,0)</f>
        <v>8819</v>
      </c>
      <c r="C56" s="28">
        <f>VLOOKUP(A56,[1]進出口值表查詢結果!$A$2:$C$58,2,0)</f>
        <v>11155519</v>
      </c>
      <c r="D56" s="23">
        <f t="shared" si="0"/>
        <v>1264.9414899648486</v>
      </c>
      <c r="E56" s="27">
        <f>VLOOKUP(A56,[2]進出口值表查詢結果!$A$2:$C$80,3,0)</f>
        <v>59541</v>
      </c>
      <c r="F56" s="29">
        <f t="shared" si="5"/>
        <v>8.8057299877839931E-2</v>
      </c>
      <c r="G56" s="27">
        <f>VLOOKUP(A56,[2]進出口值表查詢結果!$A$2:$C$80,2,0)</f>
        <v>48565855</v>
      </c>
      <c r="H56" s="29">
        <f t="shared" si="6"/>
        <v>7.651433002386783E-2</v>
      </c>
      <c r="I56" s="25">
        <f t="shared" si="1"/>
        <v>815.67079827345867</v>
      </c>
    </row>
    <row r="57" spans="1:9">
      <c r="A57" s="452" t="s">
        <v>455</v>
      </c>
      <c r="B57" s="27">
        <f>VLOOKUP(A57,[1]進出口值表查詢結果!$A$2:$C$58,3,0)</f>
        <v>2512</v>
      </c>
      <c r="C57" s="28">
        <f>VLOOKUP(A57,[1]進出口值表查詢結果!$A$2:$C$58,2,0)</f>
        <v>4642854</v>
      </c>
      <c r="D57" s="23">
        <f t="shared" si="0"/>
        <v>1848.2699044585988</v>
      </c>
      <c r="E57" s="27">
        <f>VLOOKUP(A57,[2]進出口值表查詢結果!$A$2:$C$80,3,0)</f>
        <v>14728</v>
      </c>
      <c r="F57" s="29">
        <f t="shared" si="5"/>
        <v>2.1781762358724685E-2</v>
      </c>
      <c r="G57" s="27">
        <f>VLOOKUP(A57,[2]進出口值表查詢結果!$A$2:$C$80,2,0)</f>
        <v>18151863</v>
      </c>
      <c r="H57" s="29">
        <f t="shared" si="6"/>
        <v>2.859782116736204E-2</v>
      </c>
      <c r="I57" s="25">
        <f t="shared" si="1"/>
        <v>1232.4730445410103</v>
      </c>
    </row>
    <row r="58" spans="1:9">
      <c r="A58" s="450" t="s">
        <v>25</v>
      </c>
      <c r="B58" s="27">
        <f>VLOOKUP(A58,[1]進出口值表查詢結果!$A$2:$C$58,3,0)</f>
        <v>335</v>
      </c>
      <c r="C58" s="28">
        <f>VLOOKUP(A58,[1]進出口值表查詢結果!$A$2:$C$58,2,0)</f>
        <v>168545</v>
      </c>
      <c r="D58" s="23">
        <f t="shared" si="0"/>
        <v>503.1194029850746</v>
      </c>
      <c r="E58" s="27">
        <f>VLOOKUP(A58,[2]進出口值表查詢結果!$A$2:$C$80,3,0)</f>
        <v>1347</v>
      </c>
      <c r="F58" s="29">
        <f t="shared" si="5"/>
        <v>1.9921261472842307E-3</v>
      </c>
      <c r="G58" s="27">
        <f>VLOOKUP(A58,[2]進出口值表查詢結果!$A$2:$C$80,2,0)</f>
        <v>623809</v>
      </c>
      <c r="H58" s="29">
        <f t="shared" si="6"/>
        <v>9.8279599314907498E-4</v>
      </c>
      <c r="I58" s="25">
        <f t="shared" si="1"/>
        <v>463.10987379361546</v>
      </c>
    </row>
    <row r="59" spans="1:9">
      <c r="A59" s="450" t="s">
        <v>26</v>
      </c>
      <c r="B59" s="27">
        <v>0</v>
      </c>
      <c r="C59" s="27">
        <v>0</v>
      </c>
      <c r="D59" s="23">
        <f t="shared" si="0"/>
        <v>0</v>
      </c>
      <c r="E59" s="27">
        <f>VLOOKUP(A59,[2]進出口值表查詢結果!$A$2:$C$80,3,0)</f>
        <v>119</v>
      </c>
      <c r="F59" s="29">
        <f t="shared" si="5"/>
        <v>1.7599332704292759E-4</v>
      </c>
      <c r="G59" s="27">
        <f>VLOOKUP(A59,[2]進出口值表查詢結果!$A$2:$C$80,2,0)</f>
        <v>44021</v>
      </c>
      <c r="H59" s="29">
        <f t="shared" si="6"/>
        <v>6.9354020885263639E-5</v>
      </c>
      <c r="I59" s="25">
        <f t="shared" si="1"/>
        <v>369.92436974789916</v>
      </c>
    </row>
    <row r="60" spans="1:9">
      <c r="A60" s="450" t="s">
        <v>27</v>
      </c>
      <c r="B60" s="27">
        <f>VLOOKUP(A60,[1]進出口值表查詢結果!$A$2:$C$58,3,0)</f>
        <v>461</v>
      </c>
      <c r="C60" s="28">
        <f>VLOOKUP(A60,[1]進出口值表查詢結果!$A$2:$C$58,2,0)</f>
        <v>863009</v>
      </c>
      <c r="D60" s="23">
        <f t="shared" si="0"/>
        <v>1872.0368763557483</v>
      </c>
      <c r="E60" s="27">
        <f>VLOOKUP(A60,[2]進出口值表查詢結果!$A$2:$C$80,3,0)</f>
        <v>3906</v>
      </c>
      <c r="F60" s="29">
        <f t="shared" si="5"/>
        <v>5.7767221464678584E-3</v>
      </c>
      <c r="G60" s="27">
        <f>VLOOKUP(A60,[2]進出口值表查詢結果!$A$2:$C$80,2,0)</f>
        <v>6048024</v>
      </c>
      <c r="H60" s="29">
        <f t="shared" si="6"/>
        <v>9.5285155450938359E-3</v>
      </c>
      <c r="I60" s="25">
        <f t="shared" si="1"/>
        <v>1548.3932411674348</v>
      </c>
    </row>
    <row r="61" spans="1:9">
      <c r="A61" s="451" t="s">
        <v>228</v>
      </c>
      <c r="B61" s="27">
        <f>VLOOKUP(A61,[1]進出口值表查詢結果!$A$2:$C$58,3,0)</f>
        <v>543</v>
      </c>
      <c r="C61" s="28">
        <f>VLOOKUP(A61,[1]進出口值表查詢結果!$A$2:$C$58,2,0)</f>
        <v>901204</v>
      </c>
      <c r="D61" s="23">
        <f t="shared" si="0"/>
        <v>1659.6758747697975</v>
      </c>
      <c r="E61" s="27">
        <f>VLOOKUP(A61,[2]進出口值表查詢結果!$A$2:$C$80,3,0)</f>
        <v>2168</v>
      </c>
      <c r="F61" s="29">
        <f t="shared" si="5"/>
        <v>3.2063322103282939E-3</v>
      </c>
      <c r="G61" s="27">
        <f>VLOOKUP(A61,[2]進出口值表查詢結果!$A$2:$C$80,2,0)</f>
        <v>4208207</v>
      </c>
      <c r="H61" s="29">
        <f t="shared" si="6"/>
        <v>6.6299283561825637E-3</v>
      </c>
      <c r="I61" s="25">
        <f t="shared" si="1"/>
        <v>1941.0548892988929</v>
      </c>
    </row>
    <row r="62" spans="1:9">
      <c r="A62" s="450" t="s">
        <v>28</v>
      </c>
      <c r="B62" s="27">
        <f>VLOOKUP(A62,[1]進出口值表查詢結果!$A$2:$C$58,3,0)</f>
        <v>175</v>
      </c>
      <c r="C62" s="28">
        <f>VLOOKUP(A62,[1]進出口值表查詢結果!$A$2:$C$58,2,0)</f>
        <v>320808</v>
      </c>
      <c r="D62" s="23">
        <f t="shared" si="0"/>
        <v>1833.1885714285713</v>
      </c>
      <c r="E62" s="27">
        <f>VLOOKUP(A62,[2]進出口值表查詢結果!$A$2:$C$80,3,0)</f>
        <v>2224</v>
      </c>
      <c r="F62" s="29">
        <f t="shared" si="5"/>
        <v>3.2891525995249657E-3</v>
      </c>
      <c r="G62" s="27">
        <f>VLOOKUP(A62,[2]進出口值表查詢結果!$A$2:$C$80,2,0)</f>
        <v>3658284</v>
      </c>
      <c r="H62" s="29">
        <f t="shared" si="6"/>
        <v>5.7635379691562171E-3</v>
      </c>
      <c r="I62" s="25">
        <f t="shared" si="1"/>
        <v>1644.9118705035971</v>
      </c>
    </row>
    <row r="63" spans="1:9">
      <c r="A63" s="294" t="s">
        <v>229</v>
      </c>
      <c r="B63" s="27">
        <v>0</v>
      </c>
      <c r="C63" s="28">
        <v>0</v>
      </c>
      <c r="D63" s="23">
        <f t="shared" si="0"/>
        <v>0</v>
      </c>
      <c r="E63" s="27">
        <f>VLOOKUP(A63,[2]進出口值表查詢結果!$A$2:$C$80,3,0)</f>
        <v>58</v>
      </c>
      <c r="F63" s="29">
        <f t="shared" si="5"/>
        <v>8.5778260239410077E-5</v>
      </c>
      <c r="G63" s="27">
        <f>VLOOKUP(A63,[2]進出口值表查詢結果!$A$2:$C$80,2,0)</f>
        <v>183137</v>
      </c>
      <c r="H63" s="29">
        <f t="shared" si="6"/>
        <v>2.8852791446956063E-4</v>
      </c>
      <c r="I63" s="25">
        <f t="shared" si="1"/>
        <v>3157.5344827586205</v>
      </c>
    </row>
    <row r="64" spans="1:9">
      <c r="A64" s="450" t="s">
        <v>29</v>
      </c>
      <c r="B64" s="27">
        <f>VLOOKUP(A64,[1]進出口值表查詢結果!$A$2:$C$58,3,0)</f>
        <v>223</v>
      </c>
      <c r="C64" s="28">
        <f>VLOOKUP(A64,[1]進出口值表查詢結果!$A$2:$C$58,2,0)</f>
        <v>531586</v>
      </c>
      <c r="D64" s="23">
        <f t="shared" si="0"/>
        <v>2383.7937219730943</v>
      </c>
      <c r="E64" s="27">
        <f>VLOOKUP(A64,[2]進出口值表查詢結果!$A$2:$C$80,3,0)</f>
        <v>909</v>
      </c>
      <c r="F64" s="29">
        <f t="shared" si="5"/>
        <v>1.3443523889245476E-3</v>
      </c>
      <c r="G64" s="27">
        <f>VLOOKUP(A64,[2]進出口值表查詢結果!$A$2:$C$80,2,0)</f>
        <v>1768295</v>
      </c>
      <c r="H64" s="29">
        <f t="shared" si="6"/>
        <v>2.7859060076169846E-3</v>
      </c>
      <c r="I64" s="25">
        <f t="shared" si="1"/>
        <v>1945.3190319031903</v>
      </c>
    </row>
    <row r="65" spans="1:256">
      <c r="A65" s="294" t="s">
        <v>230</v>
      </c>
      <c r="B65" s="27">
        <f>VLOOKUP(A65,[1]進出口值表查詢結果!$A$2:$C$58,3,0)</f>
        <v>16</v>
      </c>
      <c r="C65" s="28">
        <f>VLOOKUP(A65,[1]進出口值表查詢結果!$A$2:$C$58,2,0)</f>
        <v>27678</v>
      </c>
      <c r="D65" s="23">
        <f t="shared" si="0"/>
        <v>1729.875</v>
      </c>
      <c r="E65" s="27">
        <f>VLOOKUP(A65,[2]進出口值表查詢結果!$A$2:$C$80,3,0)</f>
        <v>1294</v>
      </c>
      <c r="F65" s="29">
        <f t="shared" si="5"/>
        <v>1.9137425646516663E-3</v>
      </c>
      <c r="G65" s="27">
        <f>VLOOKUP(A65,[2]進出口值表查詢結果!$A$2:$C$80,2,0)</f>
        <v>996611</v>
      </c>
      <c r="H65" s="29">
        <f t="shared" si="6"/>
        <v>1.5701365282134319E-3</v>
      </c>
      <c r="I65" s="25">
        <f t="shared" si="1"/>
        <v>770.17851622874809</v>
      </c>
    </row>
    <row r="66" spans="1:256">
      <c r="A66" s="30" t="s">
        <v>30</v>
      </c>
      <c r="B66" s="27">
        <f>B67-B7-B12-B41-B47</f>
        <v>3031</v>
      </c>
      <c r="C66" s="27">
        <f>C67-C7-C12-C41-C47</f>
        <v>4412638</v>
      </c>
      <c r="D66" s="23">
        <f t="shared" si="0"/>
        <v>1455.8356977895085</v>
      </c>
      <c r="E66" s="27">
        <f>E67-E47-E41-E12-E7</f>
        <v>14311</v>
      </c>
      <c r="F66" s="29">
        <f>E66/$E$67</f>
        <v>2.1165046246313754E-2</v>
      </c>
      <c r="G66" s="27">
        <f>G67-G47-G41-G12-G7</f>
        <v>18095307</v>
      </c>
      <c r="H66" s="29">
        <f t="shared" si="6"/>
        <v>2.8508718557126313E-2</v>
      </c>
      <c r="I66" s="25">
        <f t="shared" si="1"/>
        <v>1264.433442806233</v>
      </c>
    </row>
    <row r="67" spans="1:256">
      <c r="A67" s="295" t="s">
        <v>401</v>
      </c>
      <c r="B67" s="27">
        <f>VLOOKUP(A67,[1]進出口值表查詢結果!$A$2:$C$58,3,0)</f>
        <v>130700</v>
      </c>
      <c r="C67" s="28">
        <f>VLOOKUP(A67,[1]進出口值表查詢結果!$A$2:$C$58,2,0)</f>
        <v>124913855</v>
      </c>
      <c r="D67" s="23">
        <f t="shared" si="0"/>
        <v>955.72957153787297</v>
      </c>
      <c r="E67" s="27">
        <f>VLOOKUP(A67,[2]進出口值表查詢結果!$A$2:$C$80,3,0)</f>
        <v>676162</v>
      </c>
      <c r="F67" s="24">
        <f>E67/$E$67</f>
        <v>1</v>
      </c>
      <c r="G67" s="27">
        <f>VLOOKUP(A67,[2]進出口值表查詢結果!$A$2:$C$80,2,0)</f>
        <v>634728880</v>
      </c>
      <c r="H67" s="24">
        <f>G67/$G$67</f>
        <v>1</v>
      </c>
      <c r="I67" s="25">
        <f t="shared" si="1"/>
        <v>938.72308707084983</v>
      </c>
    </row>
    <row r="68" spans="1:256">
      <c r="A68" s="38"/>
      <c r="B68" s="39"/>
      <c r="C68" s="39"/>
      <c r="D68" s="40"/>
      <c r="E68" s="39"/>
      <c r="F68" s="41"/>
      <c r="G68" s="39"/>
      <c r="H68" s="41"/>
      <c r="I68" s="40"/>
    </row>
    <row r="69" spans="1:256">
      <c r="A69" s="554" t="s">
        <v>153</v>
      </c>
      <c r="B69" s="555"/>
      <c r="C69" s="555"/>
      <c r="D69" s="555"/>
      <c r="E69" s="555"/>
      <c r="F69" s="555"/>
      <c r="G69" s="555"/>
      <c r="H69" s="555"/>
      <c r="I69" s="556"/>
    </row>
    <row r="70" spans="1:256">
      <c r="A70" s="8" t="s">
        <v>480</v>
      </c>
      <c r="B70" s="8" t="s">
        <v>481</v>
      </c>
      <c r="C70" s="8" t="s">
        <v>485</v>
      </c>
      <c r="D70" s="9" t="s">
        <v>1</v>
      </c>
      <c r="E70" s="10" t="s">
        <v>483</v>
      </c>
      <c r="F70" s="11" t="s">
        <v>2</v>
      </c>
      <c r="G70" s="73" t="s">
        <v>484</v>
      </c>
      <c r="H70" s="45" t="s">
        <v>2</v>
      </c>
      <c r="I70" s="43" t="s">
        <v>1</v>
      </c>
    </row>
    <row r="71" spans="1:256">
      <c r="A71" s="46"/>
      <c r="B71" s="47" t="s">
        <v>3</v>
      </c>
      <c r="C71" s="48" t="s">
        <v>4</v>
      </c>
      <c r="D71" s="535" t="s">
        <v>4</v>
      </c>
      <c r="E71" s="49" t="s">
        <v>3</v>
      </c>
      <c r="F71" s="44"/>
      <c r="G71" s="50" t="s">
        <v>4</v>
      </c>
      <c r="H71" s="51"/>
      <c r="I71" s="43" t="s">
        <v>4</v>
      </c>
    </row>
    <row r="72" spans="1:256">
      <c r="A72" s="32" t="s">
        <v>31</v>
      </c>
      <c r="B72" s="27">
        <v>5530</v>
      </c>
      <c r="C72" s="27">
        <v>2047150</v>
      </c>
      <c r="D72" s="23">
        <f t="shared" ref="D72" si="9">IF(B72,C72/B72,0)</f>
        <v>370.18987341772151</v>
      </c>
      <c r="E72" s="27">
        <v>17090</v>
      </c>
      <c r="F72" s="513">
        <v>1</v>
      </c>
      <c r="G72" s="27">
        <v>6934806</v>
      </c>
      <c r="H72" s="53">
        <v>1</v>
      </c>
      <c r="I72" s="52">
        <f t="shared" ref="I72" si="10">IF(E72,G72/E72,0)</f>
        <v>405.78150965476885</v>
      </c>
    </row>
    <row r="73" spans="1:256">
      <c r="A73" s="38"/>
      <c r="B73" s="39"/>
      <c r="C73" s="39"/>
      <c r="D73" s="40"/>
      <c r="E73" s="39"/>
      <c r="F73" s="41"/>
      <c r="G73" s="39"/>
      <c r="H73" s="41"/>
      <c r="I73" s="40"/>
    </row>
    <row r="74" spans="1:256" ht="14.25" customHeight="1">
      <c r="A74" s="54" t="s">
        <v>32</v>
      </c>
      <c r="B74" s="55"/>
      <c r="C74" s="55"/>
      <c r="D74" s="56"/>
      <c r="E74" s="55"/>
      <c r="F74" s="55"/>
      <c r="G74" s="55"/>
      <c r="H74" s="55"/>
      <c r="I74" s="56"/>
    </row>
    <row r="75" spans="1:256" s="13" customFormat="1">
      <c r="A75" s="5"/>
      <c r="B75" s="5"/>
      <c r="C75" s="39"/>
      <c r="D75" s="6"/>
      <c r="E75" s="5"/>
      <c r="F75" s="5"/>
      <c r="G75" s="5"/>
      <c r="H75" s="5"/>
      <c r="I75" s="6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  <c r="CW75" s="55"/>
      <c r="CX75" s="55"/>
      <c r="CY75" s="55"/>
      <c r="CZ75" s="55"/>
      <c r="DA75" s="55"/>
      <c r="DB75" s="55"/>
      <c r="DC75" s="55"/>
      <c r="DD75" s="55"/>
      <c r="DE75" s="55"/>
      <c r="DF75" s="55"/>
      <c r="DG75" s="55"/>
      <c r="DH75" s="55"/>
      <c r="DI75" s="55"/>
      <c r="DJ75" s="55"/>
      <c r="DK75" s="55"/>
      <c r="DL75" s="55"/>
      <c r="DM75" s="55"/>
      <c r="DN75" s="55"/>
      <c r="DO75" s="55"/>
      <c r="DP75" s="55"/>
      <c r="DQ75" s="55"/>
      <c r="DR75" s="55"/>
      <c r="DS75" s="55"/>
      <c r="DT75" s="55"/>
      <c r="DU75" s="55"/>
      <c r="DV75" s="55"/>
      <c r="DW75" s="55"/>
      <c r="DX75" s="55"/>
      <c r="DY75" s="55"/>
      <c r="DZ75" s="55"/>
      <c r="EA75" s="55"/>
      <c r="EB75" s="55"/>
      <c r="EC75" s="55"/>
      <c r="ED75" s="55"/>
      <c r="EE75" s="55"/>
      <c r="EF75" s="55"/>
      <c r="EG75" s="55"/>
      <c r="EH75" s="55"/>
      <c r="EI75" s="55"/>
      <c r="EJ75" s="55"/>
      <c r="EK75" s="55"/>
      <c r="EL75" s="55"/>
      <c r="EM75" s="55"/>
      <c r="EN75" s="55"/>
      <c r="EO75" s="55"/>
      <c r="EP75" s="55"/>
      <c r="EQ75" s="55"/>
      <c r="ER75" s="55"/>
      <c r="ES75" s="55"/>
      <c r="ET75" s="55"/>
      <c r="EU75" s="55"/>
      <c r="EV75" s="55"/>
      <c r="EW75" s="55"/>
      <c r="EX75" s="55"/>
      <c r="EY75" s="55"/>
      <c r="EZ75" s="55"/>
      <c r="FA75" s="55"/>
      <c r="FB75" s="55"/>
      <c r="FC75" s="55"/>
      <c r="FD75" s="55"/>
      <c r="FE75" s="55"/>
      <c r="FF75" s="55"/>
      <c r="FG75" s="55"/>
      <c r="FH75" s="55"/>
      <c r="FI75" s="55"/>
      <c r="FJ75" s="55"/>
      <c r="FK75" s="55"/>
      <c r="FL75" s="55"/>
      <c r="FM75" s="55"/>
      <c r="FN75" s="55"/>
      <c r="FO75" s="55"/>
      <c r="FP75" s="55"/>
      <c r="FQ75" s="55"/>
      <c r="FR75" s="55"/>
      <c r="FS75" s="55"/>
      <c r="FT75" s="55"/>
      <c r="FU75" s="55"/>
      <c r="FV75" s="55"/>
      <c r="FW75" s="55"/>
      <c r="FX75" s="55"/>
      <c r="FY75" s="55"/>
      <c r="FZ75" s="55"/>
      <c r="GA75" s="55"/>
      <c r="GB75" s="55"/>
      <c r="GC75" s="55"/>
      <c r="GD75" s="55"/>
      <c r="GE75" s="55"/>
      <c r="GF75" s="55"/>
      <c r="GG75" s="55"/>
      <c r="GH75" s="55"/>
      <c r="GI75" s="55"/>
      <c r="GJ75" s="55"/>
      <c r="GK75" s="55"/>
      <c r="GL75" s="55"/>
      <c r="GM75" s="55"/>
      <c r="GN75" s="55"/>
      <c r="GO75" s="55"/>
      <c r="GP75" s="55"/>
      <c r="GQ75" s="55"/>
      <c r="GR75" s="55"/>
      <c r="GS75" s="55"/>
      <c r="GT75" s="55"/>
      <c r="GU75" s="55"/>
      <c r="GV75" s="55"/>
      <c r="GW75" s="55"/>
      <c r="GX75" s="55"/>
      <c r="GY75" s="55"/>
      <c r="GZ75" s="55"/>
      <c r="HA75" s="55"/>
      <c r="HB75" s="55"/>
      <c r="HC75" s="55"/>
      <c r="HD75" s="55"/>
      <c r="HE75" s="55"/>
      <c r="HF75" s="55"/>
      <c r="HG75" s="55"/>
      <c r="HH75" s="55"/>
      <c r="HI75" s="55"/>
      <c r="HJ75" s="55"/>
      <c r="HK75" s="55"/>
      <c r="HL75" s="55"/>
      <c r="HM75" s="55"/>
      <c r="HN75" s="55"/>
      <c r="HO75" s="55"/>
      <c r="HP75" s="55"/>
      <c r="HQ75" s="55"/>
      <c r="HR75" s="55"/>
      <c r="HS75" s="55"/>
      <c r="HT75" s="55"/>
      <c r="HU75" s="55"/>
      <c r="HV75" s="55"/>
      <c r="HW75" s="55"/>
      <c r="HX75" s="55"/>
      <c r="HY75" s="55"/>
      <c r="HZ75" s="55"/>
      <c r="IA75" s="55"/>
      <c r="IB75" s="55"/>
      <c r="IC75" s="55"/>
      <c r="ID75" s="55"/>
      <c r="IE75" s="55"/>
      <c r="IF75" s="55"/>
      <c r="IG75" s="55"/>
      <c r="IH75" s="55"/>
      <c r="II75" s="55"/>
      <c r="IJ75" s="55"/>
      <c r="IK75" s="55"/>
      <c r="IL75" s="55"/>
      <c r="IM75" s="55"/>
      <c r="IN75" s="55"/>
      <c r="IO75" s="55"/>
      <c r="IP75" s="55"/>
      <c r="IQ75" s="55"/>
      <c r="IR75" s="55"/>
      <c r="IS75" s="55"/>
      <c r="IT75" s="55"/>
      <c r="IU75" s="55"/>
      <c r="IV75" s="55"/>
    </row>
    <row r="76" spans="1:256">
      <c r="C76" s="39"/>
    </row>
  </sheetData>
  <mergeCells count="2">
    <mergeCell ref="A3:I3"/>
    <mergeCell ref="A69:I69"/>
  </mergeCells>
  <phoneticPr fontId="3" type="noConversion"/>
  <printOptions horizontalCentered="1"/>
  <pageMargins left="0.31496062992125984" right="0.31496062992125984" top="0.15748031496062992" bottom="0.15748031496062992" header="0.31496062992125984" footer="0.31496062992125984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70"/>
  <sheetViews>
    <sheetView zoomScaleNormal="100" workbookViewId="0">
      <selection activeCell="D18" sqref="D18"/>
    </sheetView>
  </sheetViews>
  <sheetFormatPr defaultRowHeight="16.5"/>
  <cols>
    <col min="1" max="1" width="18.5" style="5" customWidth="1"/>
    <col min="2" max="2" width="12.125" style="5" customWidth="1"/>
    <col min="3" max="3" width="12.125" style="59" customWidth="1"/>
    <col min="4" max="4" width="13.75" style="60" customWidth="1"/>
    <col min="5" max="5" width="13.5" style="522" customWidth="1"/>
    <col min="6" max="6" width="15.125" style="59" customWidth="1"/>
    <col min="7" max="7" width="12.25" style="60" customWidth="1"/>
    <col min="8" max="9" width="14.625" style="5" bestFit="1" customWidth="1"/>
    <col min="10" max="10" width="12.5" style="5" customWidth="1"/>
    <col min="11" max="256" width="8.875" style="5"/>
    <col min="257" max="257" width="18.5" style="5" customWidth="1"/>
    <col min="258" max="259" width="12.125" style="5" customWidth="1"/>
    <col min="260" max="260" width="13.75" style="5" customWidth="1"/>
    <col min="261" max="261" width="13.5" style="5" customWidth="1"/>
    <col min="262" max="262" width="15.125" style="5" customWidth="1"/>
    <col min="263" max="263" width="12.25" style="5" customWidth="1"/>
    <col min="264" max="264" width="11.125" style="5" customWidth="1"/>
    <col min="265" max="265" width="10.25" style="5" customWidth="1"/>
    <col min="266" max="266" width="10.5" style="5" bestFit="1" customWidth="1"/>
    <col min="267" max="512" width="8.875" style="5"/>
    <col min="513" max="513" width="18.5" style="5" customWidth="1"/>
    <col min="514" max="515" width="12.125" style="5" customWidth="1"/>
    <col min="516" max="516" width="13.75" style="5" customWidth="1"/>
    <col min="517" max="517" width="13.5" style="5" customWidth="1"/>
    <col min="518" max="518" width="15.125" style="5" customWidth="1"/>
    <col min="519" max="519" width="12.25" style="5" customWidth="1"/>
    <col min="520" max="520" width="11.125" style="5" customWidth="1"/>
    <col min="521" max="521" width="10.25" style="5" customWidth="1"/>
    <col min="522" max="522" width="10.5" style="5" bestFit="1" customWidth="1"/>
    <col min="523" max="768" width="8.875" style="5"/>
    <col min="769" max="769" width="18.5" style="5" customWidth="1"/>
    <col min="770" max="771" width="12.125" style="5" customWidth="1"/>
    <col min="772" max="772" width="13.75" style="5" customWidth="1"/>
    <col min="773" max="773" width="13.5" style="5" customWidth="1"/>
    <col min="774" max="774" width="15.125" style="5" customWidth="1"/>
    <col min="775" max="775" width="12.25" style="5" customWidth="1"/>
    <col min="776" max="776" width="11.125" style="5" customWidth="1"/>
    <col min="777" max="777" width="10.25" style="5" customWidth="1"/>
    <col min="778" max="778" width="10.5" style="5" bestFit="1" customWidth="1"/>
    <col min="779" max="1024" width="8.875" style="5"/>
    <col min="1025" max="1025" width="18.5" style="5" customWidth="1"/>
    <col min="1026" max="1027" width="12.125" style="5" customWidth="1"/>
    <col min="1028" max="1028" width="13.75" style="5" customWidth="1"/>
    <col min="1029" max="1029" width="13.5" style="5" customWidth="1"/>
    <col min="1030" max="1030" width="15.125" style="5" customWidth="1"/>
    <col min="1031" max="1031" width="12.25" style="5" customWidth="1"/>
    <col min="1032" max="1032" width="11.125" style="5" customWidth="1"/>
    <col min="1033" max="1033" width="10.25" style="5" customWidth="1"/>
    <col min="1034" max="1034" width="10.5" style="5" bestFit="1" customWidth="1"/>
    <col min="1035" max="1280" width="8.875" style="5"/>
    <col min="1281" max="1281" width="18.5" style="5" customWidth="1"/>
    <col min="1282" max="1283" width="12.125" style="5" customWidth="1"/>
    <col min="1284" max="1284" width="13.75" style="5" customWidth="1"/>
    <col min="1285" max="1285" width="13.5" style="5" customWidth="1"/>
    <col min="1286" max="1286" width="15.125" style="5" customWidth="1"/>
    <col min="1287" max="1287" width="12.25" style="5" customWidth="1"/>
    <col min="1288" max="1288" width="11.125" style="5" customWidth="1"/>
    <col min="1289" max="1289" width="10.25" style="5" customWidth="1"/>
    <col min="1290" max="1290" width="10.5" style="5" bestFit="1" customWidth="1"/>
    <col min="1291" max="1536" width="8.875" style="5"/>
    <col min="1537" max="1537" width="18.5" style="5" customWidth="1"/>
    <col min="1538" max="1539" width="12.125" style="5" customWidth="1"/>
    <col min="1540" max="1540" width="13.75" style="5" customWidth="1"/>
    <col min="1541" max="1541" width="13.5" style="5" customWidth="1"/>
    <col min="1542" max="1542" width="15.125" style="5" customWidth="1"/>
    <col min="1543" max="1543" width="12.25" style="5" customWidth="1"/>
    <col min="1544" max="1544" width="11.125" style="5" customWidth="1"/>
    <col min="1545" max="1545" width="10.25" style="5" customWidth="1"/>
    <col min="1546" max="1546" width="10.5" style="5" bestFit="1" customWidth="1"/>
    <col min="1547" max="1792" width="8.875" style="5"/>
    <col min="1793" max="1793" width="18.5" style="5" customWidth="1"/>
    <col min="1794" max="1795" width="12.125" style="5" customWidth="1"/>
    <col min="1796" max="1796" width="13.75" style="5" customWidth="1"/>
    <col min="1797" max="1797" width="13.5" style="5" customWidth="1"/>
    <col min="1798" max="1798" width="15.125" style="5" customWidth="1"/>
    <col min="1799" max="1799" width="12.25" style="5" customWidth="1"/>
    <col min="1800" max="1800" width="11.125" style="5" customWidth="1"/>
    <col min="1801" max="1801" width="10.25" style="5" customWidth="1"/>
    <col min="1802" max="1802" width="10.5" style="5" bestFit="1" customWidth="1"/>
    <col min="1803" max="2048" width="8.875" style="5"/>
    <col min="2049" max="2049" width="18.5" style="5" customWidth="1"/>
    <col min="2050" max="2051" width="12.125" style="5" customWidth="1"/>
    <col min="2052" max="2052" width="13.75" style="5" customWidth="1"/>
    <col min="2053" max="2053" width="13.5" style="5" customWidth="1"/>
    <col min="2054" max="2054" width="15.125" style="5" customWidth="1"/>
    <col min="2055" max="2055" width="12.25" style="5" customWidth="1"/>
    <col min="2056" max="2056" width="11.125" style="5" customWidth="1"/>
    <col min="2057" max="2057" width="10.25" style="5" customWidth="1"/>
    <col min="2058" max="2058" width="10.5" style="5" bestFit="1" customWidth="1"/>
    <col min="2059" max="2304" width="8.875" style="5"/>
    <col min="2305" max="2305" width="18.5" style="5" customWidth="1"/>
    <col min="2306" max="2307" width="12.125" style="5" customWidth="1"/>
    <col min="2308" max="2308" width="13.75" style="5" customWidth="1"/>
    <col min="2309" max="2309" width="13.5" style="5" customWidth="1"/>
    <col min="2310" max="2310" width="15.125" style="5" customWidth="1"/>
    <col min="2311" max="2311" width="12.25" style="5" customWidth="1"/>
    <col min="2312" max="2312" width="11.125" style="5" customWidth="1"/>
    <col min="2313" max="2313" width="10.25" style="5" customWidth="1"/>
    <col min="2314" max="2314" width="10.5" style="5" bestFit="1" customWidth="1"/>
    <col min="2315" max="2560" width="8.875" style="5"/>
    <col min="2561" max="2561" width="18.5" style="5" customWidth="1"/>
    <col min="2562" max="2563" width="12.125" style="5" customWidth="1"/>
    <col min="2564" max="2564" width="13.75" style="5" customWidth="1"/>
    <col min="2565" max="2565" width="13.5" style="5" customWidth="1"/>
    <col min="2566" max="2566" width="15.125" style="5" customWidth="1"/>
    <col min="2567" max="2567" width="12.25" style="5" customWidth="1"/>
    <col min="2568" max="2568" width="11.125" style="5" customWidth="1"/>
    <col min="2569" max="2569" width="10.25" style="5" customWidth="1"/>
    <col min="2570" max="2570" width="10.5" style="5" bestFit="1" customWidth="1"/>
    <col min="2571" max="2816" width="8.875" style="5"/>
    <col min="2817" max="2817" width="18.5" style="5" customWidth="1"/>
    <col min="2818" max="2819" width="12.125" style="5" customWidth="1"/>
    <col min="2820" max="2820" width="13.75" style="5" customWidth="1"/>
    <col min="2821" max="2821" width="13.5" style="5" customWidth="1"/>
    <col min="2822" max="2822" width="15.125" style="5" customWidth="1"/>
    <col min="2823" max="2823" width="12.25" style="5" customWidth="1"/>
    <col min="2824" max="2824" width="11.125" style="5" customWidth="1"/>
    <col min="2825" max="2825" width="10.25" style="5" customWidth="1"/>
    <col min="2826" max="2826" width="10.5" style="5" bestFit="1" customWidth="1"/>
    <col min="2827" max="3072" width="8.875" style="5"/>
    <col min="3073" max="3073" width="18.5" style="5" customWidth="1"/>
    <col min="3074" max="3075" width="12.125" style="5" customWidth="1"/>
    <col min="3076" max="3076" width="13.75" style="5" customWidth="1"/>
    <col min="3077" max="3077" width="13.5" style="5" customWidth="1"/>
    <col min="3078" max="3078" width="15.125" style="5" customWidth="1"/>
    <col min="3079" max="3079" width="12.25" style="5" customWidth="1"/>
    <col min="3080" max="3080" width="11.125" style="5" customWidth="1"/>
    <col min="3081" max="3081" width="10.25" style="5" customWidth="1"/>
    <col min="3082" max="3082" width="10.5" style="5" bestFit="1" customWidth="1"/>
    <col min="3083" max="3328" width="8.875" style="5"/>
    <col min="3329" max="3329" width="18.5" style="5" customWidth="1"/>
    <col min="3330" max="3331" width="12.125" style="5" customWidth="1"/>
    <col min="3332" max="3332" width="13.75" style="5" customWidth="1"/>
    <col min="3333" max="3333" width="13.5" style="5" customWidth="1"/>
    <col min="3334" max="3334" width="15.125" style="5" customWidth="1"/>
    <col min="3335" max="3335" width="12.25" style="5" customWidth="1"/>
    <col min="3336" max="3336" width="11.125" style="5" customWidth="1"/>
    <col min="3337" max="3337" width="10.25" style="5" customWidth="1"/>
    <col min="3338" max="3338" width="10.5" style="5" bestFit="1" customWidth="1"/>
    <col min="3339" max="3584" width="8.875" style="5"/>
    <col min="3585" max="3585" width="18.5" style="5" customWidth="1"/>
    <col min="3586" max="3587" width="12.125" style="5" customWidth="1"/>
    <col min="3588" max="3588" width="13.75" style="5" customWidth="1"/>
    <col min="3589" max="3589" width="13.5" style="5" customWidth="1"/>
    <col min="3590" max="3590" width="15.125" style="5" customWidth="1"/>
    <col min="3591" max="3591" width="12.25" style="5" customWidth="1"/>
    <col min="3592" max="3592" width="11.125" style="5" customWidth="1"/>
    <col min="3593" max="3593" width="10.25" style="5" customWidth="1"/>
    <col min="3594" max="3594" width="10.5" style="5" bestFit="1" customWidth="1"/>
    <col min="3595" max="3840" width="8.875" style="5"/>
    <col min="3841" max="3841" width="18.5" style="5" customWidth="1"/>
    <col min="3842" max="3843" width="12.125" style="5" customWidth="1"/>
    <col min="3844" max="3844" width="13.75" style="5" customWidth="1"/>
    <col min="3845" max="3845" width="13.5" style="5" customWidth="1"/>
    <col min="3846" max="3846" width="15.125" style="5" customWidth="1"/>
    <col min="3847" max="3847" width="12.25" style="5" customWidth="1"/>
    <col min="3848" max="3848" width="11.125" style="5" customWidth="1"/>
    <col min="3849" max="3849" width="10.25" style="5" customWidth="1"/>
    <col min="3850" max="3850" width="10.5" style="5" bestFit="1" customWidth="1"/>
    <col min="3851" max="4096" width="8.875" style="5"/>
    <col min="4097" max="4097" width="18.5" style="5" customWidth="1"/>
    <col min="4098" max="4099" width="12.125" style="5" customWidth="1"/>
    <col min="4100" max="4100" width="13.75" style="5" customWidth="1"/>
    <col min="4101" max="4101" width="13.5" style="5" customWidth="1"/>
    <col min="4102" max="4102" width="15.125" style="5" customWidth="1"/>
    <col min="4103" max="4103" width="12.25" style="5" customWidth="1"/>
    <col min="4104" max="4104" width="11.125" style="5" customWidth="1"/>
    <col min="4105" max="4105" width="10.25" style="5" customWidth="1"/>
    <col min="4106" max="4106" width="10.5" style="5" bestFit="1" customWidth="1"/>
    <col min="4107" max="4352" width="8.875" style="5"/>
    <col min="4353" max="4353" width="18.5" style="5" customWidth="1"/>
    <col min="4354" max="4355" width="12.125" style="5" customWidth="1"/>
    <col min="4356" max="4356" width="13.75" style="5" customWidth="1"/>
    <col min="4357" max="4357" width="13.5" style="5" customWidth="1"/>
    <col min="4358" max="4358" width="15.125" style="5" customWidth="1"/>
    <col min="4359" max="4359" width="12.25" style="5" customWidth="1"/>
    <col min="4360" max="4360" width="11.125" style="5" customWidth="1"/>
    <col min="4361" max="4361" width="10.25" style="5" customWidth="1"/>
    <col min="4362" max="4362" width="10.5" style="5" bestFit="1" customWidth="1"/>
    <col min="4363" max="4608" width="8.875" style="5"/>
    <col min="4609" max="4609" width="18.5" style="5" customWidth="1"/>
    <col min="4610" max="4611" width="12.125" style="5" customWidth="1"/>
    <col min="4612" max="4612" width="13.75" style="5" customWidth="1"/>
    <col min="4613" max="4613" width="13.5" style="5" customWidth="1"/>
    <col min="4614" max="4614" width="15.125" style="5" customWidth="1"/>
    <col min="4615" max="4615" width="12.25" style="5" customWidth="1"/>
    <col min="4616" max="4616" width="11.125" style="5" customWidth="1"/>
    <col min="4617" max="4617" width="10.25" style="5" customWidth="1"/>
    <col min="4618" max="4618" width="10.5" style="5" bestFit="1" customWidth="1"/>
    <col min="4619" max="4864" width="8.875" style="5"/>
    <col min="4865" max="4865" width="18.5" style="5" customWidth="1"/>
    <col min="4866" max="4867" width="12.125" style="5" customWidth="1"/>
    <col min="4868" max="4868" width="13.75" style="5" customWidth="1"/>
    <col min="4869" max="4869" width="13.5" style="5" customWidth="1"/>
    <col min="4870" max="4870" width="15.125" style="5" customWidth="1"/>
    <col min="4871" max="4871" width="12.25" style="5" customWidth="1"/>
    <col min="4872" max="4872" width="11.125" style="5" customWidth="1"/>
    <col min="4873" max="4873" width="10.25" style="5" customWidth="1"/>
    <col min="4874" max="4874" width="10.5" style="5" bestFit="1" customWidth="1"/>
    <col min="4875" max="5120" width="8.875" style="5"/>
    <col min="5121" max="5121" width="18.5" style="5" customWidth="1"/>
    <col min="5122" max="5123" width="12.125" style="5" customWidth="1"/>
    <col min="5124" max="5124" width="13.75" style="5" customWidth="1"/>
    <col min="5125" max="5125" width="13.5" style="5" customWidth="1"/>
    <col min="5126" max="5126" width="15.125" style="5" customWidth="1"/>
    <col min="5127" max="5127" width="12.25" style="5" customWidth="1"/>
    <col min="5128" max="5128" width="11.125" style="5" customWidth="1"/>
    <col min="5129" max="5129" width="10.25" style="5" customWidth="1"/>
    <col min="5130" max="5130" width="10.5" style="5" bestFit="1" customWidth="1"/>
    <col min="5131" max="5376" width="8.875" style="5"/>
    <col min="5377" max="5377" width="18.5" style="5" customWidth="1"/>
    <col min="5378" max="5379" width="12.125" style="5" customWidth="1"/>
    <col min="5380" max="5380" width="13.75" style="5" customWidth="1"/>
    <col min="5381" max="5381" width="13.5" style="5" customWidth="1"/>
    <col min="5382" max="5382" width="15.125" style="5" customWidth="1"/>
    <col min="5383" max="5383" width="12.25" style="5" customWidth="1"/>
    <col min="5384" max="5384" width="11.125" style="5" customWidth="1"/>
    <col min="5385" max="5385" width="10.25" style="5" customWidth="1"/>
    <col min="5386" max="5386" width="10.5" style="5" bestFit="1" customWidth="1"/>
    <col min="5387" max="5632" width="8.875" style="5"/>
    <col min="5633" max="5633" width="18.5" style="5" customWidth="1"/>
    <col min="5634" max="5635" width="12.125" style="5" customWidth="1"/>
    <col min="5636" max="5636" width="13.75" style="5" customWidth="1"/>
    <col min="5637" max="5637" width="13.5" style="5" customWidth="1"/>
    <col min="5638" max="5638" width="15.125" style="5" customWidth="1"/>
    <col min="5639" max="5639" width="12.25" style="5" customWidth="1"/>
    <col min="5640" max="5640" width="11.125" style="5" customWidth="1"/>
    <col min="5641" max="5641" width="10.25" style="5" customWidth="1"/>
    <col min="5642" max="5642" width="10.5" style="5" bestFit="1" customWidth="1"/>
    <col min="5643" max="5888" width="8.875" style="5"/>
    <col min="5889" max="5889" width="18.5" style="5" customWidth="1"/>
    <col min="5890" max="5891" width="12.125" style="5" customWidth="1"/>
    <col min="5892" max="5892" width="13.75" style="5" customWidth="1"/>
    <col min="5893" max="5893" width="13.5" style="5" customWidth="1"/>
    <col min="5894" max="5894" width="15.125" style="5" customWidth="1"/>
    <col min="5895" max="5895" width="12.25" style="5" customWidth="1"/>
    <col min="5896" max="5896" width="11.125" style="5" customWidth="1"/>
    <col min="5897" max="5897" width="10.25" style="5" customWidth="1"/>
    <col min="5898" max="5898" width="10.5" style="5" bestFit="1" customWidth="1"/>
    <col min="5899" max="6144" width="8.875" style="5"/>
    <col min="6145" max="6145" width="18.5" style="5" customWidth="1"/>
    <col min="6146" max="6147" width="12.125" style="5" customWidth="1"/>
    <col min="6148" max="6148" width="13.75" style="5" customWidth="1"/>
    <col min="6149" max="6149" width="13.5" style="5" customWidth="1"/>
    <col min="6150" max="6150" width="15.125" style="5" customWidth="1"/>
    <col min="6151" max="6151" width="12.25" style="5" customWidth="1"/>
    <col min="6152" max="6152" width="11.125" style="5" customWidth="1"/>
    <col min="6153" max="6153" width="10.25" style="5" customWidth="1"/>
    <col min="6154" max="6154" width="10.5" style="5" bestFit="1" customWidth="1"/>
    <col min="6155" max="6400" width="8.875" style="5"/>
    <col min="6401" max="6401" width="18.5" style="5" customWidth="1"/>
    <col min="6402" max="6403" width="12.125" style="5" customWidth="1"/>
    <col min="6404" max="6404" width="13.75" style="5" customWidth="1"/>
    <col min="6405" max="6405" width="13.5" style="5" customWidth="1"/>
    <col min="6406" max="6406" width="15.125" style="5" customWidth="1"/>
    <col min="6407" max="6407" width="12.25" style="5" customWidth="1"/>
    <col min="6408" max="6408" width="11.125" style="5" customWidth="1"/>
    <col min="6409" max="6409" width="10.25" style="5" customWidth="1"/>
    <col min="6410" max="6410" width="10.5" style="5" bestFit="1" customWidth="1"/>
    <col min="6411" max="6656" width="8.875" style="5"/>
    <col min="6657" max="6657" width="18.5" style="5" customWidth="1"/>
    <col min="6658" max="6659" width="12.125" style="5" customWidth="1"/>
    <col min="6660" max="6660" width="13.75" style="5" customWidth="1"/>
    <col min="6661" max="6661" width="13.5" style="5" customWidth="1"/>
    <col min="6662" max="6662" width="15.125" style="5" customWidth="1"/>
    <col min="6663" max="6663" width="12.25" style="5" customWidth="1"/>
    <col min="6664" max="6664" width="11.125" style="5" customWidth="1"/>
    <col min="6665" max="6665" width="10.25" style="5" customWidth="1"/>
    <col min="6666" max="6666" width="10.5" style="5" bestFit="1" customWidth="1"/>
    <col min="6667" max="6912" width="8.875" style="5"/>
    <col min="6913" max="6913" width="18.5" style="5" customWidth="1"/>
    <col min="6914" max="6915" width="12.125" style="5" customWidth="1"/>
    <col min="6916" max="6916" width="13.75" style="5" customWidth="1"/>
    <col min="6917" max="6917" width="13.5" style="5" customWidth="1"/>
    <col min="6918" max="6918" width="15.125" style="5" customWidth="1"/>
    <col min="6919" max="6919" width="12.25" style="5" customWidth="1"/>
    <col min="6920" max="6920" width="11.125" style="5" customWidth="1"/>
    <col min="6921" max="6921" width="10.25" style="5" customWidth="1"/>
    <col min="6922" max="6922" width="10.5" style="5" bestFit="1" customWidth="1"/>
    <col min="6923" max="7168" width="8.875" style="5"/>
    <col min="7169" max="7169" width="18.5" style="5" customWidth="1"/>
    <col min="7170" max="7171" width="12.125" style="5" customWidth="1"/>
    <col min="7172" max="7172" width="13.75" style="5" customWidth="1"/>
    <col min="7173" max="7173" width="13.5" style="5" customWidth="1"/>
    <col min="7174" max="7174" width="15.125" style="5" customWidth="1"/>
    <col min="7175" max="7175" width="12.25" style="5" customWidth="1"/>
    <col min="7176" max="7176" width="11.125" style="5" customWidth="1"/>
    <col min="7177" max="7177" width="10.25" style="5" customWidth="1"/>
    <col min="7178" max="7178" width="10.5" style="5" bestFit="1" customWidth="1"/>
    <col min="7179" max="7424" width="8.875" style="5"/>
    <col min="7425" max="7425" width="18.5" style="5" customWidth="1"/>
    <col min="7426" max="7427" width="12.125" style="5" customWidth="1"/>
    <col min="7428" max="7428" width="13.75" style="5" customWidth="1"/>
    <col min="7429" max="7429" width="13.5" style="5" customWidth="1"/>
    <col min="7430" max="7430" width="15.125" style="5" customWidth="1"/>
    <col min="7431" max="7431" width="12.25" style="5" customWidth="1"/>
    <col min="7432" max="7432" width="11.125" style="5" customWidth="1"/>
    <col min="7433" max="7433" width="10.25" style="5" customWidth="1"/>
    <col min="7434" max="7434" width="10.5" style="5" bestFit="1" customWidth="1"/>
    <col min="7435" max="7680" width="8.875" style="5"/>
    <col min="7681" max="7681" width="18.5" style="5" customWidth="1"/>
    <col min="7682" max="7683" width="12.125" style="5" customWidth="1"/>
    <col min="7684" max="7684" width="13.75" style="5" customWidth="1"/>
    <col min="7685" max="7685" width="13.5" style="5" customWidth="1"/>
    <col min="7686" max="7686" width="15.125" style="5" customWidth="1"/>
    <col min="7687" max="7687" width="12.25" style="5" customWidth="1"/>
    <col min="7688" max="7688" width="11.125" style="5" customWidth="1"/>
    <col min="7689" max="7689" width="10.25" style="5" customWidth="1"/>
    <col min="7690" max="7690" width="10.5" style="5" bestFit="1" customWidth="1"/>
    <col min="7691" max="7936" width="8.875" style="5"/>
    <col min="7937" max="7937" width="18.5" style="5" customWidth="1"/>
    <col min="7938" max="7939" width="12.125" style="5" customWidth="1"/>
    <col min="7940" max="7940" width="13.75" style="5" customWidth="1"/>
    <col min="7941" max="7941" width="13.5" style="5" customWidth="1"/>
    <col min="7942" max="7942" width="15.125" style="5" customWidth="1"/>
    <col min="7943" max="7943" width="12.25" style="5" customWidth="1"/>
    <col min="7944" max="7944" width="11.125" style="5" customWidth="1"/>
    <col min="7945" max="7945" width="10.25" style="5" customWidth="1"/>
    <col min="7946" max="7946" width="10.5" style="5" bestFit="1" customWidth="1"/>
    <col min="7947" max="8192" width="8.875" style="5"/>
    <col min="8193" max="8193" width="18.5" style="5" customWidth="1"/>
    <col min="8194" max="8195" width="12.125" style="5" customWidth="1"/>
    <col min="8196" max="8196" width="13.75" style="5" customWidth="1"/>
    <col min="8197" max="8197" width="13.5" style="5" customWidth="1"/>
    <col min="8198" max="8198" width="15.125" style="5" customWidth="1"/>
    <col min="8199" max="8199" width="12.25" style="5" customWidth="1"/>
    <col min="8200" max="8200" width="11.125" style="5" customWidth="1"/>
    <col min="8201" max="8201" width="10.25" style="5" customWidth="1"/>
    <col min="8202" max="8202" width="10.5" style="5" bestFit="1" customWidth="1"/>
    <col min="8203" max="8448" width="8.875" style="5"/>
    <col min="8449" max="8449" width="18.5" style="5" customWidth="1"/>
    <col min="8450" max="8451" width="12.125" style="5" customWidth="1"/>
    <col min="8452" max="8452" width="13.75" style="5" customWidth="1"/>
    <col min="8453" max="8453" width="13.5" style="5" customWidth="1"/>
    <col min="8454" max="8454" width="15.125" style="5" customWidth="1"/>
    <col min="8455" max="8455" width="12.25" style="5" customWidth="1"/>
    <col min="8456" max="8456" width="11.125" style="5" customWidth="1"/>
    <col min="8457" max="8457" width="10.25" style="5" customWidth="1"/>
    <col min="8458" max="8458" width="10.5" style="5" bestFit="1" customWidth="1"/>
    <col min="8459" max="8704" width="8.875" style="5"/>
    <col min="8705" max="8705" width="18.5" style="5" customWidth="1"/>
    <col min="8706" max="8707" width="12.125" style="5" customWidth="1"/>
    <col min="8708" max="8708" width="13.75" style="5" customWidth="1"/>
    <col min="8709" max="8709" width="13.5" style="5" customWidth="1"/>
    <col min="8710" max="8710" width="15.125" style="5" customWidth="1"/>
    <col min="8711" max="8711" width="12.25" style="5" customWidth="1"/>
    <col min="8712" max="8712" width="11.125" style="5" customWidth="1"/>
    <col min="8713" max="8713" width="10.25" style="5" customWidth="1"/>
    <col min="8714" max="8714" width="10.5" style="5" bestFit="1" customWidth="1"/>
    <col min="8715" max="8960" width="8.875" style="5"/>
    <col min="8961" max="8961" width="18.5" style="5" customWidth="1"/>
    <col min="8962" max="8963" width="12.125" style="5" customWidth="1"/>
    <col min="8964" max="8964" width="13.75" style="5" customWidth="1"/>
    <col min="8965" max="8965" width="13.5" style="5" customWidth="1"/>
    <col min="8966" max="8966" width="15.125" style="5" customWidth="1"/>
    <col min="8967" max="8967" width="12.25" style="5" customWidth="1"/>
    <col min="8968" max="8968" width="11.125" style="5" customWidth="1"/>
    <col min="8969" max="8969" width="10.25" style="5" customWidth="1"/>
    <col min="8970" max="8970" width="10.5" style="5" bestFit="1" customWidth="1"/>
    <col min="8971" max="9216" width="8.875" style="5"/>
    <col min="9217" max="9217" width="18.5" style="5" customWidth="1"/>
    <col min="9218" max="9219" width="12.125" style="5" customWidth="1"/>
    <col min="9220" max="9220" width="13.75" style="5" customWidth="1"/>
    <col min="9221" max="9221" width="13.5" style="5" customWidth="1"/>
    <col min="9222" max="9222" width="15.125" style="5" customWidth="1"/>
    <col min="9223" max="9223" width="12.25" style="5" customWidth="1"/>
    <col min="9224" max="9224" width="11.125" style="5" customWidth="1"/>
    <col min="9225" max="9225" width="10.25" style="5" customWidth="1"/>
    <col min="9226" max="9226" width="10.5" style="5" bestFit="1" customWidth="1"/>
    <col min="9227" max="9472" width="8.875" style="5"/>
    <col min="9473" max="9473" width="18.5" style="5" customWidth="1"/>
    <col min="9474" max="9475" width="12.125" style="5" customWidth="1"/>
    <col min="9476" max="9476" width="13.75" style="5" customWidth="1"/>
    <col min="9477" max="9477" width="13.5" style="5" customWidth="1"/>
    <col min="9478" max="9478" width="15.125" style="5" customWidth="1"/>
    <col min="9479" max="9479" width="12.25" style="5" customWidth="1"/>
    <col min="9480" max="9480" width="11.125" style="5" customWidth="1"/>
    <col min="9481" max="9481" width="10.25" style="5" customWidth="1"/>
    <col min="9482" max="9482" width="10.5" style="5" bestFit="1" customWidth="1"/>
    <col min="9483" max="9728" width="8.875" style="5"/>
    <col min="9729" max="9729" width="18.5" style="5" customWidth="1"/>
    <col min="9730" max="9731" width="12.125" style="5" customWidth="1"/>
    <col min="9732" max="9732" width="13.75" style="5" customWidth="1"/>
    <col min="9733" max="9733" width="13.5" style="5" customWidth="1"/>
    <col min="9734" max="9734" width="15.125" style="5" customWidth="1"/>
    <col min="9735" max="9735" width="12.25" style="5" customWidth="1"/>
    <col min="9736" max="9736" width="11.125" style="5" customWidth="1"/>
    <col min="9737" max="9737" width="10.25" style="5" customWidth="1"/>
    <col min="9738" max="9738" width="10.5" style="5" bestFit="1" customWidth="1"/>
    <col min="9739" max="9984" width="8.875" style="5"/>
    <col min="9985" max="9985" width="18.5" style="5" customWidth="1"/>
    <col min="9986" max="9987" width="12.125" style="5" customWidth="1"/>
    <col min="9988" max="9988" width="13.75" style="5" customWidth="1"/>
    <col min="9989" max="9989" width="13.5" style="5" customWidth="1"/>
    <col min="9990" max="9990" width="15.125" style="5" customWidth="1"/>
    <col min="9991" max="9991" width="12.25" style="5" customWidth="1"/>
    <col min="9992" max="9992" width="11.125" style="5" customWidth="1"/>
    <col min="9993" max="9993" width="10.25" style="5" customWidth="1"/>
    <col min="9994" max="9994" width="10.5" style="5" bestFit="1" customWidth="1"/>
    <col min="9995" max="10240" width="8.875" style="5"/>
    <col min="10241" max="10241" width="18.5" style="5" customWidth="1"/>
    <col min="10242" max="10243" width="12.125" style="5" customWidth="1"/>
    <col min="10244" max="10244" width="13.75" style="5" customWidth="1"/>
    <col min="10245" max="10245" width="13.5" style="5" customWidth="1"/>
    <col min="10246" max="10246" width="15.125" style="5" customWidth="1"/>
    <col min="10247" max="10247" width="12.25" style="5" customWidth="1"/>
    <col min="10248" max="10248" width="11.125" style="5" customWidth="1"/>
    <col min="10249" max="10249" width="10.25" style="5" customWidth="1"/>
    <col min="10250" max="10250" width="10.5" style="5" bestFit="1" customWidth="1"/>
    <col min="10251" max="10496" width="8.875" style="5"/>
    <col min="10497" max="10497" width="18.5" style="5" customWidth="1"/>
    <col min="10498" max="10499" width="12.125" style="5" customWidth="1"/>
    <col min="10500" max="10500" width="13.75" style="5" customWidth="1"/>
    <col min="10501" max="10501" width="13.5" style="5" customWidth="1"/>
    <col min="10502" max="10502" width="15.125" style="5" customWidth="1"/>
    <col min="10503" max="10503" width="12.25" style="5" customWidth="1"/>
    <col min="10504" max="10504" width="11.125" style="5" customWidth="1"/>
    <col min="10505" max="10505" width="10.25" style="5" customWidth="1"/>
    <col min="10506" max="10506" width="10.5" style="5" bestFit="1" customWidth="1"/>
    <col min="10507" max="10752" width="8.875" style="5"/>
    <col min="10753" max="10753" width="18.5" style="5" customWidth="1"/>
    <col min="10754" max="10755" width="12.125" style="5" customWidth="1"/>
    <col min="10756" max="10756" width="13.75" style="5" customWidth="1"/>
    <col min="10757" max="10757" width="13.5" style="5" customWidth="1"/>
    <col min="10758" max="10758" width="15.125" style="5" customWidth="1"/>
    <col min="10759" max="10759" width="12.25" style="5" customWidth="1"/>
    <col min="10760" max="10760" width="11.125" style="5" customWidth="1"/>
    <col min="10761" max="10761" width="10.25" style="5" customWidth="1"/>
    <col min="10762" max="10762" width="10.5" style="5" bestFit="1" customWidth="1"/>
    <col min="10763" max="11008" width="8.875" style="5"/>
    <col min="11009" max="11009" width="18.5" style="5" customWidth="1"/>
    <col min="11010" max="11011" width="12.125" style="5" customWidth="1"/>
    <col min="11012" max="11012" width="13.75" style="5" customWidth="1"/>
    <col min="11013" max="11013" width="13.5" style="5" customWidth="1"/>
    <col min="11014" max="11014" width="15.125" style="5" customWidth="1"/>
    <col min="11015" max="11015" width="12.25" style="5" customWidth="1"/>
    <col min="11016" max="11016" width="11.125" style="5" customWidth="1"/>
    <col min="11017" max="11017" width="10.25" style="5" customWidth="1"/>
    <col min="11018" max="11018" width="10.5" style="5" bestFit="1" customWidth="1"/>
    <col min="11019" max="11264" width="8.875" style="5"/>
    <col min="11265" max="11265" width="18.5" style="5" customWidth="1"/>
    <col min="11266" max="11267" width="12.125" style="5" customWidth="1"/>
    <col min="11268" max="11268" width="13.75" style="5" customWidth="1"/>
    <col min="11269" max="11269" width="13.5" style="5" customWidth="1"/>
    <col min="11270" max="11270" width="15.125" style="5" customWidth="1"/>
    <col min="11271" max="11271" width="12.25" style="5" customWidth="1"/>
    <col min="11272" max="11272" width="11.125" style="5" customWidth="1"/>
    <col min="11273" max="11273" width="10.25" style="5" customWidth="1"/>
    <col min="11274" max="11274" width="10.5" style="5" bestFit="1" customWidth="1"/>
    <col min="11275" max="11520" width="8.875" style="5"/>
    <col min="11521" max="11521" width="18.5" style="5" customWidth="1"/>
    <col min="11522" max="11523" width="12.125" style="5" customWidth="1"/>
    <col min="11524" max="11524" width="13.75" style="5" customWidth="1"/>
    <col min="11525" max="11525" width="13.5" style="5" customWidth="1"/>
    <col min="11526" max="11526" width="15.125" style="5" customWidth="1"/>
    <col min="11527" max="11527" width="12.25" style="5" customWidth="1"/>
    <col min="11528" max="11528" width="11.125" style="5" customWidth="1"/>
    <col min="11529" max="11529" width="10.25" style="5" customWidth="1"/>
    <col min="11530" max="11530" width="10.5" style="5" bestFit="1" customWidth="1"/>
    <col min="11531" max="11776" width="8.875" style="5"/>
    <col min="11777" max="11777" width="18.5" style="5" customWidth="1"/>
    <col min="11778" max="11779" width="12.125" style="5" customWidth="1"/>
    <col min="11780" max="11780" width="13.75" style="5" customWidth="1"/>
    <col min="11781" max="11781" width="13.5" style="5" customWidth="1"/>
    <col min="11782" max="11782" width="15.125" style="5" customWidth="1"/>
    <col min="11783" max="11783" width="12.25" style="5" customWidth="1"/>
    <col min="11784" max="11784" width="11.125" style="5" customWidth="1"/>
    <col min="11785" max="11785" width="10.25" style="5" customWidth="1"/>
    <col min="11786" max="11786" width="10.5" style="5" bestFit="1" customWidth="1"/>
    <col min="11787" max="12032" width="8.875" style="5"/>
    <col min="12033" max="12033" width="18.5" style="5" customWidth="1"/>
    <col min="12034" max="12035" width="12.125" style="5" customWidth="1"/>
    <col min="12036" max="12036" width="13.75" style="5" customWidth="1"/>
    <col min="12037" max="12037" width="13.5" style="5" customWidth="1"/>
    <col min="12038" max="12038" width="15.125" style="5" customWidth="1"/>
    <col min="12039" max="12039" width="12.25" style="5" customWidth="1"/>
    <col min="12040" max="12040" width="11.125" style="5" customWidth="1"/>
    <col min="12041" max="12041" width="10.25" style="5" customWidth="1"/>
    <col min="12042" max="12042" width="10.5" style="5" bestFit="1" customWidth="1"/>
    <col min="12043" max="12288" width="8.875" style="5"/>
    <col min="12289" max="12289" width="18.5" style="5" customWidth="1"/>
    <col min="12290" max="12291" width="12.125" style="5" customWidth="1"/>
    <col min="12292" max="12292" width="13.75" style="5" customWidth="1"/>
    <col min="12293" max="12293" width="13.5" style="5" customWidth="1"/>
    <col min="12294" max="12294" width="15.125" style="5" customWidth="1"/>
    <col min="12295" max="12295" width="12.25" style="5" customWidth="1"/>
    <col min="12296" max="12296" width="11.125" style="5" customWidth="1"/>
    <col min="12297" max="12297" width="10.25" style="5" customWidth="1"/>
    <col min="12298" max="12298" width="10.5" style="5" bestFit="1" customWidth="1"/>
    <col min="12299" max="12544" width="8.875" style="5"/>
    <col min="12545" max="12545" width="18.5" style="5" customWidth="1"/>
    <col min="12546" max="12547" width="12.125" style="5" customWidth="1"/>
    <col min="12548" max="12548" width="13.75" style="5" customWidth="1"/>
    <col min="12549" max="12549" width="13.5" style="5" customWidth="1"/>
    <col min="12550" max="12550" width="15.125" style="5" customWidth="1"/>
    <col min="12551" max="12551" width="12.25" style="5" customWidth="1"/>
    <col min="12552" max="12552" width="11.125" style="5" customWidth="1"/>
    <col min="12553" max="12553" width="10.25" style="5" customWidth="1"/>
    <col min="12554" max="12554" width="10.5" style="5" bestFit="1" customWidth="1"/>
    <col min="12555" max="12800" width="8.875" style="5"/>
    <col min="12801" max="12801" width="18.5" style="5" customWidth="1"/>
    <col min="12802" max="12803" width="12.125" style="5" customWidth="1"/>
    <col min="12804" max="12804" width="13.75" style="5" customWidth="1"/>
    <col min="12805" max="12805" width="13.5" style="5" customWidth="1"/>
    <col min="12806" max="12806" width="15.125" style="5" customWidth="1"/>
    <col min="12807" max="12807" width="12.25" style="5" customWidth="1"/>
    <col min="12808" max="12808" width="11.125" style="5" customWidth="1"/>
    <col min="12809" max="12809" width="10.25" style="5" customWidth="1"/>
    <col min="12810" max="12810" width="10.5" style="5" bestFit="1" customWidth="1"/>
    <col min="12811" max="13056" width="8.875" style="5"/>
    <col min="13057" max="13057" width="18.5" style="5" customWidth="1"/>
    <col min="13058" max="13059" width="12.125" style="5" customWidth="1"/>
    <col min="13060" max="13060" width="13.75" style="5" customWidth="1"/>
    <col min="13061" max="13061" width="13.5" style="5" customWidth="1"/>
    <col min="13062" max="13062" width="15.125" style="5" customWidth="1"/>
    <col min="13063" max="13063" width="12.25" style="5" customWidth="1"/>
    <col min="13064" max="13064" width="11.125" style="5" customWidth="1"/>
    <col min="13065" max="13065" width="10.25" style="5" customWidth="1"/>
    <col min="13066" max="13066" width="10.5" style="5" bestFit="1" customWidth="1"/>
    <col min="13067" max="13312" width="8.875" style="5"/>
    <col min="13313" max="13313" width="18.5" style="5" customWidth="1"/>
    <col min="13314" max="13315" width="12.125" style="5" customWidth="1"/>
    <col min="13316" max="13316" width="13.75" style="5" customWidth="1"/>
    <col min="13317" max="13317" width="13.5" style="5" customWidth="1"/>
    <col min="13318" max="13318" width="15.125" style="5" customWidth="1"/>
    <col min="13319" max="13319" width="12.25" style="5" customWidth="1"/>
    <col min="13320" max="13320" width="11.125" style="5" customWidth="1"/>
    <col min="13321" max="13321" width="10.25" style="5" customWidth="1"/>
    <col min="13322" max="13322" width="10.5" style="5" bestFit="1" customWidth="1"/>
    <col min="13323" max="13568" width="8.875" style="5"/>
    <col min="13569" max="13569" width="18.5" style="5" customWidth="1"/>
    <col min="13570" max="13571" width="12.125" style="5" customWidth="1"/>
    <col min="13572" max="13572" width="13.75" style="5" customWidth="1"/>
    <col min="13573" max="13573" width="13.5" style="5" customWidth="1"/>
    <col min="13574" max="13574" width="15.125" style="5" customWidth="1"/>
    <col min="13575" max="13575" width="12.25" style="5" customWidth="1"/>
    <col min="13576" max="13576" width="11.125" style="5" customWidth="1"/>
    <col min="13577" max="13577" width="10.25" style="5" customWidth="1"/>
    <col min="13578" max="13578" width="10.5" style="5" bestFit="1" customWidth="1"/>
    <col min="13579" max="13824" width="8.875" style="5"/>
    <col min="13825" max="13825" width="18.5" style="5" customWidth="1"/>
    <col min="13826" max="13827" width="12.125" style="5" customWidth="1"/>
    <col min="13828" max="13828" width="13.75" style="5" customWidth="1"/>
    <col min="13829" max="13829" width="13.5" style="5" customWidth="1"/>
    <col min="13830" max="13830" width="15.125" style="5" customWidth="1"/>
    <col min="13831" max="13831" width="12.25" style="5" customWidth="1"/>
    <col min="13832" max="13832" width="11.125" style="5" customWidth="1"/>
    <col min="13833" max="13833" width="10.25" style="5" customWidth="1"/>
    <col min="13834" max="13834" width="10.5" style="5" bestFit="1" customWidth="1"/>
    <col min="13835" max="14080" width="8.875" style="5"/>
    <col min="14081" max="14081" width="18.5" style="5" customWidth="1"/>
    <col min="14082" max="14083" width="12.125" style="5" customWidth="1"/>
    <col min="14084" max="14084" width="13.75" style="5" customWidth="1"/>
    <col min="14085" max="14085" width="13.5" style="5" customWidth="1"/>
    <col min="14086" max="14086" width="15.125" style="5" customWidth="1"/>
    <col min="14087" max="14087" width="12.25" style="5" customWidth="1"/>
    <col min="14088" max="14088" width="11.125" style="5" customWidth="1"/>
    <col min="14089" max="14089" width="10.25" style="5" customWidth="1"/>
    <col min="14090" max="14090" width="10.5" style="5" bestFit="1" customWidth="1"/>
    <col min="14091" max="14336" width="8.875" style="5"/>
    <col min="14337" max="14337" width="18.5" style="5" customWidth="1"/>
    <col min="14338" max="14339" width="12.125" style="5" customWidth="1"/>
    <col min="14340" max="14340" width="13.75" style="5" customWidth="1"/>
    <col min="14341" max="14341" width="13.5" style="5" customWidth="1"/>
    <col min="14342" max="14342" width="15.125" style="5" customWidth="1"/>
    <col min="14343" max="14343" width="12.25" style="5" customWidth="1"/>
    <col min="14344" max="14344" width="11.125" style="5" customWidth="1"/>
    <col min="14345" max="14345" width="10.25" style="5" customWidth="1"/>
    <col min="14346" max="14346" width="10.5" style="5" bestFit="1" customWidth="1"/>
    <col min="14347" max="14592" width="8.875" style="5"/>
    <col min="14593" max="14593" width="18.5" style="5" customWidth="1"/>
    <col min="14594" max="14595" width="12.125" style="5" customWidth="1"/>
    <col min="14596" max="14596" width="13.75" style="5" customWidth="1"/>
    <col min="14597" max="14597" width="13.5" style="5" customWidth="1"/>
    <col min="14598" max="14598" width="15.125" style="5" customWidth="1"/>
    <col min="14599" max="14599" width="12.25" style="5" customWidth="1"/>
    <col min="14600" max="14600" width="11.125" style="5" customWidth="1"/>
    <col min="14601" max="14601" width="10.25" style="5" customWidth="1"/>
    <col min="14602" max="14602" width="10.5" style="5" bestFit="1" customWidth="1"/>
    <col min="14603" max="14848" width="8.875" style="5"/>
    <col min="14849" max="14849" width="18.5" style="5" customWidth="1"/>
    <col min="14850" max="14851" width="12.125" style="5" customWidth="1"/>
    <col min="14852" max="14852" width="13.75" style="5" customWidth="1"/>
    <col min="14853" max="14853" width="13.5" style="5" customWidth="1"/>
    <col min="14854" max="14854" width="15.125" style="5" customWidth="1"/>
    <col min="14855" max="14855" width="12.25" style="5" customWidth="1"/>
    <col min="14856" max="14856" width="11.125" style="5" customWidth="1"/>
    <col min="14857" max="14857" width="10.25" style="5" customWidth="1"/>
    <col min="14858" max="14858" width="10.5" style="5" bestFit="1" customWidth="1"/>
    <col min="14859" max="15104" width="8.875" style="5"/>
    <col min="15105" max="15105" width="18.5" style="5" customWidth="1"/>
    <col min="15106" max="15107" width="12.125" style="5" customWidth="1"/>
    <col min="15108" max="15108" width="13.75" style="5" customWidth="1"/>
    <col min="15109" max="15109" width="13.5" style="5" customWidth="1"/>
    <col min="15110" max="15110" width="15.125" style="5" customWidth="1"/>
    <col min="15111" max="15111" width="12.25" style="5" customWidth="1"/>
    <col min="15112" max="15112" width="11.125" style="5" customWidth="1"/>
    <col min="15113" max="15113" width="10.25" style="5" customWidth="1"/>
    <col min="15114" max="15114" width="10.5" style="5" bestFit="1" customWidth="1"/>
    <col min="15115" max="15360" width="8.875" style="5"/>
    <col min="15361" max="15361" width="18.5" style="5" customWidth="1"/>
    <col min="15362" max="15363" width="12.125" style="5" customWidth="1"/>
    <col min="15364" max="15364" width="13.75" style="5" customWidth="1"/>
    <col min="15365" max="15365" width="13.5" style="5" customWidth="1"/>
    <col min="15366" max="15366" width="15.125" style="5" customWidth="1"/>
    <col min="15367" max="15367" width="12.25" style="5" customWidth="1"/>
    <col min="15368" max="15368" width="11.125" style="5" customWidth="1"/>
    <col min="15369" max="15369" width="10.25" style="5" customWidth="1"/>
    <col min="15370" max="15370" width="10.5" style="5" bestFit="1" customWidth="1"/>
    <col min="15371" max="15616" width="8.875" style="5"/>
    <col min="15617" max="15617" width="18.5" style="5" customWidth="1"/>
    <col min="15618" max="15619" width="12.125" style="5" customWidth="1"/>
    <col min="15620" max="15620" width="13.75" style="5" customWidth="1"/>
    <col min="15621" max="15621" width="13.5" style="5" customWidth="1"/>
    <col min="15622" max="15622" width="15.125" style="5" customWidth="1"/>
    <col min="15623" max="15623" width="12.25" style="5" customWidth="1"/>
    <col min="15624" max="15624" width="11.125" style="5" customWidth="1"/>
    <col min="15625" max="15625" width="10.25" style="5" customWidth="1"/>
    <col min="15626" max="15626" width="10.5" style="5" bestFit="1" customWidth="1"/>
    <col min="15627" max="15872" width="8.875" style="5"/>
    <col min="15873" max="15873" width="18.5" style="5" customWidth="1"/>
    <col min="15874" max="15875" width="12.125" style="5" customWidth="1"/>
    <col min="15876" max="15876" width="13.75" style="5" customWidth="1"/>
    <col min="15877" max="15877" width="13.5" style="5" customWidth="1"/>
    <col min="15878" max="15878" width="15.125" style="5" customWidth="1"/>
    <col min="15879" max="15879" width="12.25" style="5" customWidth="1"/>
    <col min="15880" max="15880" width="11.125" style="5" customWidth="1"/>
    <col min="15881" max="15881" width="10.25" style="5" customWidth="1"/>
    <col min="15882" max="15882" width="10.5" style="5" bestFit="1" customWidth="1"/>
    <col min="15883" max="16128" width="8.875" style="5"/>
    <col min="16129" max="16129" width="18.5" style="5" customWidth="1"/>
    <col min="16130" max="16131" width="12.125" style="5" customWidth="1"/>
    <col min="16132" max="16132" width="13.75" style="5" customWidth="1"/>
    <col min="16133" max="16133" width="13.5" style="5" customWidth="1"/>
    <col min="16134" max="16134" width="15.125" style="5" customWidth="1"/>
    <col min="16135" max="16135" width="12.25" style="5" customWidth="1"/>
    <col min="16136" max="16136" width="11.125" style="5" customWidth="1"/>
    <col min="16137" max="16137" width="10.25" style="5" customWidth="1"/>
    <col min="16138" max="16138" width="10.5" style="5" bestFit="1" customWidth="1"/>
    <col min="16139" max="16384" width="8.875" style="5"/>
  </cols>
  <sheetData>
    <row r="1" spans="1:10" ht="19.5">
      <c r="A1" s="1" t="s">
        <v>494</v>
      </c>
      <c r="B1" s="1"/>
      <c r="C1" s="57"/>
      <c r="D1" s="58"/>
      <c r="E1" s="533"/>
      <c r="F1" s="57"/>
      <c r="G1" s="58"/>
    </row>
    <row r="3" spans="1:10">
      <c r="A3" s="112" t="s">
        <v>154</v>
      </c>
      <c r="B3" s="63"/>
      <c r="C3" s="66"/>
      <c r="D3" s="65"/>
      <c r="E3" s="523"/>
      <c r="F3" s="66"/>
      <c r="G3" s="201"/>
      <c r="H3" s="202"/>
      <c r="I3" s="68"/>
      <c r="J3" s="69"/>
    </row>
    <row r="4" spans="1:10">
      <c r="A4" s="70" t="s">
        <v>495</v>
      </c>
      <c r="B4" s="8" t="s">
        <v>458</v>
      </c>
      <c r="C4" s="71" t="s">
        <v>421</v>
      </c>
      <c r="D4" s="72" t="s">
        <v>159</v>
      </c>
      <c r="E4" s="524" t="s">
        <v>420</v>
      </c>
      <c r="F4" s="71" t="s">
        <v>421</v>
      </c>
      <c r="G4" s="74" t="s">
        <v>160</v>
      </c>
      <c r="H4" s="8" t="s">
        <v>420</v>
      </c>
      <c r="I4" s="71" t="s">
        <v>421</v>
      </c>
      <c r="J4" s="203" t="s">
        <v>117</v>
      </c>
    </row>
    <row r="5" spans="1:10">
      <c r="A5" s="46"/>
      <c r="B5" s="77" t="s">
        <v>33</v>
      </c>
      <c r="C5" s="76" t="s">
        <v>33</v>
      </c>
      <c r="D5" s="204" t="s">
        <v>2</v>
      </c>
      <c r="E5" s="525" t="s">
        <v>34</v>
      </c>
      <c r="F5" s="76" t="s">
        <v>34</v>
      </c>
      <c r="G5" s="204" t="s">
        <v>2</v>
      </c>
      <c r="H5" s="78" t="s">
        <v>35</v>
      </c>
      <c r="I5" s="79" t="s">
        <v>118</v>
      </c>
      <c r="J5" s="204" t="s">
        <v>2</v>
      </c>
    </row>
    <row r="6" spans="1:10">
      <c r="A6" s="20" t="s">
        <v>5</v>
      </c>
      <c r="B6" s="205"/>
      <c r="C6" s="81"/>
      <c r="D6" s="206"/>
      <c r="E6" s="526"/>
      <c r="F6" s="81"/>
      <c r="G6" s="207"/>
      <c r="H6" s="208"/>
      <c r="I6" s="84"/>
      <c r="J6" s="207"/>
    </row>
    <row r="7" spans="1:10">
      <c r="A7" s="123" t="s">
        <v>6</v>
      </c>
      <c r="B7" s="209">
        <f>SUM(B8:B10)</f>
        <v>4</v>
      </c>
      <c r="C7" s="210">
        <f>SUM(C8:C10)</f>
        <v>349</v>
      </c>
      <c r="D7" s="508">
        <f>IF(C7,(B7-C7)/C7,0)</f>
        <v>-0.98853868194842409</v>
      </c>
      <c r="E7" s="527">
        <f>SUM(E8:E10)</f>
        <v>3424</v>
      </c>
      <c r="F7" s="210">
        <f>SUM(F8:F10)</f>
        <v>370489</v>
      </c>
      <c r="G7" s="508">
        <f>IF(F7,(E7-F7)/F7,0)</f>
        <v>-0.99075816016130036</v>
      </c>
      <c r="H7" s="87">
        <f>IF(B7,E7/B7,0)</f>
        <v>856</v>
      </c>
      <c r="I7" s="88">
        <f>IF(C7,F7/C7,0)</f>
        <v>1061.5730659025787</v>
      </c>
      <c r="J7" s="505">
        <f>IF(I7,(H7-I7)/I7,0)</f>
        <v>-0.1936494740734542</v>
      </c>
    </row>
    <row r="8" spans="1:10">
      <c r="A8" s="77" t="s">
        <v>380</v>
      </c>
      <c r="B8" s="211">
        <f>折疊車!E8</f>
        <v>3</v>
      </c>
      <c r="C8" s="212">
        <f>VLOOKUP(A8,[13]進出口值表查詢結果!$A$2:$C$18,3,0)</f>
        <v>327</v>
      </c>
      <c r="D8" s="508">
        <f t="shared" ref="D8:D68" si="0">IF(C8,(B8-C8)/C8,0)</f>
        <v>-0.99082568807339455</v>
      </c>
      <c r="E8" s="528">
        <f>折疊車!G8</f>
        <v>2833</v>
      </c>
      <c r="F8" s="212">
        <f>VLOOKUP(A8,[13]進出口值表查詢結果!$A$2:$C$18,2,0)</f>
        <v>360325</v>
      </c>
      <c r="G8" s="508">
        <f t="shared" ref="G8:G68" si="1">IF(F8,(E8-F8)/F8,0)</f>
        <v>-0.99213765350725036</v>
      </c>
      <c r="H8" s="87">
        <f t="shared" ref="H8:H10" si="2">IF(B8,E8/B8,0)</f>
        <v>944.33333333333337</v>
      </c>
      <c r="I8" s="88">
        <f t="shared" ref="I8:I10" si="3">IF(C8,F8/C8,0)</f>
        <v>1101.9113149847094</v>
      </c>
      <c r="J8" s="505">
        <f t="shared" ref="J8:J68" si="4">IF(I8,(H8-I8)/I8,0)</f>
        <v>-0.14300423229029338</v>
      </c>
    </row>
    <row r="9" spans="1:10">
      <c r="A9" s="30" t="s">
        <v>7</v>
      </c>
      <c r="B9" s="211">
        <f>折疊車!E9</f>
        <v>1</v>
      </c>
      <c r="C9" s="212">
        <f>VLOOKUP(A9,[13]進出口值表查詢結果!$A$2:$C$18,3,0)</f>
        <v>22</v>
      </c>
      <c r="D9" s="508">
        <f t="shared" si="0"/>
        <v>-0.95454545454545459</v>
      </c>
      <c r="E9" s="528">
        <f>折疊車!G9</f>
        <v>591</v>
      </c>
      <c r="F9" s="212">
        <f>VLOOKUP(A9,[13]進出口值表查詢結果!$A$2:$C$18,2,0)</f>
        <v>10164</v>
      </c>
      <c r="G9" s="508">
        <f t="shared" si="1"/>
        <v>-0.94185360094450998</v>
      </c>
      <c r="H9" s="87">
        <f t="shared" si="2"/>
        <v>591</v>
      </c>
      <c r="I9" s="88">
        <f t="shared" si="3"/>
        <v>462</v>
      </c>
      <c r="J9" s="505">
        <f t="shared" si="4"/>
        <v>0.2792207792207792</v>
      </c>
    </row>
    <row r="10" spans="1:10">
      <c r="A10" s="30" t="s">
        <v>8</v>
      </c>
      <c r="B10" s="211">
        <f>折疊車!E10</f>
        <v>0</v>
      </c>
      <c r="C10" s="212">
        <v>0</v>
      </c>
      <c r="D10" s="508">
        <f t="shared" si="0"/>
        <v>0</v>
      </c>
      <c r="E10" s="528">
        <f>折疊車!G10</f>
        <v>0</v>
      </c>
      <c r="F10" s="212">
        <v>0</v>
      </c>
      <c r="G10" s="508">
        <f t="shared" si="1"/>
        <v>0</v>
      </c>
      <c r="H10" s="87">
        <f t="shared" si="2"/>
        <v>0</v>
      </c>
      <c r="I10" s="88">
        <f t="shared" si="3"/>
        <v>0</v>
      </c>
      <c r="J10" s="505">
        <f t="shared" si="4"/>
        <v>0</v>
      </c>
    </row>
    <row r="11" spans="1:10">
      <c r="A11" s="30"/>
      <c r="B11" s="27"/>
      <c r="C11" s="90"/>
      <c r="D11" s="508"/>
      <c r="E11" s="529"/>
      <c r="F11" s="90"/>
      <c r="G11" s="508"/>
      <c r="H11" s="87"/>
      <c r="I11" s="88"/>
      <c r="J11" s="505"/>
    </row>
    <row r="12" spans="1:10">
      <c r="A12" s="32" t="s">
        <v>9</v>
      </c>
      <c r="B12" s="33">
        <f>SUM(B13:B39)</f>
        <v>1078</v>
      </c>
      <c r="C12" s="91">
        <f>SUM(C13:C39)</f>
        <v>526</v>
      </c>
      <c r="D12" s="508">
        <f t="shared" si="0"/>
        <v>1.0494296577946769</v>
      </c>
      <c r="E12" s="530">
        <f>SUM(E13:E39)</f>
        <v>617033</v>
      </c>
      <c r="F12" s="91">
        <f>SUM(F13:F39)</f>
        <v>356201</v>
      </c>
      <c r="G12" s="508">
        <f t="shared" si="1"/>
        <v>0.73226071796541836</v>
      </c>
      <c r="H12" s="87">
        <f t="shared" ref="H12:H67" si="5">IF(B12,E12/B12,0)</f>
        <v>572.38682745825599</v>
      </c>
      <c r="I12" s="88">
        <f t="shared" ref="I12:I67" si="6">IF(C12,F12/C12,0)</f>
        <v>677.18821292775669</v>
      </c>
      <c r="J12" s="505">
        <f t="shared" si="4"/>
        <v>-0.15475961256974957</v>
      </c>
    </row>
    <row r="13" spans="1:10">
      <c r="A13" s="449" t="s">
        <v>201</v>
      </c>
      <c r="B13" s="211">
        <f>折疊車!E13</f>
        <v>30</v>
      </c>
      <c r="C13" s="212">
        <f>VLOOKUP(A13,[13]進出口值表查詢結果!$A$2:$C$18,3,0)</f>
        <v>171</v>
      </c>
      <c r="D13" s="508">
        <f t="shared" si="0"/>
        <v>-0.82456140350877194</v>
      </c>
      <c r="E13" s="529">
        <f>折疊車!G13</f>
        <v>13469</v>
      </c>
      <c r="F13" s="212">
        <f>VLOOKUP(A13,[13]進出口值表查詢結果!$A$2:$C$18,2,0)</f>
        <v>75566</v>
      </c>
      <c r="G13" s="508">
        <f t="shared" si="1"/>
        <v>-0.8217584628007305</v>
      </c>
      <c r="H13" s="87">
        <f t="shared" si="5"/>
        <v>448.96666666666664</v>
      </c>
      <c r="I13" s="88">
        <f t="shared" si="6"/>
        <v>441.90643274853801</v>
      </c>
      <c r="J13" s="505">
        <f t="shared" si="4"/>
        <v>1.5976762035836169E-2</v>
      </c>
    </row>
    <row r="14" spans="1:10">
      <c r="A14" s="449" t="s">
        <v>202</v>
      </c>
      <c r="B14" s="211">
        <f>折疊車!E14</f>
        <v>0</v>
      </c>
      <c r="C14" s="212">
        <f>VLOOKUP(A14,[13]進出口值表查詢結果!$A$2:$C$18,3,0)</f>
        <v>50</v>
      </c>
      <c r="D14" s="508">
        <f t="shared" si="0"/>
        <v>-1</v>
      </c>
      <c r="E14" s="529">
        <f>折疊車!G14</f>
        <v>0</v>
      </c>
      <c r="F14" s="212">
        <f>VLOOKUP(A14,[13]進出口值表查詢結果!$A$2:$C$18,2,0)</f>
        <v>46530</v>
      </c>
      <c r="G14" s="508">
        <f t="shared" si="1"/>
        <v>-1</v>
      </c>
      <c r="H14" s="87">
        <f t="shared" si="5"/>
        <v>0</v>
      </c>
      <c r="I14" s="88">
        <f t="shared" si="6"/>
        <v>930.6</v>
      </c>
      <c r="J14" s="505">
        <f t="shared" si="4"/>
        <v>-1</v>
      </c>
    </row>
    <row r="15" spans="1:10">
      <c r="A15" s="450" t="s">
        <v>10</v>
      </c>
      <c r="B15" s="211">
        <f>折疊車!E15</f>
        <v>48</v>
      </c>
      <c r="C15" s="212">
        <v>0</v>
      </c>
      <c r="D15" s="508">
        <f t="shared" si="0"/>
        <v>0</v>
      </c>
      <c r="E15" s="529">
        <f>折疊車!G15</f>
        <v>40131</v>
      </c>
      <c r="F15" s="212">
        <v>0</v>
      </c>
      <c r="G15" s="508">
        <f t="shared" si="1"/>
        <v>0</v>
      </c>
      <c r="H15" s="87">
        <f t="shared" si="5"/>
        <v>836.0625</v>
      </c>
      <c r="I15" s="88">
        <f t="shared" si="6"/>
        <v>0</v>
      </c>
      <c r="J15" s="505">
        <f t="shared" si="4"/>
        <v>0</v>
      </c>
    </row>
    <row r="16" spans="1:10">
      <c r="A16" s="449" t="s">
        <v>203</v>
      </c>
      <c r="B16" s="211">
        <f>折疊車!E16</f>
        <v>0</v>
      </c>
      <c r="C16" s="212">
        <v>0</v>
      </c>
      <c r="D16" s="508">
        <f t="shared" si="0"/>
        <v>0</v>
      </c>
      <c r="E16" s="529">
        <f>折疊車!G16</f>
        <v>0</v>
      </c>
      <c r="F16" s="212">
        <v>0</v>
      </c>
      <c r="G16" s="508">
        <f t="shared" si="1"/>
        <v>0</v>
      </c>
      <c r="H16" s="87">
        <f t="shared" si="5"/>
        <v>0</v>
      </c>
      <c r="I16" s="88">
        <f t="shared" si="6"/>
        <v>0</v>
      </c>
      <c r="J16" s="505">
        <f t="shared" si="4"/>
        <v>0</v>
      </c>
    </row>
    <row r="17" spans="1:10">
      <c r="A17" s="450" t="s">
        <v>11</v>
      </c>
      <c r="B17" s="211">
        <f>折疊車!E17</f>
        <v>0</v>
      </c>
      <c r="C17" s="212">
        <v>0</v>
      </c>
      <c r="D17" s="508">
        <f t="shared" si="0"/>
        <v>0</v>
      </c>
      <c r="E17" s="529">
        <f>折疊車!G17</f>
        <v>0</v>
      </c>
      <c r="F17" s="212">
        <v>0</v>
      </c>
      <c r="G17" s="508">
        <f t="shared" si="1"/>
        <v>0</v>
      </c>
      <c r="H17" s="87">
        <f t="shared" si="5"/>
        <v>0</v>
      </c>
      <c r="I17" s="88">
        <f t="shared" si="6"/>
        <v>0</v>
      </c>
      <c r="J17" s="505">
        <f t="shared" si="4"/>
        <v>0</v>
      </c>
    </row>
    <row r="18" spans="1:10">
      <c r="A18" s="450" t="s">
        <v>12</v>
      </c>
      <c r="B18" s="211">
        <f>折疊車!E18</f>
        <v>0</v>
      </c>
      <c r="C18" s="212">
        <v>0</v>
      </c>
      <c r="D18" s="508">
        <f t="shared" si="0"/>
        <v>0</v>
      </c>
      <c r="E18" s="529">
        <f>折疊車!G18</f>
        <v>0</v>
      </c>
      <c r="F18" s="212">
        <v>0</v>
      </c>
      <c r="G18" s="508">
        <f t="shared" si="1"/>
        <v>0</v>
      </c>
      <c r="H18" s="87">
        <f t="shared" si="5"/>
        <v>0</v>
      </c>
      <c r="I18" s="88">
        <f t="shared" si="6"/>
        <v>0</v>
      </c>
      <c r="J18" s="505">
        <f t="shared" si="4"/>
        <v>0</v>
      </c>
    </row>
    <row r="19" spans="1:10">
      <c r="A19" s="449" t="s">
        <v>204</v>
      </c>
      <c r="B19" s="211">
        <f>折疊車!E19</f>
        <v>0</v>
      </c>
      <c r="C19" s="212">
        <v>0</v>
      </c>
      <c r="D19" s="508">
        <f t="shared" si="0"/>
        <v>0</v>
      </c>
      <c r="E19" s="529">
        <f>折疊車!G19</f>
        <v>0</v>
      </c>
      <c r="F19" s="212">
        <v>0</v>
      </c>
      <c r="G19" s="508">
        <f t="shared" si="1"/>
        <v>0</v>
      </c>
      <c r="H19" s="87">
        <f t="shared" si="5"/>
        <v>0</v>
      </c>
      <c r="I19" s="88">
        <f t="shared" si="6"/>
        <v>0</v>
      </c>
      <c r="J19" s="505">
        <f t="shared" si="4"/>
        <v>0</v>
      </c>
    </row>
    <row r="20" spans="1:10">
      <c r="A20" s="450" t="s">
        <v>13</v>
      </c>
      <c r="B20" s="211">
        <f>折疊車!E20</f>
        <v>0</v>
      </c>
      <c r="C20" s="212">
        <v>0</v>
      </c>
      <c r="D20" s="508">
        <f t="shared" si="0"/>
        <v>0</v>
      </c>
      <c r="E20" s="529">
        <f>折疊車!G20</f>
        <v>0</v>
      </c>
      <c r="F20" s="212">
        <v>0</v>
      </c>
      <c r="G20" s="508">
        <f t="shared" si="1"/>
        <v>0</v>
      </c>
      <c r="H20" s="87">
        <f t="shared" si="5"/>
        <v>0</v>
      </c>
      <c r="I20" s="88">
        <f t="shared" si="6"/>
        <v>0</v>
      </c>
      <c r="J20" s="505">
        <f t="shared" si="4"/>
        <v>0</v>
      </c>
    </row>
    <row r="21" spans="1:10">
      <c r="A21" s="449" t="s">
        <v>206</v>
      </c>
      <c r="B21" s="211">
        <f>折疊車!E21</f>
        <v>0</v>
      </c>
      <c r="C21" s="212">
        <v>0</v>
      </c>
      <c r="D21" s="508">
        <f t="shared" si="0"/>
        <v>0</v>
      </c>
      <c r="E21" s="529">
        <f>折疊車!G21</f>
        <v>0</v>
      </c>
      <c r="F21" s="212">
        <v>0</v>
      </c>
      <c r="G21" s="508">
        <f t="shared" si="1"/>
        <v>0</v>
      </c>
      <c r="H21" s="87">
        <f t="shared" si="5"/>
        <v>0</v>
      </c>
      <c r="I21" s="88">
        <f t="shared" si="6"/>
        <v>0</v>
      </c>
      <c r="J21" s="505">
        <f t="shared" si="4"/>
        <v>0</v>
      </c>
    </row>
    <row r="22" spans="1:10">
      <c r="A22" s="450" t="s">
        <v>14</v>
      </c>
      <c r="B22" s="211">
        <f>折疊車!E22</f>
        <v>0</v>
      </c>
      <c r="C22" s="212">
        <v>0</v>
      </c>
      <c r="D22" s="508">
        <f t="shared" si="0"/>
        <v>0</v>
      </c>
      <c r="E22" s="529">
        <f>折疊車!G22</f>
        <v>0</v>
      </c>
      <c r="F22" s="212">
        <v>0</v>
      </c>
      <c r="G22" s="508">
        <f t="shared" si="1"/>
        <v>0</v>
      </c>
      <c r="H22" s="87">
        <f t="shared" si="5"/>
        <v>0</v>
      </c>
      <c r="I22" s="88">
        <f t="shared" si="6"/>
        <v>0</v>
      </c>
      <c r="J22" s="505">
        <f t="shared" si="4"/>
        <v>0</v>
      </c>
    </row>
    <row r="23" spans="1:10">
      <c r="A23" s="450" t="s">
        <v>15</v>
      </c>
      <c r="B23" s="211">
        <f>折疊車!E23</f>
        <v>0</v>
      </c>
      <c r="C23" s="212">
        <v>0</v>
      </c>
      <c r="D23" s="508">
        <f t="shared" si="0"/>
        <v>0</v>
      </c>
      <c r="E23" s="529">
        <f>折疊車!G23</f>
        <v>0</v>
      </c>
      <c r="F23" s="212">
        <v>0</v>
      </c>
      <c r="G23" s="508">
        <f t="shared" si="1"/>
        <v>0</v>
      </c>
      <c r="H23" s="87">
        <f t="shared" si="5"/>
        <v>0</v>
      </c>
      <c r="I23" s="88">
        <f t="shared" si="6"/>
        <v>0</v>
      </c>
      <c r="J23" s="505">
        <f t="shared" si="4"/>
        <v>0</v>
      </c>
    </row>
    <row r="24" spans="1:10">
      <c r="A24" s="450" t="s">
        <v>16</v>
      </c>
      <c r="B24" s="211">
        <f>折疊車!E24</f>
        <v>1000</v>
      </c>
      <c r="C24" s="212">
        <f>VLOOKUP(A24,[13]進出口值表查詢結果!$A$2:$C$18,3,0)</f>
        <v>305</v>
      </c>
      <c r="D24" s="508">
        <f t="shared" si="0"/>
        <v>2.278688524590164</v>
      </c>
      <c r="E24" s="529">
        <f>折疊車!G24</f>
        <v>563433</v>
      </c>
      <c r="F24" s="212">
        <f>VLOOKUP(A24,[13]進出口值表查詢結果!$A$2:$C$18,2,0)</f>
        <v>234105</v>
      </c>
      <c r="G24" s="508">
        <f t="shared" si="1"/>
        <v>1.4067533798936376</v>
      </c>
      <c r="H24" s="87">
        <f t="shared" si="5"/>
        <v>563.43299999999999</v>
      </c>
      <c r="I24" s="88">
        <f t="shared" si="6"/>
        <v>767.55737704918033</v>
      </c>
      <c r="J24" s="505">
        <f t="shared" si="4"/>
        <v>-0.26594021913244059</v>
      </c>
    </row>
    <row r="25" spans="1:10">
      <c r="A25" s="449" t="s">
        <v>207</v>
      </c>
      <c r="B25" s="211">
        <f>折疊車!E25</f>
        <v>0</v>
      </c>
      <c r="C25" s="212">
        <v>0</v>
      </c>
      <c r="D25" s="508">
        <f t="shared" si="0"/>
        <v>0</v>
      </c>
      <c r="E25" s="529">
        <f>折疊車!G25</f>
        <v>0</v>
      </c>
      <c r="F25" s="212">
        <v>0</v>
      </c>
      <c r="G25" s="508">
        <f t="shared" si="1"/>
        <v>0</v>
      </c>
      <c r="H25" s="87">
        <f t="shared" si="5"/>
        <v>0</v>
      </c>
      <c r="I25" s="88">
        <f t="shared" si="6"/>
        <v>0</v>
      </c>
      <c r="J25" s="505">
        <f t="shared" si="4"/>
        <v>0</v>
      </c>
    </row>
    <row r="26" spans="1:10">
      <c r="A26" s="449" t="s">
        <v>208</v>
      </c>
      <c r="B26" s="211">
        <f>折疊車!E26</f>
        <v>0</v>
      </c>
      <c r="C26" s="212">
        <v>0</v>
      </c>
      <c r="D26" s="508">
        <f t="shared" si="0"/>
        <v>0</v>
      </c>
      <c r="E26" s="529">
        <f>折疊車!G26</f>
        <v>0</v>
      </c>
      <c r="F26" s="212">
        <v>0</v>
      </c>
      <c r="G26" s="508">
        <f t="shared" si="1"/>
        <v>0</v>
      </c>
      <c r="H26" s="87">
        <f t="shared" si="5"/>
        <v>0</v>
      </c>
      <c r="I26" s="88">
        <f t="shared" si="6"/>
        <v>0</v>
      </c>
      <c r="J26" s="505">
        <f t="shared" si="4"/>
        <v>0</v>
      </c>
    </row>
    <row r="27" spans="1:10">
      <c r="A27" s="294" t="s">
        <v>209</v>
      </c>
      <c r="B27" s="211">
        <f>折疊車!E27</f>
        <v>0</v>
      </c>
      <c r="C27" s="212">
        <v>0</v>
      </c>
      <c r="D27" s="508">
        <f t="shared" si="0"/>
        <v>0</v>
      </c>
      <c r="E27" s="529">
        <f>折疊車!G27</f>
        <v>0</v>
      </c>
      <c r="F27" s="212">
        <v>0</v>
      </c>
      <c r="G27" s="508">
        <f t="shared" si="1"/>
        <v>0</v>
      </c>
      <c r="H27" s="87">
        <f t="shared" si="5"/>
        <v>0</v>
      </c>
      <c r="I27" s="88">
        <f t="shared" si="6"/>
        <v>0</v>
      </c>
      <c r="J27" s="505">
        <f t="shared" si="4"/>
        <v>0</v>
      </c>
    </row>
    <row r="28" spans="1:10">
      <c r="A28" s="294" t="s">
        <v>210</v>
      </c>
      <c r="B28" s="211">
        <f>折疊車!E28</f>
        <v>0</v>
      </c>
      <c r="C28" s="212">
        <v>0</v>
      </c>
      <c r="D28" s="508">
        <f t="shared" si="0"/>
        <v>0</v>
      </c>
      <c r="E28" s="529">
        <f>折疊車!G28</f>
        <v>0</v>
      </c>
      <c r="F28" s="212">
        <v>0</v>
      </c>
      <c r="G28" s="508">
        <f t="shared" si="1"/>
        <v>0</v>
      </c>
      <c r="H28" s="87">
        <f t="shared" si="5"/>
        <v>0</v>
      </c>
      <c r="I28" s="88">
        <f t="shared" si="6"/>
        <v>0</v>
      </c>
      <c r="J28" s="505">
        <f t="shared" si="4"/>
        <v>0</v>
      </c>
    </row>
    <row r="29" spans="1:10">
      <c r="A29" s="450" t="s">
        <v>211</v>
      </c>
      <c r="B29" s="211">
        <f>折疊車!E29</f>
        <v>0</v>
      </c>
      <c r="C29" s="212">
        <v>0</v>
      </c>
      <c r="D29" s="508">
        <f t="shared" si="0"/>
        <v>0</v>
      </c>
      <c r="E29" s="529">
        <f>折疊車!G29</f>
        <v>0</v>
      </c>
      <c r="F29" s="212">
        <v>0</v>
      </c>
      <c r="G29" s="508">
        <f t="shared" si="1"/>
        <v>0</v>
      </c>
      <c r="H29" s="87">
        <f t="shared" si="5"/>
        <v>0</v>
      </c>
      <c r="I29" s="88">
        <f t="shared" si="6"/>
        <v>0</v>
      </c>
      <c r="J29" s="505">
        <f t="shared" si="4"/>
        <v>0</v>
      </c>
    </row>
    <row r="30" spans="1:10">
      <c r="A30" s="450" t="s">
        <v>212</v>
      </c>
      <c r="B30" s="211">
        <f>折疊車!E30</f>
        <v>0</v>
      </c>
      <c r="C30" s="212">
        <v>0</v>
      </c>
      <c r="D30" s="508">
        <f t="shared" si="0"/>
        <v>0</v>
      </c>
      <c r="E30" s="529">
        <f>折疊車!G30</f>
        <v>0</v>
      </c>
      <c r="F30" s="212">
        <v>0</v>
      </c>
      <c r="G30" s="508">
        <f t="shared" si="1"/>
        <v>0</v>
      </c>
      <c r="H30" s="87">
        <f t="shared" si="5"/>
        <v>0</v>
      </c>
      <c r="I30" s="88">
        <f t="shared" si="6"/>
        <v>0</v>
      </c>
      <c r="J30" s="505">
        <f t="shared" si="4"/>
        <v>0</v>
      </c>
    </row>
    <row r="31" spans="1:10">
      <c r="A31" s="450" t="s">
        <v>17</v>
      </c>
      <c r="B31" s="211">
        <f>折疊車!E31</f>
        <v>0</v>
      </c>
      <c r="C31" s="212">
        <v>0</v>
      </c>
      <c r="D31" s="508">
        <f t="shared" si="0"/>
        <v>0</v>
      </c>
      <c r="E31" s="529">
        <f>折疊車!G31</f>
        <v>0</v>
      </c>
      <c r="F31" s="212">
        <v>0</v>
      </c>
      <c r="G31" s="508">
        <f t="shared" si="1"/>
        <v>0</v>
      </c>
      <c r="H31" s="87">
        <f t="shared" si="5"/>
        <v>0</v>
      </c>
      <c r="I31" s="88">
        <f t="shared" si="6"/>
        <v>0</v>
      </c>
      <c r="J31" s="505">
        <f t="shared" si="4"/>
        <v>0</v>
      </c>
    </row>
    <row r="32" spans="1:10">
      <c r="A32" s="450" t="s">
        <v>18</v>
      </c>
      <c r="B32" s="211">
        <f>折疊車!E32</f>
        <v>0</v>
      </c>
      <c r="C32" s="212">
        <v>0</v>
      </c>
      <c r="D32" s="508">
        <f t="shared" si="0"/>
        <v>0</v>
      </c>
      <c r="E32" s="529">
        <f>折疊車!G32</f>
        <v>0</v>
      </c>
      <c r="F32" s="212">
        <v>0</v>
      </c>
      <c r="G32" s="508">
        <f t="shared" si="1"/>
        <v>0</v>
      </c>
      <c r="H32" s="87">
        <f t="shared" si="5"/>
        <v>0</v>
      </c>
      <c r="I32" s="88">
        <f t="shared" si="6"/>
        <v>0</v>
      </c>
      <c r="J32" s="505">
        <f t="shared" si="4"/>
        <v>0</v>
      </c>
    </row>
    <row r="33" spans="1:10">
      <c r="A33" s="450" t="s">
        <v>213</v>
      </c>
      <c r="B33" s="211">
        <f>折疊車!E33</f>
        <v>0</v>
      </c>
      <c r="C33" s="212">
        <v>0</v>
      </c>
      <c r="D33" s="508">
        <f t="shared" si="0"/>
        <v>0</v>
      </c>
      <c r="E33" s="529">
        <f>折疊車!G33</f>
        <v>0</v>
      </c>
      <c r="F33" s="212">
        <v>0</v>
      </c>
      <c r="G33" s="508">
        <f t="shared" si="1"/>
        <v>0</v>
      </c>
      <c r="H33" s="87">
        <f t="shared" si="5"/>
        <v>0</v>
      </c>
      <c r="I33" s="88">
        <f t="shared" si="6"/>
        <v>0</v>
      </c>
      <c r="J33" s="505">
        <f t="shared" si="4"/>
        <v>0</v>
      </c>
    </row>
    <row r="34" spans="1:10">
      <c r="A34" s="450" t="s">
        <v>214</v>
      </c>
      <c r="B34" s="211">
        <f>折疊車!E34</f>
        <v>0</v>
      </c>
      <c r="C34" s="212">
        <v>0</v>
      </c>
      <c r="D34" s="508">
        <f t="shared" si="0"/>
        <v>0</v>
      </c>
      <c r="E34" s="529">
        <f>折疊車!G34</f>
        <v>0</v>
      </c>
      <c r="F34" s="212">
        <v>0</v>
      </c>
      <c r="G34" s="508">
        <f t="shared" si="1"/>
        <v>0</v>
      </c>
      <c r="H34" s="87">
        <f t="shared" si="5"/>
        <v>0</v>
      </c>
      <c r="I34" s="88">
        <f t="shared" si="6"/>
        <v>0</v>
      </c>
      <c r="J34" s="505">
        <f t="shared" si="4"/>
        <v>0</v>
      </c>
    </row>
    <row r="35" spans="1:10">
      <c r="A35" s="450" t="s">
        <v>215</v>
      </c>
      <c r="B35" s="211">
        <f>折疊車!E35</f>
        <v>0</v>
      </c>
      <c r="C35" s="212">
        <v>0</v>
      </c>
      <c r="D35" s="508">
        <f t="shared" si="0"/>
        <v>0</v>
      </c>
      <c r="E35" s="529">
        <f>折疊車!G35</f>
        <v>0</v>
      </c>
      <c r="F35" s="212">
        <v>0</v>
      </c>
      <c r="G35" s="508">
        <f t="shared" si="1"/>
        <v>0</v>
      </c>
      <c r="H35" s="87">
        <f t="shared" si="5"/>
        <v>0</v>
      </c>
      <c r="I35" s="88">
        <f t="shared" si="6"/>
        <v>0</v>
      </c>
      <c r="J35" s="505">
        <f t="shared" si="4"/>
        <v>0</v>
      </c>
    </row>
    <row r="36" spans="1:10">
      <c r="A36" s="450" t="s">
        <v>381</v>
      </c>
      <c r="B36" s="211">
        <f>折疊車!E36</f>
        <v>0</v>
      </c>
      <c r="C36" s="212">
        <v>0</v>
      </c>
      <c r="D36" s="508">
        <f t="shared" si="0"/>
        <v>0</v>
      </c>
      <c r="E36" s="529">
        <f>折疊車!G36</f>
        <v>0</v>
      </c>
      <c r="F36" s="212">
        <v>0</v>
      </c>
      <c r="G36" s="508">
        <f t="shared" si="1"/>
        <v>0</v>
      </c>
      <c r="H36" s="87">
        <f t="shared" si="5"/>
        <v>0</v>
      </c>
      <c r="I36" s="88">
        <f t="shared" si="6"/>
        <v>0</v>
      </c>
      <c r="J36" s="505">
        <f t="shared" si="4"/>
        <v>0</v>
      </c>
    </row>
    <row r="37" spans="1:10">
      <c r="A37" s="450" t="s">
        <v>217</v>
      </c>
      <c r="B37" s="211">
        <f>折疊車!E37</f>
        <v>0</v>
      </c>
      <c r="C37" s="212">
        <v>0</v>
      </c>
      <c r="D37" s="508">
        <f t="shared" si="0"/>
        <v>0</v>
      </c>
      <c r="E37" s="529">
        <f>折疊車!G37</f>
        <v>0</v>
      </c>
      <c r="F37" s="212">
        <v>0</v>
      </c>
      <c r="G37" s="508">
        <f t="shared" si="1"/>
        <v>0</v>
      </c>
      <c r="H37" s="87">
        <f t="shared" si="5"/>
        <v>0</v>
      </c>
      <c r="I37" s="88">
        <f t="shared" si="6"/>
        <v>0</v>
      </c>
      <c r="J37" s="505">
        <f t="shared" si="4"/>
        <v>0</v>
      </c>
    </row>
    <row r="38" spans="1:10">
      <c r="A38" s="450" t="s">
        <v>218</v>
      </c>
      <c r="B38" s="211">
        <f>折疊車!E38</f>
        <v>0</v>
      </c>
      <c r="C38" s="212">
        <v>0</v>
      </c>
      <c r="D38" s="508">
        <f t="shared" si="0"/>
        <v>0</v>
      </c>
      <c r="E38" s="529">
        <f>折疊車!G38</f>
        <v>0</v>
      </c>
      <c r="F38" s="212">
        <v>0</v>
      </c>
      <c r="G38" s="508">
        <f t="shared" si="1"/>
        <v>0</v>
      </c>
      <c r="H38" s="87">
        <f t="shared" si="5"/>
        <v>0</v>
      </c>
      <c r="I38" s="88">
        <f t="shared" si="6"/>
        <v>0</v>
      </c>
      <c r="J38" s="505">
        <f t="shared" si="4"/>
        <v>0</v>
      </c>
    </row>
    <row r="39" spans="1:10">
      <c r="A39" s="450" t="s">
        <v>19</v>
      </c>
      <c r="B39" s="211">
        <f>折疊車!E39</f>
        <v>0</v>
      </c>
      <c r="C39" s="212">
        <v>0</v>
      </c>
      <c r="D39" s="508">
        <f t="shared" si="0"/>
        <v>0</v>
      </c>
      <c r="E39" s="529">
        <f>折疊車!G39</f>
        <v>0</v>
      </c>
      <c r="F39" s="212">
        <v>0</v>
      </c>
      <c r="G39" s="508">
        <f t="shared" si="1"/>
        <v>0</v>
      </c>
      <c r="H39" s="87">
        <f t="shared" si="5"/>
        <v>0</v>
      </c>
      <c r="I39" s="88">
        <f t="shared" si="6"/>
        <v>0</v>
      </c>
      <c r="J39" s="505">
        <f t="shared" si="4"/>
        <v>0</v>
      </c>
    </row>
    <row r="40" spans="1:10">
      <c r="A40" s="30"/>
      <c r="B40" s="27"/>
      <c r="C40" s="90"/>
      <c r="D40" s="508"/>
      <c r="E40" s="529"/>
      <c r="F40" s="90"/>
      <c r="G40" s="508"/>
      <c r="H40" s="87"/>
      <c r="I40" s="88"/>
      <c r="J40" s="505"/>
    </row>
    <row r="41" spans="1:10" ht="16.149999999999999" customHeight="1">
      <c r="A41" s="36" t="s">
        <v>20</v>
      </c>
      <c r="B41" s="33">
        <f>SUM(B42:B45)</f>
        <v>0</v>
      </c>
      <c r="C41" s="33">
        <f>SUM(C42:C45)</f>
        <v>0</v>
      </c>
      <c r="D41" s="508">
        <f t="shared" si="0"/>
        <v>0</v>
      </c>
      <c r="E41" s="530">
        <f>SUM(E42:E45)</f>
        <v>0</v>
      </c>
      <c r="F41" s="91">
        <f>SUM(F42:F45)</f>
        <v>0</v>
      </c>
      <c r="G41" s="508">
        <f t="shared" si="1"/>
        <v>0</v>
      </c>
      <c r="H41" s="87">
        <f t="shared" si="5"/>
        <v>0</v>
      </c>
      <c r="I41" s="88">
        <f t="shared" si="6"/>
        <v>0</v>
      </c>
      <c r="J41" s="505">
        <f t="shared" si="4"/>
        <v>0</v>
      </c>
    </row>
    <row r="42" spans="1:10">
      <c r="A42" s="26" t="s">
        <v>219</v>
      </c>
      <c r="B42" s="27">
        <f>折疊車!E42</f>
        <v>0</v>
      </c>
      <c r="C42" s="212">
        <v>0</v>
      </c>
      <c r="D42" s="508">
        <f t="shared" si="0"/>
        <v>0</v>
      </c>
      <c r="E42" s="529">
        <f>折疊車!G42</f>
        <v>0</v>
      </c>
      <c r="F42" s="212">
        <v>0</v>
      </c>
      <c r="G42" s="508">
        <f t="shared" si="1"/>
        <v>0</v>
      </c>
      <c r="H42" s="87">
        <f t="shared" si="5"/>
        <v>0</v>
      </c>
      <c r="I42" s="88">
        <f t="shared" si="6"/>
        <v>0</v>
      </c>
      <c r="J42" s="505">
        <f t="shared" si="4"/>
        <v>0</v>
      </c>
    </row>
    <row r="43" spans="1:10">
      <c r="A43" s="26" t="s">
        <v>220</v>
      </c>
      <c r="B43" s="27">
        <f>折疊車!E43</f>
        <v>0</v>
      </c>
      <c r="C43" s="212">
        <v>0</v>
      </c>
      <c r="D43" s="508">
        <f t="shared" si="0"/>
        <v>0</v>
      </c>
      <c r="E43" s="529">
        <f>折疊車!G43</f>
        <v>0</v>
      </c>
      <c r="F43" s="212">
        <v>0</v>
      </c>
      <c r="G43" s="508">
        <f t="shared" si="1"/>
        <v>0</v>
      </c>
      <c r="H43" s="87">
        <f t="shared" si="5"/>
        <v>0</v>
      </c>
      <c r="I43" s="88">
        <f t="shared" si="6"/>
        <v>0</v>
      </c>
      <c r="J43" s="505">
        <f t="shared" si="4"/>
        <v>0</v>
      </c>
    </row>
    <row r="44" spans="1:10">
      <c r="A44" s="26" t="s">
        <v>221</v>
      </c>
      <c r="B44" s="27">
        <f>折疊車!E44</f>
        <v>0</v>
      </c>
      <c r="C44" s="212">
        <v>0</v>
      </c>
      <c r="D44" s="508">
        <f t="shared" si="0"/>
        <v>0</v>
      </c>
      <c r="E44" s="529">
        <f>折疊車!G44</f>
        <v>0</v>
      </c>
      <c r="F44" s="212">
        <v>0</v>
      </c>
      <c r="G44" s="508">
        <f t="shared" si="1"/>
        <v>0</v>
      </c>
      <c r="H44" s="87">
        <f t="shared" si="5"/>
        <v>0</v>
      </c>
      <c r="I44" s="88">
        <f t="shared" si="6"/>
        <v>0</v>
      </c>
      <c r="J44" s="505">
        <f t="shared" si="4"/>
        <v>0</v>
      </c>
    </row>
    <row r="45" spans="1:10">
      <c r="A45" s="30" t="s">
        <v>21</v>
      </c>
      <c r="B45" s="27">
        <f>折疊車!E45</f>
        <v>0</v>
      </c>
      <c r="C45" s="212">
        <v>0</v>
      </c>
      <c r="D45" s="508">
        <f t="shared" si="0"/>
        <v>0</v>
      </c>
      <c r="E45" s="529">
        <f>折疊車!G45</f>
        <v>0</v>
      </c>
      <c r="F45" s="212">
        <v>0</v>
      </c>
      <c r="G45" s="508">
        <f t="shared" si="1"/>
        <v>0</v>
      </c>
      <c r="H45" s="87">
        <f t="shared" si="5"/>
        <v>0</v>
      </c>
      <c r="I45" s="88">
        <f t="shared" si="6"/>
        <v>0</v>
      </c>
      <c r="J45" s="505">
        <f t="shared" si="4"/>
        <v>0</v>
      </c>
    </row>
    <row r="46" spans="1:10">
      <c r="A46" s="30"/>
      <c r="B46" s="27"/>
      <c r="C46" s="90"/>
      <c r="D46" s="508"/>
      <c r="E46" s="529"/>
      <c r="F46" s="90"/>
      <c r="G46" s="508"/>
      <c r="H46" s="87"/>
      <c r="I46" s="88"/>
      <c r="J46" s="505"/>
    </row>
    <row r="47" spans="1:10">
      <c r="A47" s="36" t="s">
        <v>22</v>
      </c>
      <c r="B47" s="33">
        <f>SUM(B48:B66)</f>
        <v>4757</v>
      </c>
      <c r="C47" s="91">
        <f>SUM(C48:C66)</f>
        <v>5009</v>
      </c>
      <c r="D47" s="508">
        <f t="shared" si="0"/>
        <v>-5.0309443002595329E-2</v>
      </c>
      <c r="E47" s="530">
        <f>SUM(E48:E66)</f>
        <v>3002798</v>
      </c>
      <c r="F47" s="90">
        <f>SUM(F48:F66)</f>
        <v>3306079</v>
      </c>
      <c r="G47" s="541">
        <f t="shared" si="1"/>
        <v>-9.1734347545839048E-2</v>
      </c>
      <c r="H47" s="87">
        <f t="shared" si="5"/>
        <v>631.23775488753415</v>
      </c>
      <c r="I47" s="514">
        <f t="shared" si="6"/>
        <v>660.0277500499102</v>
      </c>
      <c r="J47" s="505">
        <f t="shared" si="4"/>
        <v>-4.3619370791908363E-2</v>
      </c>
    </row>
    <row r="48" spans="1:10">
      <c r="A48" s="481" t="s">
        <v>162</v>
      </c>
      <c r="B48" s="27">
        <f>折疊車!E48</f>
        <v>0</v>
      </c>
      <c r="C48" s="212">
        <f>VLOOKUP(A48,[13]進出口值表查詢結果!$A$2:$C$18,3,0)</f>
        <v>1100</v>
      </c>
      <c r="D48" s="508">
        <f t="shared" si="0"/>
        <v>-1</v>
      </c>
      <c r="E48" s="529">
        <f>折疊車!G48</f>
        <v>0</v>
      </c>
      <c r="F48" s="212">
        <f>VLOOKUP(A48,[13]進出口值表查詢結果!$A$2:$C$18,2,0)</f>
        <v>256408</v>
      </c>
      <c r="G48" s="508">
        <f t="shared" si="1"/>
        <v>-1</v>
      </c>
      <c r="H48" s="87">
        <f t="shared" si="5"/>
        <v>0</v>
      </c>
      <c r="I48" s="88">
        <f t="shared" si="6"/>
        <v>233.09818181818181</v>
      </c>
      <c r="J48" s="505">
        <f t="shared" si="4"/>
        <v>-1</v>
      </c>
    </row>
    <row r="49" spans="1:10">
      <c r="A49" s="449" t="s">
        <v>222</v>
      </c>
      <c r="B49" s="27">
        <f>折疊車!E49</f>
        <v>725</v>
      </c>
      <c r="C49" s="212">
        <f>VLOOKUP(A49,[13]進出口值表查詢結果!$A$2:$C$18,3,0)</f>
        <v>632</v>
      </c>
      <c r="D49" s="508">
        <f t="shared" si="0"/>
        <v>0.14715189873417722</v>
      </c>
      <c r="E49" s="529">
        <f>折疊車!G49</f>
        <v>552837</v>
      </c>
      <c r="F49" s="212">
        <f>VLOOKUP(A49,[13]進出口值表查詢結果!$A$2:$C$18,2,0)</f>
        <v>357169</v>
      </c>
      <c r="G49" s="508">
        <f t="shared" si="1"/>
        <v>0.54783029882212619</v>
      </c>
      <c r="H49" s="87">
        <f t="shared" si="5"/>
        <v>762.53379310344826</v>
      </c>
      <c r="I49" s="88">
        <f t="shared" si="6"/>
        <v>565.1408227848101</v>
      </c>
      <c r="J49" s="505">
        <f t="shared" si="4"/>
        <v>0.3492810329042535</v>
      </c>
    </row>
    <row r="50" spans="1:10">
      <c r="A50" s="291" t="s">
        <v>223</v>
      </c>
      <c r="B50" s="27">
        <f>折疊車!E50</f>
        <v>0</v>
      </c>
      <c r="C50" s="212">
        <v>0</v>
      </c>
      <c r="D50" s="508">
        <f t="shared" si="0"/>
        <v>0</v>
      </c>
      <c r="E50" s="529">
        <f>折疊車!G50</f>
        <v>0</v>
      </c>
      <c r="F50" s="212">
        <v>0</v>
      </c>
      <c r="G50" s="508">
        <f t="shared" si="1"/>
        <v>0</v>
      </c>
      <c r="H50" s="87">
        <f t="shared" si="5"/>
        <v>0</v>
      </c>
      <c r="I50" s="88">
        <f t="shared" si="6"/>
        <v>0</v>
      </c>
      <c r="J50" s="505">
        <f t="shared" si="4"/>
        <v>0</v>
      </c>
    </row>
    <row r="51" spans="1:10">
      <c r="A51" s="449" t="s">
        <v>224</v>
      </c>
      <c r="B51" s="27">
        <f>折疊車!E51</f>
        <v>0</v>
      </c>
      <c r="C51" s="212">
        <v>0</v>
      </c>
      <c r="D51" s="508">
        <f t="shared" si="0"/>
        <v>0</v>
      </c>
      <c r="E51" s="529">
        <f>折疊車!G51</f>
        <v>0</v>
      </c>
      <c r="F51" s="212">
        <v>0</v>
      </c>
      <c r="G51" s="508">
        <f t="shared" si="1"/>
        <v>0</v>
      </c>
      <c r="H51" s="87">
        <f t="shared" si="5"/>
        <v>0</v>
      </c>
      <c r="I51" s="88">
        <f t="shared" si="6"/>
        <v>0</v>
      </c>
      <c r="J51" s="505">
        <f t="shared" si="4"/>
        <v>0</v>
      </c>
    </row>
    <row r="52" spans="1:10">
      <c r="A52" s="450" t="s">
        <v>23</v>
      </c>
      <c r="B52" s="27">
        <f>折疊車!E52</f>
        <v>0</v>
      </c>
      <c r="C52" s="212">
        <v>0</v>
      </c>
      <c r="D52" s="508">
        <f t="shared" si="0"/>
        <v>0</v>
      </c>
      <c r="E52" s="529">
        <f>折疊車!G52</f>
        <v>0</v>
      </c>
      <c r="F52" s="212">
        <v>0</v>
      </c>
      <c r="G52" s="508">
        <f t="shared" si="1"/>
        <v>0</v>
      </c>
      <c r="H52" s="87">
        <f t="shared" si="5"/>
        <v>0</v>
      </c>
      <c r="I52" s="88">
        <f t="shared" si="6"/>
        <v>0</v>
      </c>
      <c r="J52" s="505">
        <f t="shared" si="4"/>
        <v>0</v>
      </c>
    </row>
    <row r="53" spans="1:10">
      <c r="A53" s="449" t="s">
        <v>225</v>
      </c>
      <c r="B53" s="27">
        <f>折疊車!E53</f>
        <v>0</v>
      </c>
      <c r="C53" s="212">
        <v>0</v>
      </c>
      <c r="D53" s="508">
        <f t="shared" si="0"/>
        <v>0</v>
      </c>
      <c r="E53" s="529">
        <f>折疊車!G53</f>
        <v>0</v>
      </c>
      <c r="F53" s="212">
        <v>0</v>
      </c>
      <c r="G53" s="508">
        <f t="shared" si="1"/>
        <v>0</v>
      </c>
      <c r="H53" s="87">
        <f t="shared" si="5"/>
        <v>0</v>
      </c>
      <c r="I53" s="88">
        <f t="shared" si="6"/>
        <v>0</v>
      </c>
      <c r="J53" s="505">
        <f t="shared" si="4"/>
        <v>0</v>
      </c>
    </row>
    <row r="54" spans="1:10">
      <c r="A54" s="450" t="s">
        <v>226</v>
      </c>
      <c r="B54" s="27">
        <f>折疊車!E54</f>
        <v>31</v>
      </c>
      <c r="C54" s="212">
        <f>VLOOKUP(A54,[13]進出口值表查詢結果!$A$2:$C$18,3,0)</f>
        <v>42</v>
      </c>
      <c r="D54" s="508">
        <f t="shared" si="0"/>
        <v>-0.26190476190476192</v>
      </c>
      <c r="E54" s="529">
        <f>折疊車!G54</f>
        <v>14557</v>
      </c>
      <c r="F54" s="212">
        <f>VLOOKUP(A54,[13]進出口值表查詢結果!$A$2:$C$18,2,0)</f>
        <v>37591</v>
      </c>
      <c r="G54" s="508">
        <f t="shared" si="1"/>
        <v>-0.61275305259237578</v>
      </c>
      <c r="H54" s="87">
        <f t="shared" si="5"/>
        <v>469.58064516129031</v>
      </c>
      <c r="I54" s="88">
        <f t="shared" si="6"/>
        <v>895.02380952380952</v>
      </c>
      <c r="J54" s="505">
        <f t="shared" si="4"/>
        <v>-0.47534284544773503</v>
      </c>
    </row>
    <row r="55" spans="1:10">
      <c r="A55" s="450" t="s">
        <v>24</v>
      </c>
      <c r="B55" s="27">
        <f>折疊車!E55</f>
        <v>0</v>
      </c>
      <c r="C55" s="212">
        <v>0</v>
      </c>
      <c r="D55" s="508">
        <f t="shared" si="0"/>
        <v>0</v>
      </c>
      <c r="E55" s="529">
        <f>折疊車!G55</f>
        <v>0</v>
      </c>
      <c r="F55" s="212">
        <v>0</v>
      </c>
      <c r="G55" s="508">
        <f t="shared" si="1"/>
        <v>0</v>
      </c>
      <c r="H55" s="87">
        <f t="shared" si="5"/>
        <v>0</v>
      </c>
      <c r="I55" s="88">
        <f t="shared" si="6"/>
        <v>0</v>
      </c>
      <c r="J55" s="505">
        <f t="shared" si="4"/>
        <v>0</v>
      </c>
    </row>
    <row r="56" spans="1:10">
      <c r="A56" s="450" t="s">
        <v>227</v>
      </c>
      <c r="B56" s="27">
        <f>折疊車!E56</f>
        <v>2122</v>
      </c>
      <c r="C56" s="212">
        <f>VLOOKUP(A56,[13]進出口值表查詢結果!$A$2:$C$18,3,0)</f>
        <v>525</v>
      </c>
      <c r="D56" s="508">
        <f t="shared" si="0"/>
        <v>3.0419047619047621</v>
      </c>
      <c r="E56" s="529">
        <f>折疊車!G56</f>
        <v>1172081</v>
      </c>
      <c r="F56" s="212">
        <f>VLOOKUP(A56,[13]進出口值表查詢結果!$A$2:$C$18,2,0)</f>
        <v>472424</v>
      </c>
      <c r="G56" s="541">
        <f t="shared" si="1"/>
        <v>1.4809937683098233</v>
      </c>
      <c r="H56" s="87">
        <f t="shared" si="5"/>
        <v>552.34731385485395</v>
      </c>
      <c r="I56" s="88">
        <f t="shared" si="6"/>
        <v>899.85523809523806</v>
      </c>
      <c r="J56" s="505">
        <f t="shared" si="4"/>
        <v>-0.38618203187433675</v>
      </c>
    </row>
    <row r="57" spans="1:10">
      <c r="A57" s="452" t="s">
        <v>455</v>
      </c>
      <c r="B57" s="27">
        <f>折疊車!E57</f>
        <v>1318</v>
      </c>
      <c r="C57" s="212">
        <f>VLOOKUP(A57,[13]進出口值表查詢結果!$A$2:$C$18,3,0)</f>
        <v>1812</v>
      </c>
      <c r="D57" s="508">
        <f t="shared" si="0"/>
        <v>-0.27262693156732892</v>
      </c>
      <c r="E57" s="529">
        <f>折疊車!G57</f>
        <v>949815</v>
      </c>
      <c r="F57" s="212">
        <f>VLOOKUP(A57,[13]進出口值表查詢結果!$A$2:$C$18,2,0)</f>
        <v>1562992</v>
      </c>
      <c r="G57" s="541">
        <f t="shared" si="1"/>
        <v>-0.3923097495060755</v>
      </c>
      <c r="H57" s="87">
        <f t="shared" si="5"/>
        <v>720.64871016691961</v>
      </c>
      <c r="I57" s="88">
        <f t="shared" si="6"/>
        <v>862.57836644591612</v>
      </c>
      <c r="J57" s="505">
        <f t="shared" si="4"/>
        <v>-0.16454117306905069</v>
      </c>
    </row>
    <row r="58" spans="1:10">
      <c r="A58" s="294" t="s">
        <v>382</v>
      </c>
      <c r="B58" s="27">
        <f>折疊車!E58</f>
        <v>136</v>
      </c>
      <c r="C58" s="212">
        <f>VLOOKUP(A58,[13]進出口值表查詢結果!$A$2:$C$18,3,0)</f>
        <v>380</v>
      </c>
      <c r="D58" s="508">
        <f t="shared" si="0"/>
        <v>-0.64210526315789473</v>
      </c>
      <c r="E58" s="529">
        <f>折疊車!G58</f>
        <v>137217</v>
      </c>
      <c r="F58" s="212">
        <f>VLOOKUP(A58,[13]進出口值表查詢結果!$A$2:$C$18,2,0)</f>
        <v>380050</v>
      </c>
      <c r="G58" s="541">
        <f t="shared" si="1"/>
        <v>-0.63895013813971846</v>
      </c>
      <c r="H58" s="87">
        <f t="shared" si="5"/>
        <v>1008.9485294117648</v>
      </c>
      <c r="I58" s="88">
        <f t="shared" si="6"/>
        <v>1000.1315789473684</v>
      </c>
      <c r="J58" s="505">
        <f t="shared" si="4"/>
        <v>8.8157904919631599E-3</v>
      </c>
    </row>
    <row r="59" spans="1:10">
      <c r="A59" s="450" t="s">
        <v>25</v>
      </c>
      <c r="B59" s="27">
        <f>折疊車!E59</f>
        <v>420</v>
      </c>
      <c r="C59" s="212">
        <f>VLOOKUP(A59,[13]進出口值表查詢結果!$A$2:$C$18,3,0)</f>
        <v>440</v>
      </c>
      <c r="D59" s="508">
        <f t="shared" si="0"/>
        <v>-4.5454545454545456E-2</v>
      </c>
      <c r="E59" s="529">
        <f>折疊車!G59</f>
        <v>176030</v>
      </c>
      <c r="F59" s="212">
        <f>VLOOKUP(A59,[13]進出口值表查詢結果!$A$2:$C$18,2,0)</f>
        <v>139662</v>
      </c>
      <c r="G59" s="508">
        <f t="shared" si="1"/>
        <v>0.26040010883418541</v>
      </c>
      <c r="H59" s="87">
        <f t="shared" si="5"/>
        <v>419.11904761904759</v>
      </c>
      <c r="I59" s="88">
        <f t="shared" si="6"/>
        <v>317.41363636363639</v>
      </c>
      <c r="J59" s="505">
        <f t="shared" si="4"/>
        <v>0.32041916163581308</v>
      </c>
    </row>
    <row r="60" spans="1:10">
      <c r="A60" s="450" t="s">
        <v>26</v>
      </c>
      <c r="B60" s="27">
        <f>折疊車!E60</f>
        <v>0</v>
      </c>
      <c r="C60" s="212">
        <v>0</v>
      </c>
      <c r="D60" s="508">
        <f t="shared" si="0"/>
        <v>0</v>
      </c>
      <c r="E60" s="529">
        <f>折疊車!G60</f>
        <v>0</v>
      </c>
      <c r="F60" s="212">
        <v>0</v>
      </c>
      <c r="G60" s="508">
        <f t="shared" si="1"/>
        <v>0</v>
      </c>
      <c r="H60" s="87">
        <f t="shared" si="5"/>
        <v>0</v>
      </c>
      <c r="I60" s="88">
        <f t="shared" si="6"/>
        <v>0</v>
      </c>
      <c r="J60" s="505">
        <f t="shared" si="4"/>
        <v>0</v>
      </c>
    </row>
    <row r="61" spans="1:10">
      <c r="A61" s="450" t="s">
        <v>27</v>
      </c>
      <c r="B61" s="27">
        <f>折疊車!E61</f>
        <v>0</v>
      </c>
      <c r="C61" s="212">
        <v>0</v>
      </c>
      <c r="D61" s="508">
        <f t="shared" si="0"/>
        <v>0</v>
      </c>
      <c r="E61" s="529">
        <f>折疊車!G61</f>
        <v>0</v>
      </c>
      <c r="F61" s="212">
        <v>0</v>
      </c>
      <c r="G61" s="508">
        <f t="shared" si="1"/>
        <v>0</v>
      </c>
      <c r="H61" s="87">
        <f t="shared" si="5"/>
        <v>0</v>
      </c>
      <c r="I61" s="88">
        <f t="shared" si="6"/>
        <v>0</v>
      </c>
      <c r="J61" s="505">
        <f t="shared" si="4"/>
        <v>0</v>
      </c>
    </row>
    <row r="62" spans="1:10">
      <c r="A62" s="294" t="s">
        <v>228</v>
      </c>
      <c r="B62" s="27">
        <f>折疊車!E62</f>
        <v>0</v>
      </c>
      <c r="C62" s="212">
        <v>0</v>
      </c>
      <c r="D62" s="508">
        <f t="shared" si="0"/>
        <v>0</v>
      </c>
      <c r="E62" s="529">
        <f>折疊車!G62</f>
        <v>0</v>
      </c>
      <c r="F62" s="212">
        <v>0</v>
      </c>
      <c r="G62" s="508">
        <f t="shared" si="1"/>
        <v>0</v>
      </c>
      <c r="H62" s="87">
        <f t="shared" si="5"/>
        <v>0</v>
      </c>
      <c r="I62" s="88">
        <f t="shared" si="6"/>
        <v>0</v>
      </c>
      <c r="J62" s="505">
        <f t="shared" si="4"/>
        <v>0</v>
      </c>
    </row>
    <row r="63" spans="1:10">
      <c r="A63" s="450" t="s">
        <v>28</v>
      </c>
      <c r="B63" s="27">
        <f>折疊車!E63</f>
        <v>0</v>
      </c>
      <c r="C63" s="212">
        <v>0</v>
      </c>
      <c r="D63" s="508">
        <f t="shared" si="0"/>
        <v>0</v>
      </c>
      <c r="E63" s="529">
        <f>折疊車!G63</f>
        <v>0</v>
      </c>
      <c r="F63" s="212">
        <v>0</v>
      </c>
      <c r="G63" s="508">
        <f t="shared" si="1"/>
        <v>0</v>
      </c>
      <c r="H63" s="87">
        <f t="shared" si="5"/>
        <v>0</v>
      </c>
      <c r="I63" s="88">
        <f t="shared" si="6"/>
        <v>0</v>
      </c>
      <c r="J63" s="505">
        <f t="shared" si="4"/>
        <v>0</v>
      </c>
    </row>
    <row r="64" spans="1:10">
      <c r="A64" s="294" t="s">
        <v>229</v>
      </c>
      <c r="B64" s="27">
        <f>折疊車!E64</f>
        <v>0</v>
      </c>
      <c r="C64" s="212">
        <v>0</v>
      </c>
      <c r="D64" s="508">
        <f t="shared" si="0"/>
        <v>0</v>
      </c>
      <c r="E64" s="529">
        <f>折疊車!G64</f>
        <v>0</v>
      </c>
      <c r="F64" s="212">
        <v>0</v>
      </c>
      <c r="G64" s="508">
        <f t="shared" si="1"/>
        <v>0</v>
      </c>
      <c r="H64" s="87">
        <f t="shared" si="5"/>
        <v>0</v>
      </c>
      <c r="I64" s="88">
        <f t="shared" si="6"/>
        <v>0</v>
      </c>
      <c r="J64" s="505">
        <f t="shared" si="4"/>
        <v>0</v>
      </c>
    </row>
    <row r="65" spans="1:10">
      <c r="A65" s="450" t="s">
        <v>29</v>
      </c>
      <c r="B65" s="27">
        <f>折疊車!E65</f>
        <v>0</v>
      </c>
      <c r="C65" s="212">
        <f>VLOOKUP(A65,[13]進出口值表查詢結果!$A$2:$C$18,3,0)</f>
        <v>78</v>
      </c>
      <c r="D65" s="508">
        <f t="shared" si="0"/>
        <v>-1</v>
      </c>
      <c r="E65" s="529">
        <f>折疊車!G65</f>
        <v>0</v>
      </c>
      <c r="F65" s="212">
        <f>VLOOKUP(A65,[13]進出口值表查詢結果!$A$2:$C$18,2,0)</f>
        <v>99783</v>
      </c>
      <c r="G65" s="508">
        <f t="shared" si="1"/>
        <v>-1</v>
      </c>
      <c r="H65" s="87">
        <f t="shared" si="5"/>
        <v>0</v>
      </c>
      <c r="I65" s="88">
        <f t="shared" si="6"/>
        <v>1279.2692307692307</v>
      </c>
      <c r="J65" s="505">
        <f t="shared" si="4"/>
        <v>-1</v>
      </c>
    </row>
    <row r="66" spans="1:10">
      <c r="A66" s="294" t="s">
        <v>230</v>
      </c>
      <c r="B66" s="27">
        <f>折疊車!E66</f>
        <v>5</v>
      </c>
      <c r="C66" s="212">
        <v>0</v>
      </c>
      <c r="D66" s="508">
        <f t="shared" si="0"/>
        <v>0</v>
      </c>
      <c r="E66" s="529">
        <f>折疊車!G66</f>
        <v>261</v>
      </c>
      <c r="F66" s="212">
        <v>0</v>
      </c>
      <c r="G66" s="508">
        <f t="shared" si="1"/>
        <v>0</v>
      </c>
      <c r="H66" s="87">
        <f t="shared" si="5"/>
        <v>52.2</v>
      </c>
      <c r="I66" s="514">
        <f t="shared" si="6"/>
        <v>0</v>
      </c>
      <c r="J66" s="540">
        <f t="shared" si="4"/>
        <v>0</v>
      </c>
    </row>
    <row r="67" spans="1:10">
      <c r="A67" s="30" t="s">
        <v>30</v>
      </c>
      <c r="B67" s="27">
        <f>B68-B47-B41-B12-B7</f>
        <v>4</v>
      </c>
      <c r="C67" s="90">
        <f>C68-C47-C41-C12-C7</f>
        <v>302</v>
      </c>
      <c r="D67" s="508">
        <f t="shared" si="0"/>
        <v>-0.98675496688741726</v>
      </c>
      <c r="E67" s="529">
        <f>折疊車!G67</f>
        <v>1316</v>
      </c>
      <c r="F67" s="90">
        <f>F68-F47-F41-F12-F7</f>
        <v>173137</v>
      </c>
      <c r="G67" s="541">
        <f t="shared" si="1"/>
        <v>-0.99239908280725664</v>
      </c>
      <c r="H67" s="87">
        <f t="shared" si="5"/>
        <v>329</v>
      </c>
      <c r="I67" s="514">
        <f t="shared" si="6"/>
        <v>573.30132450331121</v>
      </c>
      <c r="J67" s="540">
        <f t="shared" si="4"/>
        <v>-0.42613075194787936</v>
      </c>
    </row>
    <row r="68" spans="1:10">
      <c r="A68" s="32" t="s">
        <v>400</v>
      </c>
      <c r="B68" s="33">
        <f>折疊車!E68</f>
        <v>5843</v>
      </c>
      <c r="C68" s="212">
        <f>VLOOKUP(A68,[13]進出口值表查詢結果!$A$2:$C$18,3,0)</f>
        <v>6186</v>
      </c>
      <c r="D68" s="508">
        <f t="shared" si="0"/>
        <v>-5.544778532169415E-2</v>
      </c>
      <c r="E68" s="529">
        <f>折疊車!G68</f>
        <v>3624571</v>
      </c>
      <c r="F68" s="212">
        <f>VLOOKUP(A68,[13]進出口值表查詢結果!$A$2:$C$18,2,0)</f>
        <v>4205906</v>
      </c>
      <c r="G68" s="541">
        <f t="shared" si="1"/>
        <v>-0.13821873337159699</v>
      </c>
      <c r="H68" s="87">
        <f t="shared" ref="H68" si="7">E68/B68</f>
        <v>620.32705801814132</v>
      </c>
      <c r="I68" s="514">
        <f>F68/C68</f>
        <v>679.90720982864536</v>
      </c>
      <c r="J68" s="540">
        <f t="shared" si="4"/>
        <v>-8.7629827937138402E-2</v>
      </c>
    </row>
    <row r="69" spans="1:10" ht="6" customHeight="1">
      <c r="A69" s="38"/>
      <c r="B69" s="39"/>
      <c r="C69" s="151"/>
      <c r="D69" s="213"/>
      <c r="E69" s="531"/>
      <c r="F69" s="151"/>
      <c r="G69" s="213"/>
    </row>
    <row r="70" spans="1:10" ht="12.75" customHeight="1">
      <c r="A70" s="55" t="s">
        <v>57</v>
      </c>
      <c r="B70" s="13"/>
      <c r="E70" s="532"/>
      <c r="G70" s="60" t="s">
        <v>119</v>
      </c>
    </row>
  </sheetData>
  <phoneticPr fontId="3" type="noConversion"/>
  <conditionalFormatting sqref="D4">
    <cfRule type="cellIs" dxfId="53" priority="3" operator="greaterThanOrEqual">
      <formula>0</formula>
    </cfRule>
    <cfRule type="cellIs" dxfId="52" priority="4" operator="lessThan">
      <formula>0</formula>
    </cfRule>
  </conditionalFormatting>
  <conditionalFormatting sqref="G4">
    <cfRule type="cellIs" dxfId="51" priority="1" operator="greaterThanOrEqual">
      <formula>0</formula>
    </cfRule>
    <cfRule type="cellIs" dxfId="50" priority="2" operator="lessThan">
      <formula>0</formula>
    </cfRule>
  </conditionalFormatting>
  <conditionalFormatting sqref="J1:J3 J6:J1048576">
    <cfRule type="cellIs" dxfId="49" priority="5" operator="greaterThanOrEqual">
      <formula>0</formula>
    </cfRule>
    <cfRule type="cellIs" dxfId="48" priority="6" operator="lessThan">
      <formula>0</formula>
    </cfRule>
  </conditionalFormatting>
  <pageMargins left="0.51181102362204722" right="0.51181102362204722" top="0.55118110236220474" bottom="0.35433070866141736" header="0.31496062992125984" footer="0.31496062992125984"/>
  <pageSetup paperSize="9" scale="6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4"/>
  <sheetViews>
    <sheetView zoomScaleNormal="100" workbookViewId="0">
      <selection activeCell="F14" sqref="F14"/>
    </sheetView>
  </sheetViews>
  <sheetFormatPr defaultRowHeight="16.5"/>
  <cols>
    <col min="1" max="1" width="7.125" style="5" customWidth="1"/>
    <col min="2" max="2" width="11.25" style="5" customWidth="1"/>
    <col min="3" max="3" width="13" style="306" customWidth="1"/>
    <col min="4" max="4" width="10.75" style="307" customWidth="1"/>
    <col min="5" max="5" width="14.625" style="5" customWidth="1"/>
    <col min="6" max="6" width="18.75" style="306" customWidth="1"/>
    <col min="7" max="7" width="11" style="307" customWidth="1"/>
    <col min="8" max="8" width="8.875" style="5"/>
    <col min="9" max="9" width="10.875" style="5" customWidth="1"/>
    <col min="10" max="10" width="12.125" style="5" customWidth="1"/>
    <col min="11" max="11" width="10.5" style="5" bestFit="1" customWidth="1"/>
    <col min="12" max="12" width="8.875" style="5"/>
    <col min="13" max="13" width="10.125" style="5" customWidth="1"/>
    <col min="14" max="14" width="10.625" style="5" bestFit="1" customWidth="1"/>
    <col min="15" max="250" width="8.875" style="5"/>
    <col min="251" max="251" width="7.125" style="5" customWidth="1"/>
    <col min="252" max="252" width="11.25" style="5" customWidth="1"/>
    <col min="253" max="253" width="13" style="5" customWidth="1"/>
    <col min="254" max="254" width="10.75" style="5" customWidth="1"/>
    <col min="255" max="255" width="14.625" style="5" customWidth="1"/>
    <col min="256" max="256" width="15.125" style="5" customWidth="1"/>
    <col min="257" max="257" width="11" style="5" customWidth="1"/>
    <col min="258" max="506" width="8.875" style="5"/>
    <col min="507" max="507" width="7.125" style="5" customWidth="1"/>
    <col min="508" max="508" width="11.25" style="5" customWidth="1"/>
    <col min="509" max="509" width="13" style="5" customWidth="1"/>
    <col min="510" max="510" width="10.75" style="5" customWidth="1"/>
    <col min="511" max="511" width="14.625" style="5" customWidth="1"/>
    <col min="512" max="512" width="15.125" style="5" customWidth="1"/>
    <col min="513" max="513" width="11" style="5" customWidth="1"/>
    <col min="514" max="762" width="8.875" style="5"/>
    <col min="763" max="763" width="7.125" style="5" customWidth="1"/>
    <col min="764" max="764" width="11.25" style="5" customWidth="1"/>
    <col min="765" max="765" width="13" style="5" customWidth="1"/>
    <col min="766" max="766" width="10.75" style="5" customWidth="1"/>
    <col min="767" max="767" width="14.625" style="5" customWidth="1"/>
    <col min="768" max="768" width="15.125" style="5" customWidth="1"/>
    <col min="769" max="769" width="11" style="5" customWidth="1"/>
    <col min="770" max="1018" width="8.875" style="5"/>
    <col min="1019" max="1019" width="7.125" style="5" customWidth="1"/>
    <col min="1020" max="1020" width="11.25" style="5" customWidth="1"/>
    <col min="1021" max="1021" width="13" style="5" customWidth="1"/>
    <col min="1022" max="1022" width="10.75" style="5" customWidth="1"/>
    <col min="1023" max="1023" width="14.625" style="5" customWidth="1"/>
    <col min="1024" max="1024" width="15.125" style="5" customWidth="1"/>
    <col min="1025" max="1025" width="11" style="5" customWidth="1"/>
    <col min="1026" max="1274" width="8.875" style="5"/>
    <col min="1275" max="1275" width="7.125" style="5" customWidth="1"/>
    <col min="1276" max="1276" width="11.25" style="5" customWidth="1"/>
    <col min="1277" max="1277" width="13" style="5" customWidth="1"/>
    <col min="1278" max="1278" width="10.75" style="5" customWidth="1"/>
    <col min="1279" max="1279" width="14.625" style="5" customWidth="1"/>
    <col min="1280" max="1280" width="15.125" style="5" customWidth="1"/>
    <col min="1281" max="1281" width="11" style="5" customWidth="1"/>
    <col min="1282" max="1530" width="8.875" style="5"/>
    <col min="1531" max="1531" width="7.125" style="5" customWidth="1"/>
    <col min="1532" max="1532" width="11.25" style="5" customWidth="1"/>
    <col min="1533" max="1533" width="13" style="5" customWidth="1"/>
    <col min="1534" max="1534" width="10.75" style="5" customWidth="1"/>
    <col min="1535" max="1535" width="14.625" style="5" customWidth="1"/>
    <col min="1536" max="1536" width="15.125" style="5" customWidth="1"/>
    <col min="1537" max="1537" width="11" style="5" customWidth="1"/>
    <col min="1538" max="1786" width="8.875" style="5"/>
    <col min="1787" max="1787" width="7.125" style="5" customWidth="1"/>
    <col min="1788" max="1788" width="11.25" style="5" customWidth="1"/>
    <col min="1789" max="1789" width="13" style="5" customWidth="1"/>
    <col min="1790" max="1790" width="10.75" style="5" customWidth="1"/>
    <col min="1791" max="1791" width="14.625" style="5" customWidth="1"/>
    <col min="1792" max="1792" width="15.125" style="5" customWidth="1"/>
    <col min="1793" max="1793" width="11" style="5" customWidth="1"/>
    <col min="1794" max="2042" width="8.875" style="5"/>
    <col min="2043" max="2043" width="7.125" style="5" customWidth="1"/>
    <col min="2044" max="2044" width="11.25" style="5" customWidth="1"/>
    <col min="2045" max="2045" width="13" style="5" customWidth="1"/>
    <col min="2046" max="2046" width="10.75" style="5" customWidth="1"/>
    <col min="2047" max="2047" width="14.625" style="5" customWidth="1"/>
    <col min="2048" max="2048" width="15.125" style="5" customWidth="1"/>
    <col min="2049" max="2049" width="11" style="5" customWidth="1"/>
    <col min="2050" max="2298" width="8.875" style="5"/>
    <col min="2299" max="2299" width="7.125" style="5" customWidth="1"/>
    <col min="2300" max="2300" width="11.25" style="5" customWidth="1"/>
    <col min="2301" max="2301" width="13" style="5" customWidth="1"/>
    <col min="2302" max="2302" width="10.75" style="5" customWidth="1"/>
    <col min="2303" max="2303" width="14.625" style="5" customWidth="1"/>
    <col min="2304" max="2304" width="15.125" style="5" customWidth="1"/>
    <col min="2305" max="2305" width="11" style="5" customWidth="1"/>
    <col min="2306" max="2554" width="8.875" style="5"/>
    <col min="2555" max="2555" width="7.125" style="5" customWidth="1"/>
    <col min="2556" max="2556" width="11.25" style="5" customWidth="1"/>
    <col min="2557" max="2557" width="13" style="5" customWidth="1"/>
    <col min="2558" max="2558" width="10.75" style="5" customWidth="1"/>
    <col min="2559" max="2559" width="14.625" style="5" customWidth="1"/>
    <col min="2560" max="2560" width="15.125" style="5" customWidth="1"/>
    <col min="2561" max="2561" width="11" style="5" customWidth="1"/>
    <col min="2562" max="2810" width="8.875" style="5"/>
    <col min="2811" max="2811" width="7.125" style="5" customWidth="1"/>
    <col min="2812" max="2812" width="11.25" style="5" customWidth="1"/>
    <col min="2813" max="2813" width="13" style="5" customWidth="1"/>
    <col min="2814" max="2814" width="10.75" style="5" customWidth="1"/>
    <col min="2815" max="2815" width="14.625" style="5" customWidth="1"/>
    <col min="2816" max="2816" width="15.125" style="5" customWidth="1"/>
    <col min="2817" max="2817" width="11" style="5" customWidth="1"/>
    <col min="2818" max="3066" width="8.875" style="5"/>
    <col min="3067" max="3067" width="7.125" style="5" customWidth="1"/>
    <col min="3068" max="3068" width="11.25" style="5" customWidth="1"/>
    <col min="3069" max="3069" width="13" style="5" customWidth="1"/>
    <col min="3070" max="3070" width="10.75" style="5" customWidth="1"/>
    <col min="3071" max="3071" width="14.625" style="5" customWidth="1"/>
    <col min="3072" max="3072" width="15.125" style="5" customWidth="1"/>
    <col min="3073" max="3073" width="11" style="5" customWidth="1"/>
    <col min="3074" max="3322" width="8.875" style="5"/>
    <col min="3323" max="3323" width="7.125" style="5" customWidth="1"/>
    <col min="3324" max="3324" width="11.25" style="5" customWidth="1"/>
    <col min="3325" max="3325" width="13" style="5" customWidth="1"/>
    <col min="3326" max="3326" width="10.75" style="5" customWidth="1"/>
    <col min="3327" max="3327" width="14.625" style="5" customWidth="1"/>
    <col min="3328" max="3328" width="15.125" style="5" customWidth="1"/>
    <col min="3329" max="3329" width="11" style="5" customWidth="1"/>
    <col min="3330" max="3578" width="8.875" style="5"/>
    <col min="3579" max="3579" width="7.125" style="5" customWidth="1"/>
    <col min="3580" max="3580" width="11.25" style="5" customWidth="1"/>
    <col min="3581" max="3581" width="13" style="5" customWidth="1"/>
    <col min="3582" max="3582" width="10.75" style="5" customWidth="1"/>
    <col min="3583" max="3583" width="14.625" style="5" customWidth="1"/>
    <col min="3584" max="3584" width="15.125" style="5" customWidth="1"/>
    <col min="3585" max="3585" width="11" style="5" customWidth="1"/>
    <col min="3586" max="3834" width="8.875" style="5"/>
    <col min="3835" max="3835" width="7.125" style="5" customWidth="1"/>
    <col min="3836" max="3836" width="11.25" style="5" customWidth="1"/>
    <col min="3837" max="3837" width="13" style="5" customWidth="1"/>
    <col min="3838" max="3838" width="10.75" style="5" customWidth="1"/>
    <col min="3839" max="3839" width="14.625" style="5" customWidth="1"/>
    <col min="3840" max="3840" width="15.125" style="5" customWidth="1"/>
    <col min="3841" max="3841" width="11" style="5" customWidth="1"/>
    <col min="3842" max="4090" width="8.875" style="5"/>
    <col min="4091" max="4091" width="7.125" style="5" customWidth="1"/>
    <col min="4092" max="4092" width="11.25" style="5" customWidth="1"/>
    <col min="4093" max="4093" width="13" style="5" customWidth="1"/>
    <col min="4094" max="4094" width="10.75" style="5" customWidth="1"/>
    <col min="4095" max="4095" width="14.625" style="5" customWidth="1"/>
    <col min="4096" max="4096" width="15.125" style="5" customWidth="1"/>
    <col min="4097" max="4097" width="11" style="5" customWidth="1"/>
    <col min="4098" max="4346" width="8.875" style="5"/>
    <col min="4347" max="4347" width="7.125" style="5" customWidth="1"/>
    <col min="4348" max="4348" width="11.25" style="5" customWidth="1"/>
    <col min="4349" max="4349" width="13" style="5" customWidth="1"/>
    <col min="4350" max="4350" width="10.75" style="5" customWidth="1"/>
    <col min="4351" max="4351" width="14.625" style="5" customWidth="1"/>
    <col min="4352" max="4352" width="15.125" style="5" customWidth="1"/>
    <col min="4353" max="4353" width="11" style="5" customWidth="1"/>
    <col min="4354" max="4602" width="8.875" style="5"/>
    <col min="4603" max="4603" width="7.125" style="5" customWidth="1"/>
    <col min="4604" max="4604" width="11.25" style="5" customWidth="1"/>
    <col min="4605" max="4605" width="13" style="5" customWidth="1"/>
    <col min="4606" max="4606" width="10.75" style="5" customWidth="1"/>
    <col min="4607" max="4607" width="14.625" style="5" customWidth="1"/>
    <col min="4608" max="4608" width="15.125" style="5" customWidth="1"/>
    <col min="4609" max="4609" width="11" style="5" customWidth="1"/>
    <col min="4610" max="4858" width="8.875" style="5"/>
    <col min="4859" max="4859" width="7.125" style="5" customWidth="1"/>
    <col min="4860" max="4860" width="11.25" style="5" customWidth="1"/>
    <col min="4861" max="4861" width="13" style="5" customWidth="1"/>
    <col min="4862" max="4862" width="10.75" style="5" customWidth="1"/>
    <col min="4863" max="4863" width="14.625" style="5" customWidth="1"/>
    <col min="4864" max="4864" width="15.125" style="5" customWidth="1"/>
    <col min="4865" max="4865" width="11" style="5" customWidth="1"/>
    <col min="4866" max="5114" width="8.875" style="5"/>
    <col min="5115" max="5115" width="7.125" style="5" customWidth="1"/>
    <col min="5116" max="5116" width="11.25" style="5" customWidth="1"/>
    <col min="5117" max="5117" width="13" style="5" customWidth="1"/>
    <col min="5118" max="5118" width="10.75" style="5" customWidth="1"/>
    <col min="5119" max="5119" width="14.625" style="5" customWidth="1"/>
    <col min="5120" max="5120" width="15.125" style="5" customWidth="1"/>
    <col min="5121" max="5121" width="11" style="5" customWidth="1"/>
    <col min="5122" max="5370" width="8.875" style="5"/>
    <col min="5371" max="5371" width="7.125" style="5" customWidth="1"/>
    <col min="5372" max="5372" width="11.25" style="5" customWidth="1"/>
    <col min="5373" max="5373" width="13" style="5" customWidth="1"/>
    <col min="5374" max="5374" width="10.75" style="5" customWidth="1"/>
    <col min="5375" max="5375" width="14.625" style="5" customWidth="1"/>
    <col min="5376" max="5376" width="15.125" style="5" customWidth="1"/>
    <col min="5377" max="5377" width="11" style="5" customWidth="1"/>
    <col min="5378" max="5626" width="8.875" style="5"/>
    <col min="5627" max="5627" width="7.125" style="5" customWidth="1"/>
    <col min="5628" max="5628" width="11.25" style="5" customWidth="1"/>
    <col min="5629" max="5629" width="13" style="5" customWidth="1"/>
    <col min="5630" max="5630" width="10.75" style="5" customWidth="1"/>
    <col min="5631" max="5631" width="14.625" style="5" customWidth="1"/>
    <col min="5632" max="5632" width="15.125" style="5" customWidth="1"/>
    <col min="5633" max="5633" width="11" style="5" customWidth="1"/>
    <col min="5634" max="5882" width="8.875" style="5"/>
    <col min="5883" max="5883" width="7.125" style="5" customWidth="1"/>
    <col min="5884" max="5884" width="11.25" style="5" customWidth="1"/>
    <col min="5885" max="5885" width="13" style="5" customWidth="1"/>
    <col min="5886" max="5886" width="10.75" style="5" customWidth="1"/>
    <col min="5887" max="5887" width="14.625" style="5" customWidth="1"/>
    <col min="5888" max="5888" width="15.125" style="5" customWidth="1"/>
    <col min="5889" max="5889" width="11" style="5" customWidth="1"/>
    <col min="5890" max="6138" width="8.875" style="5"/>
    <col min="6139" max="6139" width="7.125" style="5" customWidth="1"/>
    <col min="6140" max="6140" width="11.25" style="5" customWidth="1"/>
    <col min="6141" max="6141" width="13" style="5" customWidth="1"/>
    <col min="6142" max="6142" width="10.75" style="5" customWidth="1"/>
    <col min="6143" max="6143" width="14.625" style="5" customWidth="1"/>
    <col min="6144" max="6144" width="15.125" style="5" customWidth="1"/>
    <col min="6145" max="6145" width="11" style="5" customWidth="1"/>
    <col min="6146" max="6394" width="8.875" style="5"/>
    <col min="6395" max="6395" width="7.125" style="5" customWidth="1"/>
    <col min="6396" max="6396" width="11.25" style="5" customWidth="1"/>
    <col min="6397" max="6397" width="13" style="5" customWidth="1"/>
    <col min="6398" max="6398" width="10.75" style="5" customWidth="1"/>
    <col min="6399" max="6399" width="14.625" style="5" customWidth="1"/>
    <col min="6400" max="6400" width="15.125" style="5" customWidth="1"/>
    <col min="6401" max="6401" width="11" style="5" customWidth="1"/>
    <col min="6402" max="6650" width="8.875" style="5"/>
    <col min="6651" max="6651" width="7.125" style="5" customWidth="1"/>
    <col min="6652" max="6652" width="11.25" style="5" customWidth="1"/>
    <col min="6653" max="6653" width="13" style="5" customWidth="1"/>
    <col min="6654" max="6654" width="10.75" style="5" customWidth="1"/>
    <col min="6655" max="6655" width="14.625" style="5" customWidth="1"/>
    <col min="6656" max="6656" width="15.125" style="5" customWidth="1"/>
    <col min="6657" max="6657" width="11" style="5" customWidth="1"/>
    <col min="6658" max="6906" width="8.875" style="5"/>
    <col min="6907" max="6907" width="7.125" style="5" customWidth="1"/>
    <col min="6908" max="6908" width="11.25" style="5" customWidth="1"/>
    <col min="6909" max="6909" width="13" style="5" customWidth="1"/>
    <col min="6910" max="6910" width="10.75" style="5" customWidth="1"/>
    <col min="6911" max="6911" width="14.625" style="5" customWidth="1"/>
    <col min="6912" max="6912" width="15.125" style="5" customWidth="1"/>
    <col min="6913" max="6913" width="11" style="5" customWidth="1"/>
    <col min="6914" max="7162" width="8.875" style="5"/>
    <col min="7163" max="7163" width="7.125" style="5" customWidth="1"/>
    <col min="7164" max="7164" width="11.25" style="5" customWidth="1"/>
    <col min="7165" max="7165" width="13" style="5" customWidth="1"/>
    <col min="7166" max="7166" width="10.75" style="5" customWidth="1"/>
    <col min="7167" max="7167" width="14.625" style="5" customWidth="1"/>
    <col min="7168" max="7168" width="15.125" style="5" customWidth="1"/>
    <col min="7169" max="7169" width="11" style="5" customWidth="1"/>
    <col min="7170" max="7418" width="8.875" style="5"/>
    <col min="7419" max="7419" width="7.125" style="5" customWidth="1"/>
    <col min="7420" max="7420" width="11.25" style="5" customWidth="1"/>
    <col min="7421" max="7421" width="13" style="5" customWidth="1"/>
    <col min="7422" max="7422" width="10.75" style="5" customWidth="1"/>
    <col min="7423" max="7423" width="14.625" style="5" customWidth="1"/>
    <col min="7424" max="7424" width="15.125" style="5" customWidth="1"/>
    <col min="7425" max="7425" width="11" style="5" customWidth="1"/>
    <col min="7426" max="7674" width="8.875" style="5"/>
    <col min="7675" max="7675" width="7.125" style="5" customWidth="1"/>
    <col min="7676" max="7676" width="11.25" style="5" customWidth="1"/>
    <col min="7677" max="7677" width="13" style="5" customWidth="1"/>
    <col min="7678" max="7678" width="10.75" style="5" customWidth="1"/>
    <col min="7679" max="7679" width="14.625" style="5" customWidth="1"/>
    <col min="7680" max="7680" width="15.125" style="5" customWidth="1"/>
    <col min="7681" max="7681" width="11" style="5" customWidth="1"/>
    <col min="7682" max="7930" width="8.875" style="5"/>
    <col min="7931" max="7931" width="7.125" style="5" customWidth="1"/>
    <col min="7932" max="7932" width="11.25" style="5" customWidth="1"/>
    <col min="7933" max="7933" width="13" style="5" customWidth="1"/>
    <col min="7934" max="7934" width="10.75" style="5" customWidth="1"/>
    <col min="7935" max="7935" width="14.625" style="5" customWidth="1"/>
    <col min="7936" max="7936" width="15.125" style="5" customWidth="1"/>
    <col min="7937" max="7937" width="11" style="5" customWidth="1"/>
    <col min="7938" max="8186" width="8.875" style="5"/>
    <col min="8187" max="8187" width="7.125" style="5" customWidth="1"/>
    <col min="8188" max="8188" width="11.25" style="5" customWidth="1"/>
    <col min="8189" max="8189" width="13" style="5" customWidth="1"/>
    <col min="8190" max="8190" width="10.75" style="5" customWidth="1"/>
    <col min="8191" max="8191" width="14.625" style="5" customWidth="1"/>
    <col min="8192" max="8192" width="15.125" style="5" customWidth="1"/>
    <col min="8193" max="8193" width="11" style="5" customWidth="1"/>
    <col min="8194" max="8442" width="8.875" style="5"/>
    <col min="8443" max="8443" width="7.125" style="5" customWidth="1"/>
    <col min="8444" max="8444" width="11.25" style="5" customWidth="1"/>
    <col min="8445" max="8445" width="13" style="5" customWidth="1"/>
    <col min="8446" max="8446" width="10.75" style="5" customWidth="1"/>
    <col min="8447" max="8447" width="14.625" style="5" customWidth="1"/>
    <col min="8448" max="8448" width="15.125" style="5" customWidth="1"/>
    <col min="8449" max="8449" width="11" style="5" customWidth="1"/>
    <col min="8450" max="8698" width="8.875" style="5"/>
    <col min="8699" max="8699" width="7.125" style="5" customWidth="1"/>
    <col min="8700" max="8700" width="11.25" style="5" customWidth="1"/>
    <col min="8701" max="8701" width="13" style="5" customWidth="1"/>
    <col min="8702" max="8702" width="10.75" style="5" customWidth="1"/>
    <col min="8703" max="8703" width="14.625" style="5" customWidth="1"/>
    <col min="8704" max="8704" width="15.125" style="5" customWidth="1"/>
    <col min="8705" max="8705" width="11" style="5" customWidth="1"/>
    <col min="8706" max="8954" width="8.875" style="5"/>
    <col min="8955" max="8955" width="7.125" style="5" customWidth="1"/>
    <col min="8956" max="8956" width="11.25" style="5" customWidth="1"/>
    <col min="8957" max="8957" width="13" style="5" customWidth="1"/>
    <col min="8958" max="8958" width="10.75" style="5" customWidth="1"/>
    <col min="8959" max="8959" width="14.625" style="5" customWidth="1"/>
    <col min="8960" max="8960" width="15.125" style="5" customWidth="1"/>
    <col min="8961" max="8961" width="11" style="5" customWidth="1"/>
    <col min="8962" max="9210" width="8.875" style="5"/>
    <col min="9211" max="9211" width="7.125" style="5" customWidth="1"/>
    <col min="9212" max="9212" width="11.25" style="5" customWidth="1"/>
    <col min="9213" max="9213" width="13" style="5" customWidth="1"/>
    <col min="9214" max="9214" width="10.75" style="5" customWidth="1"/>
    <col min="9215" max="9215" width="14.625" style="5" customWidth="1"/>
    <col min="9216" max="9216" width="15.125" style="5" customWidth="1"/>
    <col min="9217" max="9217" width="11" style="5" customWidth="1"/>
    <col min="9218" max="9466" width="8.875" style="5"/>
    <col min="9467" max="9467" width="7.125" style="5" customWidth="1"/>
    <col min="9468" max="9468" width="11.25" style="5" customWidth="1"/>
    <col min="9469" max="9469" width="13" style="5" customWidth="1"/>
    <col min="9470" max="9470" width="10.75" style="5" customWidth="1"/>
    <col min="9471" max="9471" width="14.625" style="5" customWidth="1"/>
    <col min="9472" max="9472" width="15.125" style="5" customWidth="1"/>
    <col min="9473" max="9473" width="11" style="5" customWidth="1"/>
    <col min="9474" max="9722" width="8.875" style="5"/>
    <col min="9723" max="9723" width="7.125" style="5" customWidth="1"/>
    <col min="9724" max="9724" width="11.25" style="5" customWidth="1"/>
    <col min="9725" max="9725" width="13" style="5" customWidth="1"/>
    <col min="9726" max="9726" width="10.75" style="5" customWidth="1"/>
    <col min="9727" max="9727" width="14.625" style="5" customWidth="1"/>
    <col min="9728" max="9728" width="15.125" style="5" customWidth="1"/>
    <col min="9729" max="9729" width="11" style="5" customWidth="1"/>
    <col min="9730" max="9978" width="8.875" style="5"/>
    <col min="9979" max="9979" width="7.125" style="5" customWidth="1"/>
    <col min="9980" max="9980" width="11.25" style="5" customWidth="1"/>
    <col min="9981" max="9981" width="13" style="5" customWidth="1"/>
    <col min="9982" max="9982" width="10.75" style="5" customWidth="1"/>
    <col min="9983" max="9983" width="14.625" style="5" customWidth="1"/>
    <col min="9984" max="9984" width="15.125" style="5" customWidth="1"/>
    <col min="9985" max="9985" width="11" style="5" customWidth="1"/>
    <col min="9986" max="10234" width="8.875" style="5"/>
    <col min="10235" max="10235" width="7.125" style="5" customWidth="1"/>
    <col min="10236" max="10236" width="11.25" style="5" customWidth="1"/>
    <col min="10237" max="10237" width="13" style="5" customWidth="1"/>
    <col min="10238" max="10238" width="10.75" style="5" customWidth="1"/>
    <col min="10239" max="10239" width="14.625" style="5" customWidth="1"/>
    <col min="10240" max="10240" width="15.125" style="5" customWidth="1"/>
    <col min="10241" max="10241" width="11" style="5" customWidth="1"/>
    <col min="10242" max="10490" width="8.875" style="5"/>
    <col min="10491" max="10491" width="7.125" style="5" customWidth="1"/>
    <col min="10492" max="10492" width="11.25" style="5" customWidth="1"/>
    <col min="10493" max="10493" width="13" style="5" customWidth="1"/>
    <col min="10494" max="10494" width="10.75" style="5" customWidth="1"/>
    <col min="10495" max="10495" width="14.625" style="5" customWidth="1"/>
    <col min="10496" max="10496" width="15.125" style="5" customWidth="1"/>
    <col min="10497" max="10497" width="11" style="5" customWidth="1"/>
    <col min="10498" max="10746" width="8.875" style="5"/>
    <col min="10747" max="10747" width="7.125" style="5" customWidth="1"/>
    <col min="10748" max="10748" width="11.25" style="5" customWidth="1"/>
    <col min="10749" max="10749" width="13" style="5" customWidth="1"/>
    <col min="10750" max="10750" width="10.75" style="5" customWidth="1"/>
    <col min="10751" max="10751" width="14.625" style="5" customWidth="1"/>
    <col min="10752" max="10752" width="15.125" style="5" customWidth="1"/>
    <col min="10753" max="10753" width="11" style="5" customWidth="1"/>
    <col min="10754" max="11002" width="8.875" style="5"/>
    <col min="11003" max="11003" width="7.125" style="5" customWidth="1"/>
    <col min="11004" max="11004" width="11.25" style="5" customWidth="1"/>
    <col min="11005" max="11005" width="13" style="5" customWidth="1"/>
    <col min="11006" max="11006" width="10.75" style="5" customWidth="1"/>
    <col min="11007" max="11007" width="14.625" style="5" customWidth="1"/>
    <col min="11008" max="11008" width="15.125" style="5" customWidth="1"/>
    <col min="11009" max="11009" width="11" style="5" customWidth="1"/>
    <col min="11010" max="11258" width="8.875" style="5"/>
    <col min="11259" max="11259" width="7.125" style="5" customWidth="1"/>
    <col min="11260" max="11260" width="11.25" style="5" customWidth="1"/>
    <col min="11261" max="11261" width="13" style="5" customWidth="1"/>
    <col min="11262" max="11262" width="10.75" style="5" customWidth="1"/>
    <col min="11263" max="11263" width="14.625" style="5" customWidth="1"/>
    <col min="11264" max="11264" width="15.125" style="5" customWidth="1"/>
    <col min="11265" max="11265" width="11" style="5" customWidth="1"/>
    <col min="11266" max="11514" width="8.875" style="5"/>
    <col min="11515" max="11515" width="7.125" style="5" customWidth="1"/>
    <col min="11516" max="11516" width="11.25" style="5" customWidth="1"/>
    <col min="11517" max="11517" width="13" style="5" customWidth="1"/>
    <col min="11518" max="11518" width="10.75" style="5" customWidth="1"/>
    <col min="11519" max="11519" width="14.625" style="5" customWidth="1"/>
    <col min="11520" max="11520" width="15.125" style="5" customWidth="1"/>
    <col min="11521" max="11521" width="11" style="5" customWidth="1"/>
    <col min="11522" max="11770" width="8.875" style="5"/>
    <col min="11771" max="11771" width="7.125" style="5" customWidth="1"/>
    <col min="11772" max="11772" width="11.25" style="5" customWidth="1"/>
    <col min="11773" max="11773" width="13" style="5" customWidth="1"/>
    <col min="11774" max="11774" width="10.75" style="5" customWidth="1"/>
    <col min="11775" max="11775" width="14.625" style="5" customWidth="1"/>
    <col min="11776" max="11776" width="15.125" style="5" customWidth="1"/>
    <col min="11777" max="11777" width="11" style="5" customWidth="1"/>
    <col min="11778" max="12026" width="8.875" style="5"/>
    <col min="12027" max="12027" width="7.125" style="5" customWidth="1"/>
    <col min="12028" max="12028" width="11.25" style="5" customWidth="1"/>
    <col min="12029" max="12029" width="13" style="5" customWidth="1"/>
    <col min="12030" max="12030" width="10.75" style="5" customWidth="1"/>
    <col min="12031" max="12031" width="14.625" style="5" customWidth="1"/>
    <col min="12032" max="12032" width="15.125" style="5" customWidth="1"/>
    <col min="12033" max="12033" width="11" style="5" customWidth="1"/>
    <col min="12034" max="12282" width="8.875" style="5"/>
    <col min="12283" max="12283" width="7.125" style="5" customWidth="1"/>
    <col min="12284" max="12284" width="11.25" style="5" customWidth="1"/>
    <col min="12285" max="12285" width="13" style="5" customWidth="1"/>
    <col min="12286" max="12286" width="10.75" style="5" customWidth="1"/>
    <col min="12287" max="12287" width="14.625" style="5" customWidth="1"/>
    <col min="12288" max="12288" width="15.125" style="5" customWidth="1"/>
    <col min="12289" max="12289" width="11" style="5" customWidth="1"/>
    <col min="12290" max="12538" width="8.875" style="5"/>
    <col min="12539" max="12539" width="7.125" style="5" customWidth="1"/>
    <col min="12540" max="12540" width="11.25" style="5" customWidth="1"/>
    <col min="12541" max="12541" width="13" style="5" customWidth="1"/>
    <col min="12542" max="12542" width="10.75" style="5" customWidth="1"/>
    <col min="12543" max="12543" width="14.625" style="5" customWidth="1"/>
    <col min="12544" max="12544" width="15.125" style="5" customWidth="1"/>
    <col min="12545" max="12545" width="11" style="5" customWidth="1"/>
    <col min="12546" max="12794" width="8.875" style="5"/>
    <col min="12795" max="12795" width="7.125" style="5" customWidth="1"/>
    <col min="12796" max="12796" width="11.25" style="5" customWidth="1"/>
    <col min="12797" max="12797" width="13" style="5" customWidth="1"/>
    <col min="12798" max="12798" width="10.75" style="5" customWidth="1"/>
    <col min="12799" max="12799" width="14.625" style="5" customWidth="1"/>
    <col min="12800" max="12800" width="15.125" style="5" customWidth="1"/>
    <col min="12801" max="12801" width="11" style="5" customWidth="1"/>
    <col min="12802" max="13050" width="8.875" style="5"/>
    <col min="13051" max="13051" width="7.125" style="5" customWidth="1"/>
    <col min="13052" max="13052" width="11.25" style="5" customWidth="1"/>
    <col min="13053" max="13053" width="13" style="5" customWidth="1"/>
    <col min="13054" max="13054" width="10.75" style="5" customWidth="1"/>
    <col min="13055" max="13055" width="14.625" style="5" customWidth="1"/>
    <col min="13056" max="13056" width="15.125" style="5" customWidth="1"/>
    <col min="13057" max="13057" width="11" style="5" customWidth="1"/>
    <col min="13058" max="13306" width="8.875" style="5"/>
    <col min="13307" max="13307" width="7.125" style="5" customWidth="1"/>
    <col min="13308" max="13308" width="11.25" style="5" customWidth="1"/>
    <col min="13309" max="13309" width="13" style="5" customWidth="1"/>
    <col min="13310" max="13310" width="10.75" style="5" customWidth="1"/>
    <col min="13311" max="13311" width="14.625" style="5" customWidth="1"/>
    <col min="13312" max="13312" width="15.125" style="5" customWidth="1"/>
    <col min="13313" max="13313" width="11" style="5" customWidth="1"/>
    <col min="13314" max="13562" width="8.875" style="5"/>
    <col min="13563" max="13563" width="7.125" style="5" customWidth="1"/>
    <col min="13564" max="13564" width="11.25" style="5" customWidth="1"/>
    <col min="13565" max="13565" width="13" style="5" customWidth="1"/>
    <col min="13566" max="13566" width="10.75" style="5" customWidth="1"/>
    <col min="13567" max="13567" width="14.625" style="5" customWidth="1"/>
    <col min="13568" max="13568" width="15.125" style="5" customWidth="1"/>
    <col min="13569" max="13569" width="11" style="5" customWidth="1"/>
    <col min="13570" max="13818" width="8.875" style="5"/>
    <col min="13819" max="13819" width="7.125" style="5" customWidth="1"/>
    <col min="13820" max="13820" width="11.25" style="5" customWidth="1"/>
    <col min="13821" max="13821" width="13" style="5" customWidth="1"/>
    <col min="13822" max="13822" width="10.75" style="5" customWidth="1"/>
    <col min="13823" max="13823" width="14.625" style="5" customWidth="1"/>
    <col min="13824" max="13824" width="15.125" style="5" customWidth="1"/>
    <col min="13825" max="13825" width="11" style="5" customWidth="1"/>
    <col min="13826" max="14074" width="8.875" style="5"/>
    <col min="14075" max="14075" width="7.125" style="5" customWidth="1"/>
    <col min="14076" max="14076" width="11.25" style="5" customWidth="1"/>
    <col min="14077" max="14077" width="13" style="5" customWidth="1"/>
    <col min="14078" max="14078" width="10.75" style="5" customWidth="1"/>
    <col min="14079" max="14079" width="14.625" style="5" customWidth="1"/>
    <col min="14080" max="14080" width="15.125" style="5" customWidth="1"/>
    <col min="14081" max="14081" width="11" style="5" customWidth="1"/>
    <col min="14082" max="14330" width="8.875" style="5"/>
    <col min="14331" max="14331" width="7.125" style="5" customWidth="1"/>
    <col min="14332" max="14332" width="11.25" style="5" customWidth="1"/>
    <col min="14333" max="14333" width="13" style="5" customWidth="1"/>
    <col min="14334" max="14334" width="10.75" style="5" customWidth="1"/>
    <col min="14335" max="14335" width="14.625" style="5" customWidth="1"/>
    <col min="14336" max="14336" width="15.125" style="5" customWidth="1"/>
    <col min="14337" max="14337" width="11" style="5" customWidth="1"/>
    <col min="14338" max="14586" width="8.875" style="5"/>
    <col min="14587" max="14587" width="7.125" style="5" customWidth="1"/>
    <col min="14588" max="14588" width="11.25" style="5" customWidth="1"/>
    <col min="14589" max="14589" width="13" style="5" customWidth="1"/>
    <col min="14590" max="14590" width="10.75" style="5" customWidth="1"/>
    <col min="14591" max="14591" width="14.625" style="5" customWidth="1"/>
    <col min="14592" max="14592" width="15.125" style="5" customWidth="1"/>
    <col min="14593" max="14593" width="11" style="5" customWidth="1"/>
    <col min="14594" max="14842" width="8.875" style="5"/>
    <col min="14843" max="14843" width="7.125" style="5" customWidth="1"/>
    <col min="14844" max="14844" width="11.25" style="5" customWidth="1"/>
    <col min="14845" max="14845" width="13" style="5" customWidth="1"/>
    <col min="14846" max="14846" width="10.75" style="5" customWidth="1"/>
    <col min="14847" max="14847" width="14.625" style="5" customWidth="1"/>
    <col min="14848" max="14848" width="15.125" style="5" customWidth="1"/>
    <col min="14849" max="14849" width="11" style="5" customWidth="1"/>
    <col min="14850" max="15098" width="8.875" style="5"/>
    <col min="15099" max="15099" width="7.125" style="5" customWidth="1"/>
    <col min="15100" max="15100" width="11.25" style="5" customWidth="1"/>
    <col min="15101" max="15101" width="13" style="5" customWidth="1"/>
    <col min="15102" max="15102" width="10.75" style="5" customWidth="1"/>
    <col min="15103" max="15103" width="14.625" style="5" customWidth="1"/>
    <col min="15104" max="15104" width="15.125" style="5" customWidth="1"/>
    <col min="15105" max="15105" width="11" style="5" customWidth="1"/>
    <col min="15106" max="15354" width="8.875" style="5"/>
    <col min="15355" max="15355" width="7.125" style="5" customWidth="1"/>
    <col min="15356" max="15356" width="11.25" style="5" customWidth="1"/>
    <col min="15357" max="15357" width="13" style="5" customWidth="1"/>
    <col min="15358" max="15358" width="10.75" style="5" customWidth="1"/>
    <col min="15359" max="15359" width="14.625" style="5" customWidth="1"/>
    <col min="15360" max="15360" width="15.125" style="5" customWidth="1"/>
    <col min="15361" max="15361" width="11" style="5" customWidth="1"/>
    <col min="15362" max="15610" width="8.875" style="5"/>
    <col min="15611" max="15611" width="7.125" style="5" customWidth="1"/>
    <col min="15612" max="15612" width="11.25" style="5" customWidth="1"/>
    <col min="15613" max="15613" width="13" style="5" customWidth="1"/>
    <col min="15614" max="15614" width="10.75" style="5" customWidth="1"/>
    <col min="15615" max="15615" width="14.625" style="5" customWidth="1"/>
    <col min="15616" max="15616" width="15.125" style="5" customWidth="1"/>
    <col min="15617" max="15617" width="11" style="5" customWidth="1"/>
    <col min="15618" max="15866" width="8.875" style="5"/>
    <col min="15867" max="15867" width="7.125" style="5" customWidth="1"/>
    <col min="15868" max="15868" width="11.25" style="5" customWidth="1"/>
    <col min="15869" max="15869" width="13" style="5" customWidth="1"/>
    <col min="15870" max="15870" width="10.75" style="5" customWidth="1"/>
    <col min="15871" max="15871" width="14.625" style="5" customWidth="1"/>
    <col min="15872" max="15872" width="15.125" style="5" customWidth="1"/>
    <col min="15873" max="15873" width="11" style="5" customWidth="1"/>
    <col min="15874" max="16122" width="8.875" style="5"/>
    <col min="16123" max="16123" width="7.125" style="5" customWidth="1"/>
    <col min="16124" max="16124" width="11.25" style="5" customWidth="1"/>
    <col min="16125" max="16125" width="13" style="5" customWidth="1"/>
    <col min="16126" max="16126" width="10.75" style="5" customWidth="1"/>
    <col min="16127" max="16127" width="14.625" style="5" customWidth="1"/>
    <col min="16128" max="16128" width="15.125" style="5" customWidth="1"/>
    <col min="16129" max="16129" width="11" style="5" customWidth="1"/>
    <col min="16130" max="16384" width="8.875" style="5"/>
  </cols>
  <sheetData>
    <row r="1" spans="1:16" ht="19.5">
      <c r="A1" s="1" t="s">
        <v>498</v>
      </c>
      <c r="B1" s="129"/>
      <c r="C1" s="304"/>
      <c r="D1" s="305"/>
      <c r="E1" s="129"/>
      <c r="F1" s="304"/>
      <c r="G1" s="305"/>
      <c r="I1"/>
      <c r="J1"/>
      <c r="K1"/>
      <c r="L1"/>
      <c r="M1"/>
      <c r="N1"/>
      <c r="O1"/>
      <c r="P1"/>
    </row>
    <row r="2" spans="1:16">
      <c r="I2"/>
      <c r="J2"/>
      <c r="K2"/>
      <c r="L2"/>
      <c r="M2"/>
      <c r="N2"/>
      <c r="O2"/>
      <c r="P2"/>
    </row>
    <row r="3" spans="1:16" s="122" customFormat="1" ht="18" customHeight="1">
      <c r="A3" s="132" t="s">
        <v>419</v>
      </c>
      <c r="B3" s="133"/>
      <c r="C3" s="134"/>
      <c r="D3" s="135"/>
      <c r="E3" s="133"/>
      <c r="F3" s="136"/>
      <c r="G3" s="137"/>
      <c r="I3"/>
      <c r="J3"/>
      <c r="K3"/>
      <c r="L3"/>
      <c r="M3"/>
      <c r="N3"/>
      <c r="O3"/>
      <c r="P3"/>
    </row>
    <row r="4" spans="1:16" ht="18" customHeight="1">
      <c r="A4" s="138" t="s">
        <v>460</v>
      </c>
      <c r="B4" s="68"/>
      <c r="C4" s="308"/>
      <c r="D4" s="309"/>
      <c r="E4" s="68"/>
      <c r="F4" s="310"/>
      <c r="G4" s="142"/>
      <c r="I4"/>
      <c r="J4"/>
      <c r="K4"/>
      <c r="L4"/>
      <c r="M4"/>
      <c r="N4"/>
      <c r="O4"/>
      <c r="P4"/>
    </row>
    <row r="5" spans="1:16" ht="18" customHeight="1">
      <c r="A5" s="77" t="s">
        <v>52</v>
      </c>
      <c r="B5" s="164" t="s">
        <v>53</v>
      </c>
      <c r="C5" s="165"/>
      <c r="D5" s="166"/>
      <c r="E5" s="167" t="s">
        <v>54</v>
      </c>
      <c r="F5" s="165"/>
      <c r="G5" s="166"/>
      <c r="I5"/>
      <c r="J5"/>
      <c r="K5"/>
      <c r="L5"/>
      <c r="M5"/>
      <c r="N5"/>
      <c r="O5"/>
      <c r="P5"/>
    </row>
    <row r="6" spans="1:16" ht="18" customHeight="1">
      <c r="A6" s="94"/>
      <c r="B6" s="548" t="s">
        <v>432</v>
      </c>
      <c r="C6" s="546" t="s">
        <v>433</v>
      </c>
      <c r="D6" s="311" t="s">
        <v>62</v>
      </c>
      <c r="E6" s="548" t="s">
        <v>432</v>
      </c>
      <c r="F6" s="546" t="s">
        <v>433</v>
      </c>
      <c r="G6" s="311" t="s">
        <v>62</v>
      </c>
      <c r="I6" s="483"/>
      <c r="J6" s="483"/>
      <c r="K6" s="483"/>
      <c r="L6" s="483"/>
    </row>
    <row r="7" spans="1:16" ht="18" customHeight="1">
      <c r="A7" s="31">
        <v>1</v>
      </c>
      <c r="B7" s="549">
        <v>102575</v>
      </c>
      <c r="C7" s="547">
        <v>77057</v>
      </c>
      <c r="D7" s="505">
        <f t="shared" ref="D7:D19" si="0">(B7-C7)/C7</f>
        <v>0.33115745487106946</v>
      </c>
      <c r="E7" s="549">
        <v>157168031</v>
      </c>
      <c r="F7" s="547">
        <v>109267734</v>
      </c>
      <c r="G7" s="505">
        <f t="shared" ref="G7:G19" si="1">(E7-F7)/F7</f>
        <v>0.43837549518506536</v>
      </c>
      <c r="I7" s="483"/>
      <c r="J7" s="483"/>
    </row>
    <row r="8" spans="1:16" ht="18" customHeight="1">
      <c r="A8" s="31">
        <v>2</v>
      </c>
      <c r="B8" s="549">
        <v>68335</v>
      </c>
      <c r="C8" s="547">
        <v>84202</v>
      </c>
      <c r="D8" s="505">
        <f t="shared" si="0"/>
        <v>-0.18843970452008266</v>
      </c>
      <c r="E8" s="549">
        <v>114935015</v>
      </c>
      <c r="F8" s="547">
        <v>117807310</v>
      </c>
      <c r="G8" s="505">
        <f t="shared" si="1"/>
        <v>-2.4381296882171402E-2</v>
      </c>
      <c r="I8" s="483"/>
      <c r="J8" s="483"/>
      <c r="K8" s="483"/>
      <c r="L8" s="483"/>
    </row>
    <row r="9" spans="1:16" ht="18" customHeight="1">
      <c r="A9" s="31">
        <v>3</v>
      </c>
      <c r="B9" s="549">
        <v>67324</v>
      </c>
      <c r="C9" s="547">
        <v>92178</v>
      </c>
      <c r="D9" s="505">
        <f t="shared" si="0"/>
        <v>-0.26963049751567619</v>
      </c>
      <c r="E9" s="549">
        <v>108657809</v>
      </c>
      <c r="F9" s="547">
        <v>132866407</v>
      </c>
      <c r="G9" s="505">
        <f t="shared" si="1"/>
        <v>-0.18220254876012415</v>
      </c>
      <c r="J9" s="483"/>
      <c r="K9" s="483"/>
    </row>
    <row r="10" spans="1:16" ht="18" customHeight="1">
      <c r="A10" s="31">
        <v>4</v>
      </c>
      <c r="B10" s="549">
        <v>78722</v>
      </c>
      <c r="C10" s="547">
        <v>79297</v>
      </c>
      <c r="D10" s="505">
        <f t="shared" si="0"/>
        <v>-7.2512200965988627E-3</v>
      </c>
      <c r="E10" s="550">
        <v>135497637</v>
      </c>
      <c r="F10" s="547">
        <v>114259116</v>
      </c>
      <c r="G10" s="505">
        <f>(E10-F10)/F10</f>
        <v>0.18588031960618354</v>
      </c>
    </row>
    <row r="11" spans="1:16" ht="18" customHeight="1">
      <c r="A11" s="31">
        <v>5</v>
      </c>
      <c r="B11" s="549">
        <f>電動輔助自行車!B64</f>
        <v>66723</v>
      </c>
      <c r="C11" s="547">
        <v>87198</v>
      </c>
      <c r="D11" s="505">
        <f t="shared" si="0"/>
        <v>-0.23481043143191357</v>
      </c>
      <c r="E11" s="549">
        <f>電動輔助自行車!C64</f>
        <v>116784135</v>
      </c>
      <c r="F11" s="547">
        <v>130912557</v>
      </c>
      <c r="G11" s="505">
        <f>(E11-F11)/F11</f>
        <v>-0.10792258835796784</v>
      </c>
    </row>
    <row r="12" spans="1:16" ht="18" customHeight="1">
      <c r="A12" s="31">
        <v>6</v>
      </c>
      <c r="B12" s="549"/>
      <c r="C12" s="547"/>
      <c r="D12" s="505"/>
      <c r="E12" s="549"/>
      <c r="F12" s="537"/>
      <c r="G12" s="505"/>
      <c r="J12" s="483"/>
      <c r="K12" s="483"/>
    </row>
    <row r="13" spans="1:16" ht="18" customHeight="1">
      <c r="A13" s="31">
        <v>7</v>
      </c>
      <c r="B13" s="383"/>
      <c r="C13" s="537"/>
      <c r="D13" s="505"/>
      <c r="E13" s="383"/>
      <c r="F13" s="537"/>
      <c r="G13" s="505"/>
    </row>
    <row r="14" spans="1:16" ht="18" customHeight="1">
      <c r="A14" s="31">
        <v>8</v>
      </c>
      <c r="B14" s="383"/>
      <c r="C14" s="537"/>
      <c r="D14" s="505"/>
      <c r="E14" s="383"/>
      <c r="F14" s="537"/>
      <c r="G14" s="505"/>
      <c r="J14" s="483"/>
      <c r="K14" s="483"/>
    </row>
    <row r="15" spans="1:16" ht="18" customHeight="1">
      <c r="A15" s="31">
        <v>9</v>
      </c>
      <c r="B15" s="27"/>
      <c r="C15" s="537"/>
      <c r="D15" s="505"/>
      <c r="E15" s="27"/>
      <c r="F15" s="537"/>
      <c r="G15" s="505"/>
    </row>
    <row r="16" spans="1:16" ht="18" customHeight="1">
      <c r="A16" s="31">
        <v>10</v>
      </c>
      <c r="B16" s="27"/>
      <c r="C16" s="537"/>
      <c r="D16" s="505"/>
      <c r="E16" s="27"/>
      <c r="F16" s="537"/>
      <c r="G16" s="505"/>
    </row>
    <row r="17" spans="1:18" ht="18" customHeight="1">
      <c r="A17" s="31">
        <v>11</v>
      </c>
      <c r="B17" s="27"/>
      <c r="C17" s="537"/>
      <c r="D17" s="505"/>
      <c r="E17" s="27"/>
      <c r="F17" s="537"/>
      <c r="G17" s="505"/>
    </row>
    <row r="18" spans="1:18" ht="18" customHeight="1">
      <c r="A18" s="31">
        <v>12</v>
      </c>
      <c r="B18" s="27"/>
      <c r="C18" s="537"/>
      <c r="D18" s="505"/>
      <c r="E18" s="27"/>
      <c r="F18" s="537"/>
      <c r="G18" s="505"/>
      <c r="I18" s="484"/>
      <c r="J18" s="484"/>
      <c r="K18" s="484"/>
      <c r="L18" s="484"/>
      <c r="M18"/>
      <c r="N18"/>
      <c r="O18"/>
      <c r="P18"/>
      <c r="Q18"/>
      <c r="R18"/>
    </row>
    <row r="19" spans="1:18" s="115" customFormat="1" ht="18" customHeight="1">
      <c r="A19" s="32" t="s">
        <v>51</v>
      </c>
      <c r="B19" s="549">
        <f>SUM(B7:B18)</f>
        <v>383679</v>
      </c>
      <c r="C19" s="547">
        <f>SUM(C7:C18)</f>
        <v>419932</v>
      </c>
      <c r="D19" s="505">
        <f t="shared" si="0"/>
        <v>-8.6330644009030039E-2</v>
      </c>
      <c r="E19" s="549">
        <f>SUM(E7:E18)</f>
        <v>633042627</v>
      </c>
      <c r="F19" s="547">
        <f>SUM(F7:F18)</f>
        <v>605113124</v>
      </c>
      <c r="G19" s="505">
        <f t="shared" si="1"/>
        <v>4.6155837466185907E-2</v>
      </c>
      <c r="H19" s="5"/>
      <c r="I19" s="484"/>
      <c r="J19" s="484"/>
      <c r="K19" s="484"/>
      <c r="L19" s="484"/>
      <c r="M19"/>
      <c r="N19"/>
      <c r="O19"/>
      <c r="P19"/>
      <c r="Q19"/>
      <c r="R19"/>
    </row>
    <row r="20" spans="1:18" s="115" customFormat="1">
      <c r="A20" s="38"/>
      <c r="B20" s="39"/>
      <c r="C20" s="485"/>
      <c r="D20" s="312"/>
      <c r="E20" s="39"/>
      <c r="F20" s="485"/>
      <c r="G20" s="312"/>
      <c r="H20" s="5"/>
      <c r="I20" s="484"/>
      <c r="J20" s="484"/>
      <c r="K20"/>
      <c r="L20"/>
      <c r="M20"/>
      <c r="N20"/>
      <c r="O20"/>
      <c r="P20"/>
      <c r="Q20"/>
      <c r="R20"/>
    </row>
    <row r="21" spans="1:18" s="115" customFormat="1">
      <c r="A21" s="38"/>
      <c r="B21" s="39"/>
      <c r="C21" s="485"/>
      <c r="D21" s="312"/>
      <c r="E21" s="39"/>
      <c r="F21" s="485"/>
      <c r="G21" s="312"/>
      <c r="H21" s="5"/>
      <c r="I21" s="484"/>
      <c r="J21" s="484"/>
      <c r="K21" s="484"/>
      <c r="L21" s="484"/>
      <c r="M21"/>
      <c r="N21"/>
      <c r="O21"/>
      <c r="P21"/>
      <c r="Q21"/>
      <c r="R21"/>
    </row>
    <row r="22" spans="1:18" ht="19.5">
      <c r="A22" s="1" t="s">
        <v>499</v>
      </c>
      <c r="B22" s="129"/>
      <c r="C22" s="304"/>
      <c r="D22" s="305"/>
      <c r="E22" s="129"/>
      <c r="F22" s="304"/>
      <c r="G22" s="305"/>
      <c r="I22"/>
      <c r="J22"/>
      <c r="K22"/>
      <c r="L22"/>
      <c r="M22"/>
      <c r="N22"/>
      <c r="O22"/>
      <c r="P22"/>
      <c r="Q22"/>
      <c r="R22"/>
    </row>
    <row r="23" spans="1:18" ht="17.25" customHeight="1">
      <c r="A23" s="1"/>
      <c r="B23" s="129"/>
      <c r="C23" s="304"/>
      <c r="D23" s="305"/>
      <c r="E23" s="129"/>
      <c r="F23" s="304"/>
      <c r="G23" s="305"/>
      <c r="I23"/>
      <c r="J23"/>
      <c r="K23"/>
      <c r="L23"/>
      <c r="M23"/>
      <c r="N23"/>
      <c r="O23"/>
      <c r="P23"/>
      <c r="Q23"/>
      <c r="R23"/>
    </row>
    <row r="24" spans="1:18" s="122" customFormat="1" ht="18" customHeight="1">
      <c r="A24" s="153" t="s">
        <v>415</v>
      </c>
      <c r="B24" s="154"/>
      <c r="C24" s="155"/>
      <c r="D24" s="156"/>
      <c r="E24" s="154"/>
      <c r="F24" s="157"/>
      <c r="G24" s="158"/>
      <c r="I24"/>
      <c r="J24"/>
      <c r="K24"/>
      <c r="L24"/>
      <c r="M24"/>
      <c r="N24"/>
      <c r="O24"/>
      <c r="P24"/>
      <c r="Q24"/>
      <c r="R24"/>
    </row>
    <row r="25" spans="1:18" ht="18" customHeight="1">
      <c r="A25" s="138" t="s">
        <v>456</v>
      </c>
      <c r="B25" s="159"/>
      <c r="C25" s="313"/>
      <c r="D25" s="314"/>
      <c r="E25" s="159"/>
      <c r="F25" s="315"/>
      <c r="G25" s="163"/>
      <c r="I25"/>
      <c r="J25"/>
      <c r="K25"/>
      <c r="L25"/>
      <c r="M25"/>
      <c r="N25"/>
      <c r="O25"/>
      <c r="P25"/>
      <c r="Q25"/>
      <c r="R25"/>
    </row>
    <row r="26" spans="1:18" ht="18" customHeight="1">
      <c r="A26" s="77" t="s">
        <v>52</v>
      </c>
      <c r="B26" s="164" t="s">
        <v>53</v>
      </c>
      <c r="C26" s="165"/>
      <c r="D26" s="166"/>
      <c r="E26" s="167" t="s">
        <v>54</v>
      </c>
      <c r="F26" s="165"/>
      <c r="G26" s="166"/>
    </row>
    <row r="27" spans="1:18" ht="18" customHeight="1">
      <c r="A27" s="94"/>
      <c r="B27" s="548" t="s">
        <v>516</v>
      </c>
      <c r="C27" s="546" t="s">
        <v>515</v>
      </c>
      <c r="D27" s="311" t="s">
        <v>409</v>
      </c>
      <c r="E27" s="548" t="s">
        <v>516</v>
      </c>
      <c r="F27" s="546" t="s">
        <v>515</v>
      </c>
      <c r="G27" s="311" t="s">
        <v>410</v>
      </c>
    </row>
    <row r="28" spans="1:18" ht="18" customHeight="1">
      <c r="A28" s="31">
        <v>1</v>
      </c>
      <c r="B28" s="549">
        <v>661</v>
      </c>
      <c r="C28" s="547">
        <v>1361</v>
      </c>
      <c r="D28" s="505">
        <f>(B28-C28)/C28</f>
        <v>-0.51432770022042618</v>
      </c>
      <c r="E28" s="549">
        <v>457222</v>
      </c>
      <c r="F28" s="547">
        <v>889149</v>
      </c>
      <c r="G28" s="505">
        <f>(E28-F28)/F28</f>
        <v>-0.48577572487850745</v>
      </c>
    </row>
    <row r="29" spans="1:18" ht="18" customHeight="1">
      <c r="A29" s="31">
        <v>2</v>
      </c>
      <c r="B29" s="549">
        <v>306</v>
      </c>
      <c r="C29" s="547">
        <v>1529</v>
      </c>
      <c r="D29" s="505">
        <f>(B29-C29)/C29</f>
        <v>-0.79986919555264879</v>
      </c>
      <c r="E29" s="549">
        <v>343954</v>
      </c>
      <c r="F29" s="547">
        <v>1057175</v>
      </c>
      <c r="G29" s="505">
        <f>(E29-F29)/F29</f>
        <v>-0.67464800056755037</v>
      </c>
      <c r="I29"/>
      <c r="J29"/>
      <c r="K29"/>
      <c r="L29"/>
      <c r="M29"/>
      <c r="N29"/>
      <c r="O29"/>
      <c r="P29"/>
    </row>
    <row r="30" spans="1:18" ht="18" customHeight="1">
      <c r="A30" s="31">
        <v>3</v>
      </c>
      <c r="B30" s="549">
        <v>1748</v>
      </c>
      <c r="C30" s="547">
        <v>2239</v>
      </c>
      <c r="D30" s="505">
        <f>(B30-C30)/C30</f>
        <v>-0.21929432782492184</v>
      </c>
      <c r="E30" s="549">
        <v>1134184</v>
      </c>
      <c r="F30" s="547">
        <v>1443327</v>
      </c>
      <c r="G30" s="505">
        <f>(E30-F30)/F30</f>
        <v>-0.21418777588169555</v>
      </c>
      <c r="I30"/>
      <c r="J30"/>
      <c r="K30"/>
      <c r="L30"/>
      <c r="M30"/>
      <c r="N30"/>
      <c r="O30"/>
      <c r="P30"/>
    </row>
    <row r="31" spans="1:18" ht="18" customHeight="1">
      <c r="A31" s="31">
        <v>4</v>
      </c>
      <c r="B31" s="549">
        <v>413</v>
      </c>
      <c r="C31" s="547">
        <v>161</v>
      </c>
      <c r="D31" s="505">
        <f>(B31-C31)/C31</f>
        <v>1.5652173913043479</v>
      </c>
      <c r="E31" s="550">
        <v>387680</v>
      </c>
      <c r="F31" s="547">
        <v>188582</v>
      </c>
      <c r="G31" s="505">
        <f>(E31-F31)/F31</f>
        <v>1.0557635405287886</v>
      </c>
      <c r="I31"/>
      <c r="J31"/>
      <c r="K31"/>
      <c r="L31"/>
      <c r="M31"/>
      <c r="N31"/>
      <c r="O31"/>
      <c r="P31"/>
    </row>
    <row r="32" spans="1:18" ht="18" customHeight="1">
      <c r="A32" s="31">
        <v>5</v>
      </c>
      <c r="B32" s="549">
        <f>折疊車!B68</f>
        <v>2715</v>
      </c>
      <c r="C32" s="547">
        <v>896</v>
      </c>
      <c r="D32" s="505">
        <f>(B32-C32)/C32</f>
        <v>2.0301339285714284</v>
      </c>
      <c r="E32" s="549">
        <f>折疊車!C68</f>
        <v>1301531</v>
      </c>
      <c r="F32" s="547">
        <v>627673</v>
      </c>
      <c r="G32" s="505">
        <f>(E32-F32)/F32</f>
        <v>1.0735813074642369</v>
      </c>
      <c r="I32"/>
      <c r="J32"/>
      <c r="K32"/>
      <c r="L32"/>
      <c r="M32"/>
      <c r="N32"/>
      <c r="O32"/>
      <c r="P32"/>
    </row>
    <row r="33" spans="1:16" ht="18" customHeight="1">
      <c r="A33" s="31">
        <v>6</v>
      </c>
      <c r="B33" s="549"/>
      <c r="C33" s="547"/>
      <c r="D33" s="505"/>
      <c r="E33" s="549"/>
      <c r="F33" s="537"/>
      <c r="G33" s="505"/>
      <c r="I33"/>
      <c r="J33"/>
      <c r="K33"/>
      <c r="L33"/>
      <c r="M33"/>
      <c r="N33"/>
      <c r="O33"/>
      <c r="P33"/>
    </row>
    <row r="34" spans="1:16" ht="18" customHeight="1">
      <c r="A34" s="31">
        <v>7</v>
      </c>
      <c r="B34" s="383"/>
      <c r="C34" s="537"/>
      <c r="D34" s="505"/>
      <c r="E34" s="383"/>
      <c r="F34" s="537"/>
      <c r="G34" s="505"/>
      <c r="I34"/>
      <c r="J34"/>
      <c r="K34"/>
      <c r="L34"/>
      <c r="M34"/>
      <c r="N34"/>
      <c r="O34"/>
      <c r="P34"/>
    </row>
    <row r="35" spans="1:16" ht="18" customHeight="1">
      <c r="A35" s="31">
        <v>8</v>
      </c>
      <c r="B35" s="383"/>
      <c r="C35" s="537"/>
      <c r="D35" s="505"/>
      <c r="E35" s="383"/>
      <c r="F35" s="537"/>
      <c r="G35" s="505"/>
      <c r="I35"/>
      <c r="J35"/>
      <c r="K35"/>
      <c r="L35"/>
      <c r="M35"/>
      <c r="N35"/>
      <c r="O35"/>
      <c r="P35"/>
    </row>
    <row r="36" spans="1:16" ht="18" customHeight="1">
      <c r="A36" s="31">
        <v>9</v>
      </c>
      <c r="B36" s="27"/>
      <c r="C36" s="537"/>
      <c r="D36" s="505"/>
      <c r="E36" s="27"/>
      <c r="F36" s="537"/>
      <c r="G36" s="505"/>
      <c r="I36"/>
      <c r="J36"/>
      <c r="K36"/>
      <c r="L36"/>
      <c r="M36"/>
      <c r="N36"/>
      <c r="O36"/>
      <c r="P36"/>
    </row>
    <row r="37" spans="1:16" ht="18" customHeight="1">
      <c r="A37" s="31">
        <v>10</v>
      </c>
      <c r="B37" s="27"/>
      <c r="C37" s="537"/>
      <c r="D37" s="505"/>
      <c r="E37" s="27"/>
      <c r="F37" s="537"/>
      <c r="G37" s="505"/>
      <c r="I37"/>
      <c r="J37"/>
      <c r="K37"/>
      <c r="L37"/>
      <c r="M37"/>
      <c r="N37"/>
      <c r="O37"/>
      <c r="P37"/>
    </row>
    <row r="38" spans="1:16" ht="18" customHeight="1">
      <c r="A38" s="31">
        <v>11</v>
      </c>
      <c r="B38" s="27"/>
      <c r="C38" s="537"/>
      <c r="D38" s="505"/>
      <c r="E38" s="27"/>
      <c r="F38" s="537"/>
      <c r="G38" s="505"/>
      <c r="I38"/>
      <c r="J38"/>
      <c r="K38"/>
      <c r="L38"/>
      <c r="M38"/>
      <c r="N38"/>
      <c r="O38"/>
      <c r="P38"/>
    </row>
    <row r="39" spans="1:16" ht="18" customHeight="1">
      <c r="A39" s="31">
        <v>12</v>
      </c>
      <c r="B39" s="27"/>
      <c r="C39" s="537"/>
      <c r="D39" s="505"/>
      <c r="E39" s="27"/>
      <c r="F39" s="537"/>
      <c r="G39" s="505"/>
      <c r="I39" s="484"/>
      <c r="J39" s="484"/>
      <c r="K39"/>
      <c r="L39"/>
      <c r="M39"/>
      <c r="N39"/>
      <c r="O39"/>
      <c r="P39"/>
    </row>
    <row r="40" spans="1:16" s="115" customFormat="1" ht="18" customHeight="1">
      <c r="A40" s="32" t="s">
        <v>51</v>
      </c>
      <c r="B40" s="549">
        <f>SUM(B28:B39)</f>
        <v>5843</v>
      </c>
      <c r="C40" s="547">
        <f>SUM(C28:C39)</f>
        <v>6186</v>
      </c>
      <c r="D40" s="505">
        <f t="shared" ref="D40" si="2">(B40-C40)/C40</f>
        <v>-5.544778532169415E-2</v>
      </c>
      <c r="E40" s="549">
        <f>SUM(E28:E39)</f>
        <v>3624571</v>
      </c>
      <c r="F40" s="547">
        <f>SUM(F28:F39)</f>
        <v>4205906</v>
      </c>
      <c r="G40" s="505">
        <f t="shared" ref="G40" si="3">(E40-F40)/F40</f>
        <v>-0.13821873337159699</v>
      </c>
      <c r="H40" s="5"/>
      <c r="I40"/>
      <c r="J40"/>
      <c r="K40"/>
      <c r="L40"/>
      <c r="M40"/>
      <c r="N40"/>
      <c r="O40"/>
      <c r="P40"/>
    </row>
    <row r="41" spans="1:16" s="115" customFormat="1">
      <c r="A41" s="38"/>
      <c r="B41" s="39"/>
      <c r="C41" s="485"/>
      <c r="D41" s="312"/>
      <c r="E41" s="39"/>
      <c r="F41" s="485"/>
      <c r="G41" s="312"/>
      <c r="H41" s="5"/>
      <c r="I41" s="484"/>
      <c r="J41" s="484"/>
      <c r="K41" s="484"/>
      <c r="L41" s="484"/>
      <c r="M41"/>
      <c r="N41"/>
      <c r="O41"/>
      <c r="P41"/>
    </row>
    <row r="42" spans="1:16" s="13" customFormat="1">
      <c r="A42" s="54" t="s">
        <v>411</v>
      </c>
      <c r="C42" s="169"/>
      <c r="D42" s="170"/>
      <c r="F42" s="169"/>
      <c r="G42" s="170"/>
      <c r="H42" s="5"/>
      <c r="I42"/>
      <c r="J42"/>
      <c r="K42"/>
      <c r="L42"/>
      <c r="M42"/>
      <c r="N42"/>
      <c r="O42"/>
      <c r="P42"/>
    </row>
    <row r="43" spans="1:16">
      <c r="I43"/>
      <c r="J43"/>
      <c r="K43"/>
      <c r="L43"/>
      <c r="M43"/>
      <c r="N43"/>
      <c r="O43"/>
      <c r="P43"/>
    </row>
    <row r="44" spans="1:16">
      <c r="I44"/>
      <c r="J44"/>
      <c r="K44"/>
      <c r="L44"/>
      <c r="M44"/>
      <c r="N44"/>
      <c r="O44"/>
      <c r="P44"/>
    </row>
  </sheetData>
  <phoneticPr fontId="3" type="noConversion"/>
  <conditionalFormatting sqref="B7:C14 C15:C18 B19:C19">
    <cfRule type="cellIs" dxfId="47" priority="5" operator="lessThan">
      <formula>0</formula>
    </cfRule>
  </conditionalFormatting>
  <conditionalFormatting sqref="B28:C35 C30:C39 B40:C40">
    <cfRule type="cellIs" dxfId="46" priority="15" operator="lessThan">
      <formula>0</formula>
    </cfRule>
  </conditionalFormatting>
  <conditionalFormatting sqref="D7:D19">
    <cfRule type="cellIs" dxfId="45" priority="8" operator="greaterThanOrEqual">
      <formula>0</formula>
    </cfRule>
    <cfRule type="cellIs" dxfId="44" priority="9" operator="lessThan">
      <formula>0</formula>
    </cfRule>
  </conditionalFormatting>
  <conditionalFormatting sqref="D28:D40">
    <cfRule type="cellIs" dxfId="43" priority="31" operator="greaterThanOrEqual">
      <formula>0</formula>
    </cfRule>
    <cfRule type="cellIs" dxfId="42" priority="32" operator="lessThan">
      <formula>0</formula>
    </cfRule>
  </conditionalFormatting>
  <conditionalFormatting sqref="E7:E9">
    <cfRule type="cellIs" dxfId="41" priority="10" operator="lessThan">
      <formula>0</formula>
    </cfRule>
  </conditionalFormatting>
  <conditionalFormatting sqref="E11:E14">
    <cfRule type="cellIs" dxfId="40" priority="2" operator="lessThan">
      <formula>0</formula>
    </cfRule>
  </conditionalFormatting>
  <conditionalFormatting sqref="E28:E30">
    <cfRule type="cellIs" dxfId="39" priority="43" operator="lessThan">
      <formula>0</formula>
    </cfRule>
  </conditionalFormatting>
  <conditionalFormatting sqref="E32:E35">
    <cfRule type="cellIs" dxfId="38" priority="1" operator="lessThan">
      <formula>0</formula>
    </cfRule>
  </conditionalFormatting>
  <conditionalFormatting sqref="E19:F19">
    <cfRule type="cellIs" dxfId="37" priority="3" operator="lessThan">
      <formula>0</formula>
    </cfRule>
  </conditionalFormatting>
  <conditionalFormatting sqref="E40:F40">
    <cfRule type="cellIs" dxfId="36" priority="12" operator="lessThan">
      <formula>0</formula>
    </cfRule>
  </conditionalFormatting>
  <conditionalFormatting sqref="F7:F18">
    <cfRule type="cellIs" dxfId="35" priority="4" operator="lessThan">
      <formula>0</formula>
    </cfRule>
  </conditionalFormatting>
  <conditionalFormatting sqref="F28:F39">
    <cfRule type="cellIs" dxfId="34" priority="14" operator="lessThan">
      <formula>0</formula>
    </cfRule>
  </conditionalFormatting>
  <conditionalFormatting sqref="G7:G19">
    <cfRule type="cellIs" dxfId="33" priority="6" operator="greaterThanOrEqual">
      <formula>0</formula>
    </cfRule>
    <cfRule type="cellIs" dxfId="32" priority="7" operator="lessThan">
      <formula>0</formula>
    </cfRule>
  </conditionalFormatting>
  <conditionalFormatting sqref="G28:G40">
    <cfRule type="cellIs" dxfId="31" priority="27" operator="greaterThanOrEqual">
      <formula>0</formula>
    </cfRule>
    <cfRule type="cellIs" dxfId="30" priority="28" operator="lessThan">
      <formula>0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68"/>
  <sheetViews>
    <sheetView topLeftCell="A19" zoomScale="90" zoomScaleNormal="90" workbookViewId="0">
      <pane xSplit="1" topLeftCell="B1" activePane="topRight" state="frozen"/>
      <selection pane="topRight"/>
    </sheetView>
  </sheetViews>
  <sheetFormatPr defaultColWidth="10" defaultRowHeight="16.5"/>
  <cols>
    <col min="1" max="1" width="21.375" style="13" customWidth="1"/>
    <col min="2" max="2" width="1.5" style="13" customWidth="1"/>
    <col min="3" max="3" width="15.625" style="320" customWidth="1"/>
    <col min="4" max="4" width="16.625" style="320" customWidth="1"/>
    <col min="5" max="5" width="2.375" style="320" customWidth="1"/>
    <col min="6" max="6" width="17.125" style="320" customWidth="1"/>
    <col min="7" max="7" width="19" style="320" customWidth="1"/>
    <col min="8" max="8" width="2.125" style="320" customWidth="1"/>
    <col min="9" max="9" width="15.625" style="320" customWidth="1"/>
    <col min="10" max="10" width="17.875" style="320" customWidth="1"/>
    <col min="11" max="11" width="2.5" style="320" customWidth="1"/>
    <col min="12" max="12" width="17.125" style="320" customWidth="1"/>
    <col min="13" max="13" width="18.5" style="320" customWidth="1"/>
    <col min="14" max="256" width="10" style="13"/>
    <col min="257" max="257" width="19.5" style="13" customWidth="1"/>
    <col min="258" max="258" width="1.5" style="13" customWidth="1"/>
    <col min="259" max="260" width="15.625" style="13" customWidth="1"/>
    <col min="261" max="261" width="2.375" style="13" customWidth="1"/>
    <col min="262" max="262" width="17.125" style="13" customWidth="1"/>
    <col min="263" max="263" width="17.875" style="13" customWidth="1"/>
    <col min="264" max="264" width="2.125" style="13" customWidth="1"/>
    <col min="265" max="266" width="15.625" style="13" customWidth="1"/>
    <col min="267" max="267" width="2.5" style="13" customWidth="1"/>
    <col min="268" max="268" width="17.125" style="13" customWidth="1"/>
    <col min="269" max="269" width="18.5" style="13" customWidth="1"/>
    <col min="270" max="512" width="10" style="13"/>
    <col min="513" max="513" width="19.5" style="13" customWidth="1"/>
    <col min="514" max="514" width="1.5" style="13" customWidth="1"/>
    <col min="515" max="516" width="15.625" style="13" customWidth="1"/>
    <col min="517" max="517" width="2.375" style="13" customWidth="1"/>
    <col min="518" max="518" width="17.125" style="13" customWidth="1"/>
    <col min="519" max="519" width="17.875" style="13" customWidth="1"/>
    <col min="520" max="520" width="2.125" style="13" customWidth="1"/>
    <col min="521" max="522" width="15.625" style="13" customWidth="1"/>
    <col min="523" max="523" width="2.5" style="13" customWidth="1"/>
    <col min="524" max="524" width="17.125" style="13" customWidth="1"/>
    <col min="525" max="525" width="18.5" style="13" customWidth="1"/>
    <col min="526" max="768" width="10" style="13"/>
    <col min="769" max="769" width="19.5" style="13" customWidth="1"/>
    <col min="770" max="770" width="1.5" style="13" customWidth="1"/>
    <col min="771" max="772" width="15.625" style="13" customWidth="1"/>
    <col min="773" max="773" width="2.375" style="13" customWidth="1"/>
    <col min="774" max="774" width="17.125" style="13" customWidth="1"/>
    <col min="775" max="775" width="17.875" style="13" customWidth="1"/>
    <col min="776" max="776" width="2.125" style="13" customWidth="1"/>
    <col min="777" max="778" width="15.625" style="13" customWidth="1"/>
    <col min="779" max="779" width="2.5" style="13" customWidth="1"/>
    <col min="780" max="780" width="17.125" style="13" customWidth="1"/>
    <col min="781" max="781" width="18.5" style="13" customWidth="1"/>
    <col min="782" max="1024" width="10" style="13"/>
    <col min="1025" max="1025" width="19.5" style="13" customWidth="1"/>
    <col min="1026" max="1026" width="1.5" style="13" customWidth="1"/>
    <col min="1027" max="1028" width="15.625" style="13" customWidth="1"/>
    <col min="1029" max="1029" width="2.375" style="13" customWidth="1"/>
    <col min="1030" max="1030" width="17.125" style="13" customWidth="1"/>
    <col min="1031" max="1031" width="17.875" style="13" customWidth="1"/>
    <col min="1032" max="1032" width="2.125" style="13" customWidth="1"/>
    <col min="1033" max="1034" width="15.625" style="13" customWidth="1"/>
    <col min="1035" max="1035" width="2.5" style="13" customWidth="1"/>
    <col min="1036" max="1036" width="17.125" style="13" customWidth="1"/>
    <col min="1037" max="1037" width="18.5" style="13" customWidth="1"/>
    <col min="1038" max="1280" width="10" style="13"/>
    <col min="1281" max="1281" width="19.5" style="13" customWidth="1"/>
    <col min="1282" max="1282" width="1.5" style="13" customWidth="1"/>
    <col min="1283" max="1284" width="15.625" style="13" customWidth="1"/>
    <col min="1285" max="1285" width="2.375" style="13" customWidth="1"/>
    <col min="1286" max="1286" width="17.125" style="13" customWidth="1"/>
    <col min="1287" max="1287" width="17.875" style="13" customWidth="1"/>
    <col min="1288" max="1288" width="2.125" style="13" customWidth="1"/>
    <col min="1289" max="1290" width="15.625" style="13" customWidth="1"/>
    <col min="1291" max="1291" width="2.5" style="13" customWidth="1"/>
    <col min="1292" max="1292" width="17.125" style="13" customWidth="1"/>
    <col min="1293" max="1293" width="18.5" style="13" customWidth="1"/>
    <col min="1294" max="1536" width="10" style="13"/>
    <col min="1537" max="1537" width="19.5" style="13" customWidth="1"/>
    <col min="1538" max="1538" width="1.5" style="13" customWidth="1"/>
    <col min="1539" max="1540" width="15.625" style="13" customWidth="1"/>
    <col min="1541" max="1541" width="2.375" style="13" customWidth="1"/>
    <col min="1542" max="1542" width="17.125" style="13" customWidth="1"/>
    <col min="1543" max="1543" width="17.875" style="13" customWidth="1"/>
    <col min="1544" max="1544" width="2.125" style="13" customWidth="1"/>
    <col min="1545" max="1546" width="15.625" style="13" customWidth="1"/>
    <col min="1547" max="1547" width="2.5" style="13" customWidth="1"/>
    <col min="1548" max="1548" width="17.125" style="13" customWidth="1"/>
    <col min="1549" max="1549" width="18.5" style="13" customWidth="1"/>
    <col min="1550" max="1792" width="10" style="13"/>
    <col min="1793" max="1793" width="19.5" style="13" customWidth="1"/>
    <col min="1794" max="1794" width="1.5" style="13" customWidth="1"/>
    <col min="1795" max="1796" width="15.625" style="13" customWidth="1"/>
    <col min="1797" max="1797" width="2.375" style="13" customWidth="1"/>
    <col min="1798" max="1798" width="17.125" style="13" customWidth="1"/>
    <col min="1799" max="1799" width="17.875" style="13" customWidth="1"/>
    <col min="1800" max="1800" width="2.125" style="13" customWidth="1"/>
    <col min="1801" max="1802" width="15.625" style="13" customWidth="1"/>
    <col min="1803" max="1803" width="2.5" style="13" customWidth="1"/>
    <col min="1804" max="1804" width="17.125" style="13" customWidth="1"/>
    <col min="1805" max="1805" width="18.5" style="13" customWidth="1"/>
    <col min="1806" max="2048" width="10" style="13"/>
    <col min="2049" max="2049" width="19.5" style="13" customWidth="1"/>
    <col min="2050" max="2050" width="1.5" style="13" customWidth="1"/>
    <col min="2051" max="2052" width="15.625" style="13" customWidth="1"/>
    <col min="2053" max="2053" width="2.375" style="13" customWidth="1"/>
    <col min="2054" max="2054" width="17.125" style="13" customWidth="1"/>
    <col min="2055" max="2055" width="17.875" style="13" customWidth="1"/>
    <col min="2056" max="2056" width="2.125" style="13" customWidth="1"/>
    <col min="2057" max="2058" width="15.625" style="13" customWidth="1"/>
    <col min="2059" max="2059" width="2.5" style="13" customWidth="1"/>
    <col min="2060" max="2060" width="17.125" style="13" customWidth="1"/>
    <col min="2061" max="2061" width="18.5" style="13" customWidth="1"/>
    <col min="2062" max="2304" width="10" style="13"/>
    <col min="2305" max="2305" width="19.5" style="13" customWidth="1"/>
    <col min="2306" max="2306" width="1.5" style="13" customWidth="1"/>
    <col min="2307" max="2308" width="15.625" style="13" customWidth="1"/>
    <col min="2309" max="2309" width="2.375" style="13" customWidth="1"/>
    <col min="2310" max="2310" width="17.125" style="13" customWidth="1"/>
    <col min="2311" max="2311" width="17.875" style="13" customWidth="1"/>
    <col min="2312" max="2312" width="2.125" style="13" customWidth="1"/>
    <col min="2313" max="2314" width="15.625" style="13" customWidth="1"/>
    <col min="2315" max="2315" width="2.5" style="13" customWidth="1"/>
    <col min="2316" max="2316" width="17.125" style="13" customWidth="1"/>
    <col min="2317" max="2317" width="18.5" style="13" customWidth="1"/>
    <col min="2318" max="2560" width="10" style="13"/>
    <col min="2561" max="2561" width="19.5" style="13" customWidth="1"/>
    <col min="2562" max="2562" width="1.5" style="13" customWidth="1"/>
    <col min="2563" max="2564" width="15.625" style="13" customWidth="1"/>
    <col min="2565" max="2565" width="2.375" style="13" customWidth="1"/>
    <col min="2566" max="2566" width="17.125" style="13" customWidth="1"/>
    <col min="2567" max="2567" width="17.875" style="13" customWidth="1"/>
    <col min="2568" max="2568" width="2.125" style="13" customWidth="1"/>
    <col min="2569" max="2570" width="15.625" style="13" customWidth="1"/>
    <col min="2571" max="2571" width="2.5" style="13" customWidth="1"/>
    <col min="2572" max="2572" width="17.125" style="13" customWidth="1"/>
    <col min="2573" max="2573" width="18.5" style="13" customWidth="1"/>
    <col min="2574" max="2816" width="10" style="13"/>
    <col min="2817" max="2817" width="19.5" style="13" customWidth="1"/>
    <col min="2818" max="2818" width="1.5" style="13" customWidth="1"/>
    <col min="2819" max="2820" width="15.625" style="13" customWidth="1"/>
    <col min="2821" max="2821" width="2.375" style="13" customWidth="1"/>
    <col min="2822" max="2822" width="17.125" style="13" customWidth="1"/>
    <col min="2823" max="2823" width="17.875" style="13" customWidth="1"/>
    <col min="2824" max="2824" width="2.125" style="13" customWidth="1"/>
    <col min="2825" max="2826" width="15.625" style="13" customWidth="1"/>
    <col min="2827" max="2827" width="2.5" style="13" customWidth="1"/>
    <col min="2828" max="2828" width="17.125" style="13" customWidth="1"/>
    <col min="2829" max="2829" width="18.5" style="13" customWidth="1"/>
    <col min="2830" max="3072" width="10" style="13"/>
    <col min="3073" max="3073" width="19.5" style="13" customWidth="1"/>
    <col min="3074" max="3074" width="1.5" style="13" customWidth="1"/>
    <col min="3075" max="3076" width="15.625" style="13" customWidth="1"/>
    <col min="3077" max="3077" width="2.375" style="13" customWidth="1"/>
    <col min="3078" max="3078" width="17.125" style="13" customWidth="1"/>
    <col min="3079" max="3079" width="17.875" style="13" customWidth="1"/>
    <col min="3080" max="3080" width="2.125" style="13" customWidth="1"/>
    <col min="3081" max="3082" width="15.625" style="13" customWidth="1"/>
    <col min="3083" max="3083" width="2.5" style="13" customWidth="1"/>
    <col min="3084" max="3084" width="17.125" style="13" customWidth="1"/>
    <col min="3085" max="3085" width="18.5" style="13" customWidth="1"/>
    <col min="3086" max="3328" width="10" style="13"/>
    <col min="3329" max="3329" width="19.5" style="13" customWidth="1"/>
    <col min="3330" max="3330" width="1.5" style="13" customWidth="1"/>
    <col min="3331" max="3332" width="15.625" style="13" customWidth="1"/>
    <col min="3333" max="3333" width="2.375" style="13" customWidth="1"/>
    <col min="3334" max="3334" width="17.125" style="13" customWidth="1"/>
    <col min="3335" max="3335" width="17.875" style="13" customWidth="1"/>
    <col min="3336" max="3336" width="2.125" style="13" customWidth="1"/>
    <col min="3337" max="3338" width="15.625" style="13" customWidth="1"/>
    <col min="3339" max="3339" width="2.5" style="13" customWidth="1"/>
    <col min="3340" max="3340" width="17.125" style="13" customWidth="1"/>
    <col min="3341" max="3341" width="18.5" style="13" customWidth="1"/>
    <col min="3342" max="3584" width="10" style="13"/>
    <col min="3585" max="3585" width="19.5" style="13" customWidth="1"/>
    <col min="3586" max="3586" width="1.5" style="13" customWidth="1"/>
    <col min="3587" max="3588" width="15.625" style="13" customWidth="1"/>
    <col min="3589" max="3589" width="2.375" style="13" customWidth="1"/>
    <col min="3590" max="3590" width="17.125" style="13" customWidth="1"/>
    <col min="3591" max="3591" width="17.875" style="13" customWidth="1"/>
    <col min="3592" max="3592" width="2.125" style="13" customWidth="1"/>
    <col min="3593" max="3594" width="15.625" style="13" customWidth="1"/>
    <col min="3595" max="3595" width="2.5" style="13" customWidth="1"/>
    <col min="3596" max="3596" width="17.125" style="13" customWidth="1"/>
    <col min="3597" max="3597" width="18.5" style="13" customWidth="1"/>
    <col min="3598" max="3840" width="10" style="13"/>
    <col min="3841" max="3841" width="19.5" style="13" customWidth="1"/>
    <col min="3842" max="3842" width="1.5" style="13" customWidth="1"/>
    <col min="3843" max="3844" width="15.625" style="13" customWidth="1"/>
    <col min="3845" max="3845" width="2.375" style="13" customWidth="1"/>
    <col min="3846" max="3846" width="17.125" style="13" customWidth="1"/>
    <col min="3847" max="3847" width="17.875" style="13" customWidth="1"/>
    <col min="3848" max="3848" width="2.125" style="13" customWidth="1"/>
    <col min="3849" max="3850" width="15.625" style="13" customWidth="1"/>
    <col min="3851" max="3851" width="2.5" style="13" customWidth="1"/>
    <col min="3852" max="3852" width="17.125" style="13" customWidth="1"/>
    <col min="3853" max="3853" width="18.5" style="13" customWidth="1"/>
    <col min="3854" max="4096" width="10" style="13"/>
    <col min="4097" max="4097" width="19.5" style="13" customWidth="1"/>
    <col min="4098" max="4098" width="1.5" style="13" customWidth="1"/>
    <col min="4099" max="4100" width="15.625" style="13" customWidth="1"/>
    <col min="4101" max="4101" width="2.375" style="13" customWidth="1"/>
    <col min="4102" max="4102" width="17.125" style="13" customWidth="1"/>
    <col min="4103" max="4103" width="17.875" style="13" customWidth="1"/>
    <col min="4104" max="4104" width="2.125" style="13" customWidth="1"/>
    <col min="4105" max="4106" width="15.625" style="13" customWidth="1"/>
    <col min="4107" max="4107" width="2.5" style="13" customWidth="1"/>
    <col min="4108" max="4108" width="17.125" style="13" customWidth="1"/>
    <col min="4109" max="4109" width="18.5" style="13" customWidth="1"/>
    <col min="4110" max="4352" width="10" style="13"/>
    <col min="4353" max="4353" width="19.5" style="13" customWidth="1"/>
    <col min="4354" max="4354" width="1.5" style="13" customWidth="1"/>
    <col min="4355" max="4356" width="15.625" style="13" customWidth="1"/>
    <col min="4357" max="4357" width="2.375" style="13" customWidth="1"/>
    <col min="4358" max="4358" width="17.125" style="13" customWidth="1"/>
    <col min="4359" max="4359" width="17.875" style="13" customWidth="1"/>
    <col min="4360" max="4360" width="2.125" style="13" customWidth="1"/>
    <col min="4361" max="4362" width="15.625" style="13" customWidth="1"/>
    <col min="4363" max="4363" width="2.5" style="13" customWidth="1"/>
    <col min="4364" max="4364" width="17.125" style="13" customWidth="1"/>
    <col min="4365" max="4365" width="18.5" style="13" customWidth="1"/>
    <col min="4366" max="4608" width="10" style="13"/>
    <col min="4609" max="4609" width="19.5" style="13" customWidth="1"/>
    <col min="4610" max="4610" width="1.5" style="13" customWidth="1"/>
    <col min="4611" max="4612" width="15.625" style="13" customWidth="1"/>
    <col min="4613" max="4613" width="2.375" style="13" customWidth="1"/>
    <col min="4614" max="4614" width="17.125" style="13" customWidth="1"/>
    <col min="4615" max="4615" width="17.875" style="13" customWidth="1"/>
    <col min="4616" max="4616" width="2.125" style="13" customWidth="1"/>
    <col min="4617" max="4618" width="15.625" style="13" customWidth="1"/>
    <col min="4619" max="4619" width="2.5" style="13" customWidth="1"/>
    <col min="4620" max="4620" width="17.125" style="13" customWidth="1"/>
    <col min="4621" max="4621" width="18.5" style="13" customWidth="1"/>
    <col min="4622" max="4864" width="10" style="13"/>
    <col min="4865" max="4865" width="19.5" style="13" customWidth="1"/>
    <col min="4866" max="4866" width="1.5" style="13" customWidth="1"/>
    <col min="4867" max="4868" width="15.625" style="13" customWidth="1"/>
    <col min="4869" max="4869" width="2.375" style="13" customWidth="1"/>
    <col min="4870" max="4870" width="17.125" style="13" customWidth="1"/>
    <col min="4871" max="4871" width="17.875" style="13" customWidth="1"/>
    <col min="4872" max="4872" width="2.125" style="13" customWidth="1"/>
    <col min="4873" max="4874" width="15.625" style="13" customWidth="1"/>
    <col min="4875" max="4875" width="2.5" style="13" customWidth="1"/>
    <col min="4876" max="4876" width="17.125" style="13" customWidth="1"/>
    <col min="4877" max="4877" width="18.5" style="13" customWidth="1"/>
    <col min="4878" max="5120" width="10" style="13"/>
    <col min="5121" max="5121" width="19.5" style="13" customWidth="1"/>
    <col min="5122" max="5122" width="1.5" style="13" customWidth="1"/>
    <col min="5123" max="5124" width="15.625" style="13" customWidth="1"/>
    <col min="5125" max="5125" width="2.375" style="13" customWidth="1"/>
    <col min="5126" max="5126" width="17.125" style="13" customWidth="1"/>
    <col min="5127" max="5127" width="17.875" style="13" customWidth="1"/>
    <col min="5128" max="5128" width="2.125" style="13" customWidth="1"/>
    <col min="5129" max="5130" width="15.625" style="13" customWidth="1"/>
    <col min="5131" max="5131" width="2.5" style="13" customWidth="1"/>
    <col min="5132" max="5132" width="17.125" style="13" customWidth="1"/>
    <col min="5133" max="5133" width="18.5" style="13" customWidth="1"/>
    <col min="5134" max="5376" width="10" style="13"/>
    <col min="5377" max="5377" width="19.5" style="13" customWidth="1"/>
    <col min="5378" max="5378" width="1.5" style="13" customWidth="1"/>
    <col min="5379" max="5380" width="15.625" style="13" customWidth="1"/>
    <col min="5381" max="5381" width="2.375" style="13" customWidth="1"/>
    <col min="5382" max="5382" width="17.125" style="13" customWidth="1"/>
    <col min="5383" max="5383" width="17.875" style="13" customWidth="1"/>
    <col min="5384" max="5384" width="2.125" style="13" customWidth="1"/>
    <col min="5385" max="5386" width="15.625" style="13" customWidth="1"/>
    <col min="5387" max="5387" width="2.5" style="13" customWidth="1"/>
    <col min="5388" max="5388" width="17.125" style="13" customWidth="1"/>
    <col min="5389" max="5389" width="18.5" style="13" customWidth="1"/>
    <col min="5390" max="5632" width="10" style="13"/>
    <col min="5633" max="5633" width="19.5" style="13" customWidth="1"/>
    <col min="5634" max="5634" width="1.5" style="13" customWidth="1"/>
    <col min="5635" max="5636" width="15.625" style="13" customWidth="1"/>
    <col min="5637" max="5637" width="2.375" style="13" customWidth="1"/>
    <col min="5638" max="5638" width="17.125" style="13" customWidth="1"/>
    <col min="5639" max="5639" width="17.875" style="13" customWidth="1"/>
    <col min="5640" max="5640" width="2.125" style="13" customWidth="1"/>
    <col min="5641" max="5642" width="15.625" style="13" customWidth="1"/>
    <col min="5643" max="5643" width="2.5" style="13" customWidth="1"/>
    <col min="5644" max="5644" width="17.125" style="13" customWidth="1"/>
    <col min="5645" max="5645" width="18.5" style="13" customWidth="1"/>
    <col min="5646" max="5888" width="10" style="13"/>
    <col min="5889" max="5889" width="19.5" style="13" customWidth="1"/>
    <col min="5890" max="5890" width="1.5" style="13" customWidth="1"/>
    <col min="5891" max="5892" width="15.625" style="13" customWidth="1"/>
    <col min="5893" max="5893" width="2.375" style="13" customWidth="1"/>
    <col min="5894" max="5894" width="17.125" style="13" customWidth="1"/>
    <col min="5895" max="5895" width="17.875" style="13" customWidth="1"/>
    <col min="5896" max="5896" width="2.125" style="13" customWidth="1"/>
    <col min="5897" max="5898" width="15.625" style="13" customWidth="1"/>
    <col min="5899" max="5899" width="2.5" style="13" customWidth="1"/>
    <col min="5900" max="5900" width="17.125" style="13" customWidth="1"/>
    <col min="5901" max="5901" width="18.5" style="13" customWidth="1"/>
    <col min="5902" max="6144" width="10" style="13"/>
    <col min="6145" max="6145" width="19.5" style="13" customWidth="1"/>
    <col min="6146" max="6146" width="1.5" style="13" customWidth="1"/>
    <col min="6147" max="6148" width="15.625" style="13" customWidth="1"/>
    <col min="6149" max="6149" width="2.375" style="13" customWidth="1"/>
    <col min="6150" max="6150" width="17.125" style="13" customWidth="1"/>
    <col min="6151" max="6151" width="17.875" style="13" customWidth="1"/>
    <col min="6152" max="6152" width="2.125" style="13" customWidth="1"/>
    <col min="6153" max="6154" width="15.625" style="13" customWidth="1"/>
    <col min="6155" max="6155" width="2.5" style="13" customWidth="1"/>
    <col min="6156" max="6156" width="17.125" style="13" customWidth="1"/>
    <col min="6157" max="6157" width="18.5" style="13" customWidth="1"/>
    <col min="6158" max="6400" width="10" style="13"/>
    <col min="6401" max="6401" width="19.5" style="13" customWidth="1"/>
    <col min="6402" max="6402" width="1.5" style="13" customWidth="1"/>
    <col min="6403" max="6404" width="15.625" style="13" customWidth="1"/>
    <col min="6405" max="6405" width="2.375" style="13" customWidth="1"/>
    <col min="6406" max="6406" width="17.125" style="13" customWidth="1"/>
    <col min="6407" max="6407" width="17.875" style="13" customWidth="1"/>
    <col min="6408" max="6408" width="2.125" style="13" customWidth="1"/>
    <col min="6409" max="6410" width="15.625" style="13" customWidth="1"/>
    <col min="6411" max="6411" width="2.5" style="13" customWidth="1"/>
    <col min="6412" max="6412" width="17.125" style="13" customWidth="1"/>
    <col min="6413" max="6413" width="18.5" style="13" customWidth="1"/>
    <col min="6414" max="6656" width="10" style="13"/>
    <col min="6657" max="6657" width="19.5" style="13" customWidth="1"/>
    <col min="6658" max="6658" width="1.5" style="13" customWidth="1"/>
    <col min="6659" max="6660" width="15.625" style="13" customWidth="1"/>
    <col min="6661" max="6661" width="2.375" style="13" customWidth="1"/>
    <col min="6662" max="6662" width="17.125" style="13" customWidth="1"/>
    <col min="6663" max="6663" width="17.875" style="13" customWidth="1"/>
    <col min="6664" max="6664" width="2.125" style="13" customWidth="1"/>
    <col min="6665" max="6666" width="15.625" style="13" customWidth="1"/>
    <col min="6667" max="6667" width="2.5" style="13" customWidth="1"/>
    <col min="6668" max="6668" width="17.125" style="13" customWidth="1"/>
    <col min="6669" max="6669" width="18.5" style="13" customWidth="1"/>
    <col min="6670" max="6912" width="10" style="13"/>
    <col min="6913" max="6913" width="19.5" style="13" customWidth="1"/>
    <col min="6914" max="6914" width="1.5" style="13" customWidth="1"/>
    <col min="6915" max="6916" width="15.625" style="13" customWidth="1"/>
    <col min="6917" max="6917" width="2.375" style="13" customWidth="1"/>
    <col min="6918" max="6918" width="17.125" style="13" customWidth="1"/>
    <col min="6919" max="6919" width="17.875" style="13" customWidth="1"/>
    <col min="6920" max="6920" width="2.125" style="13" customWidth="1"/>
    <col min="6921" max="6922" width="15.625" style="13" customWidth="1"/>
    <col min="6923" max="6923" width="2.5" style="13" customWidth="1"/>
    <col min="6924" max="6924" width="17.125" style="13" customWidth="1"/>
    <col min="6925" max="6925" width="18.5" style="13" customWidth="1"/>
    <col min="6926" max="7168" width="10" style="13"/>
    <col min="7169" max="7169" width="19.5" style="13" customWidth="1"/>
    <col min="7170" max="7170" width="1.5" style="13" customWidth="1"/>
    <col min="7171" max="7172" width="15.625" style="13" customWidth="1"/>
    <col min="7173" max="7173" width="2.375" style="13" customWidth="1"/>
    <col min="7174" max="7174" width="17.125" style="13" customWidth="1"/>
    <col min="7175" max="7175" width="17.875" style="13" customWidth="1"/>
    <col min="7176" max="7176" width="2.125" style="13" customWidth="1"/>
    <col min="7177" max="7178" width="15.625" style="13" customWidth="1"/>
    <col min="7179" max="7179" width="2.5" style="13" customWidth="1"/>
    <col min="7180" max="7180" width="17.125" style="13" customWidth="1"/>
    <col min="7181" max="7181" width="18.5" style="13" customWidth="1"/>
    <col min="7182" max="7424" width="10" style="13"/>
    <col min="7425" max="7425" width="19.5" style="13" customWidth="1"/>
    <col min="7426" max="7426" width="1.5" style="13" customWidth="1"/>
    <col min="7427" max="7428" width="15.625" style="13" customWidth="1"/>
    <col min="7429" max="7429" width="2.375" style="13" customWidth="1"/>
    <col min="7430" max="7430" width="17.125" style="13" customWidth="1"/>
    <col min="7431" max="7431" width="17.875" style="13" customWidth="1"/>
    <col min="7432" max="7432" width="2.125" style="13" customWidth="1"/>
    <col min="7433" max="7434" width="15.625" style="13" customWidth="1"/>
    <col min="7435" max="7435" width="2.5" style="13" customWidth="1"/>
    <col min="7436" max="7436" width="17.125" style="13" customWidth="1"/>
    <col min="7437" max="7437" width="18.5" style="13" customWidth="1"/>
    <col min="7438" max="7680" width="10" style="13"/>
    <col min="7681" max="7681" width="19.5" style="13" customWidth="1"/>
    <col min="7682" max="7682" width="1.5" style="13" customWidth="1"/>
    <col min="7683" max="7684" width="15.625" style="13" customWidth="1"/>
    <col min="7685" max="7685" width="2.375" style="13" customWidth="1"/>
    <col min="7686" max="7686" width="17.125" style="13" customWidth="1"/>
    <col min="7687" max="7687" width="17.875" style="13" customWidth="1"/>
    <col min="7688" max="7688" width="2.125" style="13" customWidth="1"/>
    <col min="7689" max="7690" width="15.625" style="13" customWidth="1"/>
    <col min="7691" max="7691" width="2.5" style="13" customWidth="1"/>
    <col min="7692" max="7692" width="17.125" style="13" customWidth="1"/>
    <col min="7693" max="7693" width="18.5" style="13" customWidth="1"/>
    <col min="7694" max="7936" width="10" style="13"/>
    <col min="7937" max="7937" width="19.5" style="13" customWidth="1"/>
    <col min="7938" max="7938" width="1.5" style="13" customWidth="1"/>
    <col min="7939" max="7940" width="15.625" style="13" customWidth="1"/>
    <col min="7941" max="7941" width="2.375" style="13" customWidth="1"/>
    <col min="7942" max="7942" width="17.125" style="13" customWidth="1"/>
    <col min="7943" max="7943" width="17.875" style="13" customWidth="1"/>
    <col min="7944" max="7944" width="2.125" style="13" customWidth="1"/>
    <col min="7945" max="7946" width="15.625" style="13" customWidth="1"/>
    <col min="7947" max="7947" width="2.5" style="13" customWidth="1"/>
    <col min="7948" max="7948" width="17.125" style="13" customWidth="1"/>
    <col min="7949" max="7949" width="18.5" style="13" customWidth="1"/>
    <col min="7950" max="8192" width="10" style="13"/>
    <col min="8193" max="8193" width="19.5" style="13" customWidth="1"/>
    <col min="8194" max="8194" width="1.5" style="13" customWidth="1"/>
    <col min="8195" max="8196" width="15.625" style="13" customWidth="1"/>
    <col min="8197" max="8197" width="2.375" style="13" customWidth="1"/>
    <col min="8198" max="8198" width="17.125" style="13" customWidth="1"/>
    <col min="8199" max="8199" width="17.875" style="13" customWidth="1"/>
    <col min="8200" max="8200" width="2.125" style="13" customWidth="1"/>
    <col min="8201" max="8202" width="15.625" style="13" customWidth="1"/>
    <col min="8203" max="8203" width="2.5" style="13" customWidth="1"/>
    <col min="8204" max="8204" width="17.125" style="13" customWidth="1"/>
    <col min="8205" max="8205" width="18.5" style="13" customWidth="1"/>
    <col min="8206" max="8448" width="10" style="13"/>
    <col min="8449" max="8449" width="19.5" style="13" customWidth="1"/>
    <col min="8450" max="8450" width="1.5" style="13" customWidth="1"/>
    <col min="8451" max="8452" width="15.625" style="13" customWidth="1"/>
    <col min="8453" max="8453" width="2.375" style="13" customWidth="1"/>
    <col min="8454" max="8454" width="17.125" style="13" customWidth="1"/>
    <col min="8455" max="8455" width="17.875" style="13" customWidth="1"/>
    <col min="8456" max="8456" width="2.125" style="13" customWidth="1"/>
    <col min="8457" max="8458" width="15.625" style="13" customWidth="1"/>
    <col min="8459" max="8459" width="2.5" style="13" customWidth="1"/>
    <col min="8460" max="8460" width="17.125" style="13" customWidth="1"/>
    <col min="8461" max="8461" width="18.5" style="13" customWidth="1"/>
    <col min="8462" max="8704" width="10" style="13"/>
    <col min="8705" max="8705" width="19.5" style="13" customWidth="1"/>
    <col min="8706" max="8706" width="1.5" style="13" customWidth="1"/>
    <col min="8707" max="8708" width="15.625" style="13" customWidth="1"/>
    <col min="8709" max="8709" width="2.375" style="13" customWidth="1"/>
    <col min="8710" max="8710" width="17.125" style="13" customWidth="1"/>
    <col min="8711" max="8711" width="17.875" style="13" customWidth="1"/>
    <col min="8712" max="8712" width="2.125" style="13" customWidth="1"/>
    <col min="8713" max="8714" width="15.625" style="13" customWidth="1"/>
    <col min="8715" max="8715" width="2.5" style="13" customWidth="1"/>
    <col min="8716" max="8716" width="17.125" style="13" customWidth="1"/>
    <col min="8717" max="8717" width="18.5" style="13" customWidth="1"/>
    <col min="8718" max="8960" width="10" style="13"/>
    <col min="8961" max="8961" width="19.5" style="13" customWidth="1"/>
    <col min="8962" max="8962" width="1.5" style="13" customWidth="1"/>
    <col min="8963" max="8964" width="15.625" style="13" customWidth="1"/>
    <col min="8965" max="8965" width="2.375" style="13" customWidth="1"/>
    <col min="8966" max="8966" width="17.125" style="13" customWidth="1"/>
    <col min="8967" max="8967" width="17.875" style="13" customWidth="1"/>
    <col min="8968" max="8968" width="2.125" style="13" customWidth="1"/>
    <col min="8969" max="8970" width="15.625" style="13" customWidth="1"/>
    <col min="8971" max="8971" width="2.5" style="13" customWidth="1"/>
    <col min="8972" max="8972" width="17.125" style="13" customWidth="1"/>
    <col min="8973" max="8973" width="18.5" style="13" customWidth="1"/>
    <col min="8974" max="9216" width="10" style="13"/>
    <col min="9217" max="9217" width="19.5" style="13" customWidth="1"/>
    <col min="9218" max="9218" width="1.5" style="13" customWidth="1"/>
    <col min="9219" max="9220" width="15.625" style="13" customWidth="1"/>
    <col min="9221" max="9221" width="2.375" style="13" customWidth="1"/>
    <col min="9222" max="9222" width="17.125" style="13" customWidth="1"/>
    <col min="9223" max="9223" width="17.875" style="13" customWidth="1"/>
    <col min="9224" max="9224" width="2.125" style="13" customWidth="1"/>
    <col min="9225" max="9226" width="15.625" style="13" customWidth="1"/>
    <col min="9227" max="9227" width="2.5" style="13" customWidth="1"/>
    <col min="9228" max="9228" width="17.125" style="13" customWidth="1"/>
    <col min="9229" max="9229" width="18.5" style="13" customWidth="1"/>
    <col min="9230" max="9472" width="10" style="13"/>
    <col min="9473" max="9473" width="19.5" style="13" customWidth="1"/>
    <col min="9474" max="9474" width="1.5" style="13" customWidth="1"/>
    <col min="9475" max="9476" width="15.625" style="13" customWidth="1"/>
    <col min="9477" max="9477" width="2.375" style="13" customWidth="1"/>
    <col min="9478" max="9478" width="17.125" style="13" customWidth="1"/>
    <col min="9479" max="9479" width="17.875" style="13" customWidth="1"/>
    <col min="9480" max="9480" width="2.125" style="13" customWidth="1"/>
    <col min="9481" max="9482" width="15.625" style="13" customWidth="1"/>
    <col min="9483" max="9483" width="2.5" style="13" customWidth="1"/>
    <col min="9484" max="9484" width="17.125" style="13" customWidth="1"/>
    <col min="9485" max="9485" width="18.5" style="13" customWidth="1"/>
    <col min="9486" max="9728" width="10" style="13"/>
    <col min="9729" max="9729" width="19.5" style="13" customWidth="1"/>
    <col min="9730" max="9730" width="1.5" style="13" customWidth="1"/>
    <col min="9731" max="9732" width="15.625" style="13" customWidth="1"/>
    <col min="9733" max="9733" width="2.375" style="13" customWidth="1"/>
    <col min="9734" max="9734" width="17.125" style="13" customWidth="1"/>
    <col min="9735" max="9735" width="17.875" style="13" customWidth="1"/>
    <col min="9736" max="9736" width="2.125" style="13" customWidth="1"/>
    <col min="9737" max="9738" width="15.625" style="13" customWidth="1"/>
    <col min="9739" max="9739" width="2.5" style="13" customWidth="1"/>
    <col min="9740" max="9740" width="17.125" style="13" customWidth="1"/>
    <col min="9741" max="9741" width="18.5" style="13" customWidth="1"/>
    <col min="9742" max="9984" width="10" style="13"/>
    <col min="9985" max="9985" width="19.5" style="13" customWidth="1"/>
    <col min="9986" max="9986" width="1.5" style="13" customWidth="1"/>
    <col min="9987" max="9988" width="15.625" style="13" customWidth="1"/>
    <col min="9989" max="9989" width="2.375" style="13" customWidth="1"/>
    <col min="9990" max="9990" width="17.125" style="13" customWidth="1"/>
    <col min="9991" max="9991" width="17.875" style="13" customWidth="1"/>
    <col min="9992" max="9992" width="2.125" style="13" customWidth="1"/>
    <col min="9993" max="9994" width="15.625" style="13" customWidth="1"/>
    <col min="9995" max="9995" width="2.5" style="13" customWidth="1"/>
    <col min="9996" max="9996" width="17.125" style="13" customWidth="1"/>
    <col min="9997" max="9997" width="18.5" style="13" customWidth="1"/>
    <col min="9998" max="10240" width="10" style="13"/>
    <col min="10241" max="10241" width="19.5" style="13" customWidth="1"/>
    <col min="10242" max="10242" width="1.5" style="13" customWidth="1"/>
    <col min="10243" max="10244" width="15.625" style="13" customWidth="1"/>
    <col min="10245" max="10245" width="2.375" style="13" customWidth="1"/>
    <col min="10246" max="10246" width="17.125" style="13" customWidth="1"/>
    <col min="10247" max="10247" width="17.875" style="13" customWidth="1"/>
    <col min="10248" max="10248" width="2.125" style="13" customWidth="1"/>
    <col min="10249" max="10250" width="15.625" style="13" customWidth="1"/>
    <col min="10251" max="10251" width="2.5" style="13" customWidth="1"/>
    <col min="10252" max="10252" width="17.125" style="13" customWidth="1"/>
    <col min="10253" max="10253" width="18.5" style="13" customWidth="1"/>
    <col min="10254" max="10496" width="10" style="13"/>
    <col min="10497" max="10497" width="19.5" style="13" customWidth="1"/>
    <col min="10498" max="10498" width="1.5" style="13" customWidth="1"/>
    <col min="10499" max="10500" width="15.625" style="13" customWidth="1"/>
    <col min="10501" max="10501" width="2.375" style="13" customWidth="1"/>
    <col min="10502" max="10502" width="17.125" style="13" customWidth="1"/>
    <col min="10503" max="10503" width="17.875" style="13" customWidth="1"/>
    <col min="10504" max="10504" width="2.125" style="13" customWidth="1"/>
    <col min="10505" max="10506" width="15.625" style="13" customWidth="1"/>
    <col min="10507" max="10507" width="2.5" style="13" customWidth="1"/>
    <col min="10508" max="10508" width="17.125" style="13" customWidth="1"/>
    <col min="10509" max="10509" width="18.5" style="13" customWidth="1"/>
    <col min="10510" max="10752" width="10" style="13"/>
    <col min="10753" max="10753" width="19.5" style="13" customWidth="1"/>
    <col min="10754" max="10754" width="1.5" style="13" customWidth="1"/>
    <col min="10755" max="10756" width="15.625" style="13" customWidth="1"/>
    <col min="10757" max="10757" width="2.375" style="13" customWidth="1"/>
    <col min="10758" max="10758" width="17.125" style="13" customWidth="1"/>
    <col min="10759" max="10759" width="17.875" style="13" customWidth="1"/>
    <col min="10760" max="10760" width="2.125" style="13" customWidth="1"/>
    <col min="10761" max="10762" width="15.625" style="13" customWidth="1"/>
    <col min="10763" max="10763" width="2.5" style="13" customWidth="1"/>
    <col min="10764" max="10764" width="17.125" style="13" customWidth="1"/>
    <col min="10765" max="10765" width="18.5" style="13" customWidth="1"/>
    <col min="10766" max="11008" width="10" style="13"/>
    <col min="11009" max="11009" width="19.5" style="13" customWidth="1"/>
    <col min="11010" max="11010" width="1.5" style="13" customWidth="1"/>
    <col min="11011" max="11012" width="15.625" style="13" customWidth="1"/>
    <col min="11013" max="11013" width="2.375" style="13" customWidth="1"/>
    <col min="11014" max="11014" width="17.125" style="13" customWidth="1"/>
    <col min="11015" max="11015" width="17.875" style="13" customWidth="1"/>
    <col min="11016" max="11016" width="2.125" style="13" customWidth="1"/>
    <col min="11017" max="11018" width="15.625" style="13" customWidth="1"/>
    <col min="11019" max="11019" width="2.5" style="13" customWidth="1"/>
    <col min="11020" max="11020" width="17.125" style="13" customWidth="1"/>
    <col min="11021" max="11021" width="18.5" style="13" customWidth="1"/>
    <col min="11022" max="11264" width="10" style="13"/>
    <col min="11265" max="11265" width="19.5" style="13" customWidth="1"/>
    <col min="11266" max="11266" width="1.5" style="13" customWidth="1"/>
    <col min="11267" max="11268" width="15.625" style="13" customWidth="1"/>
    <col min="11269" max="11269" width="2.375" style="13" customWidth="1"/>
    <col min="11270" max="11270" width="17.125" style="13" customWidth="1"/>
    <col min="11271" max="11271" width="17.875" style="13" customWidth="1"/>
    <col min="11272" max="11272" width="2.125" style="13" customWidth="1"/>
    <col min="11273" max="11274" width="15.625" style="13" customWidth="1"/>
    <col min="11275" max="11275" width="2.5" style="13" customWidth="1"/>
    <col min="11276" max="11276" width="17.125" style="13" customWidth="1"/>
    <col min="11277" max="11277" width="18.5" style="13" customWidth="1"/>
    <col min="11278" max="11520" width="10" style="13"/>
    <col min="11521" max="11521" width="19.5" style="13" customWidth="1"/>
    <col min="11522" max="11522" width="1.5" style="13" customWidth="1"/>
    <col min="11523" max="11524" width="15.625" style="13" customWidth="1"/>
    <col min="11525" max="11525" width="2.375" style="13" customWidth="1"/>
    <col min="11526" max="11526" width="17.125" style="13" customWidth="1"/>
    <col min="11527" max="11527" width="17.875" style="13" customWidth="1"/>
    <col min="11528" max="11528" width="2.125" style="13" customWidth="1"/>
    <col min="11529" max="11530" width="15.625" style="13" customWidth="1"/>
    <col min="11531" max="11531" width="2.5" style="13" customWidth="1"/>
    <col min="11532" max="11532" width="17.125" style="13" customWidth="1"/>
    <col min="11533" max="11533" width="18.5" style="13" customWidth="1"/>
    <col min="11534" max="11776" width="10" style="13"/>
    <col min="11777" max="11777" width="19.5" style="13" customWidth="1"/>
    <col min="11778" max="11778" width="1.5" style="13" customWidth="1"/>
    <col min="11779" max="11780" width="15.625" style="13" customWidth="1"/>
    <col min="11781" max="11781" width="2.375" style="13" customWidth="1"/>
    <col min="11782" max="11782" width="17.125" style="13" customWidth="1"/>
    <col min="11783" max="11783" width="17.875" style="13" customWidth="1"/>
    <col min="11784" max="11784" width="2.125" style="13" customWidth="1"/>
    <col min="11785" max="11786" width="15.625" style="13" customWidth="1"/>
    <col min="11787" max="11787" width="2.5" style="13" customWidth="1"/>
    <col min="11788" max="11788" width="17.125" style="13" customWidth="1"/>
    <col min="11789" max="11789" width="18.5" style="13" customWidth="1"/>
    <col min="11790" max="12032" width="10" style="13"/>
    <col min="12033" max="12033" width="19.5" style="13" customWidth="1"/>
    <col min="12034" max="12034" width="1.5" style="13" customWidth="1"/>
    <col min="12035" max="12036" width="15.625" style="13" customWidth="1"/>
    <col min="12037" max="12037" width="2.375" style="13" customWidth="1"/>
    <col min="12038" max="12038" width="17.125" style="13" customWidth="1"/>
    <col min="12039" max="12039" width="17.875" style="13" customWidth="1"/>
    <col min="12040" max="12040" width="2.125" style="13" customWidth="1"/>
    <col min="12041" max="12042" width="15.625" style="13" customWidth="1"/>
    <col min="12043" max="12043" width="2.5" style="13" customWidth="1"/>
    <col min="12044" max="12044" width="17.125" style="13" customWidth="1"/>
    <col min="12045" max="12045" width="18.5" style="13" customWidth="1"/>
    <col min="12046" max="12288" width="10" style="13"/>
    <col min="12289" max="12289" width="19.5" style="13" customWidth="1"/>
    <col min="12290" max="12290" width="1.5" style="13" customWidth="1"/>
    <col min="12291" max="12292" width="15.625" style="13" customWidth="1"/>
    <col min="12293" max="12293" width="2.375" style="13" customWidth="1"/>
    <col min="12294" max="12294" width="17.125" style="13" customWidth="1"/>
    <col min="12295" max="12295" width="17.875" style="13" customWidth="1"/>
    <col min="12296" max="12296" width="2.125" style="13" customWidth="1"/>
    <col min="12297" max="12298" width="15.625" style="13" customWidth="1"/>
    <col min="12299" max="12299" width="2.5" style="13" customWidth="1"/>
    <col min="12300" max="12300" width="17.125" style="13" customWidth="1"/>
    <col min="12301" max="12301" width="18.5" style="13" customWidth="1"/>
    <col min="12302" max="12544" width="10" style="13"/>
    <col min="12545" max="12545" width="19.5" style="13" customWidth="1"/>
    <col min="12546" max="12546" width="1.5" style="13" customWidth="1"/>
    <col min="12547" max="12548" width="15.625" style="13" customWidth="1"/>
    <col min="12549" max="12549" width="2.375" style="13" customWidth="1"/>
    <col min="12550" max="12550" width="17.125" style="13" customWidth="1"/>
    <col min="12551" max="12551" width="17.875" style="13" customWidth="1"/>
    <col min="12552" max="12552" width="2.125" style="13" customWidth="1"/>
    <col min="12553" max="12554" width="15.625" style="13" customWidth="1"/>
    <col min="12555" max="12555" width="2.5" style="13" customWidth="1"/>
    <col min="12556" max="12556" width="17.125" style="13" customWidth="1"/>
    <col min="12557" max="12557" width="18.5" style="13" customWidth="1"/>
    <col min="12558" max="12800" width="10" style="13"/>
    <col min="12801" max="12801" width="19.5" style="13" customWidth="1"/>
    <col min="12802" max="12802" width="1.5" style="13" customWidth="1"/>
    <col min="12803" max="12804" width="15.625" style="13" customWidth="1"/>
    <col min="12805" max="12805" width="2.375" style="13" customWidth="1"/>
    <col min="12806" max="12806" width="17.125" style="13" customWidth="1"/>
    <col min="12807" max="12807" width="17.875" style="13" customWidth="1"/>
    <col min="12808" max="12808" width="2.125" style="13" customWidth="1"/>
    <col min="12809" max="12810" width="15.625" style="13" customWidth="1"/>
    <col min="12811" max="12811" width="2.5" style="13" customWidth="1"/>
    <col min="12812" max="12812" width="17.125" style="13" customWidth="1"/>
    <col min="12813" max="12813" width="18.5" style="13" customWidth="1"/>
    <col min="12814" max="13056" width="10" style="13"/>
    <col min="13057" max="13057" width="19.5" style="13" customWidth="1"/>
    <col min="13058" max="13058" width="1.5" style="13" customWidth="1"/>
    <col min="13059" max="13060" width="15.625" style="13" customWidth="1"/>
    <col min="13061" max="13061" width="2.375" style="13" customWidth="1"/>
    <col min="13062" max="13062" width="17.125" style="13" customWidth="1"/>
    <col min="13063" max="13063" width="17.875" style="13" customWidth="1"/>
    <col min="13064" max="13064" width="2.125" style="13" customWidth="1"/>
    <col min="13065" max="13066" width="15.625" style="13" customWidth="1"/>
    <col min="13067" max="13067" width="2.5" style="13" customWidth="1"/>
    <col min="13068" max="13068" width="17.125" style="13" customWidth="1"/>
    <col min="13069" max="13069" width="18.5" style="13" customWidth="1"/>
    <col min="13070" max="13312" width="10" style="13"/>
    <col min="13313" max="13313" width="19.5" style="13" customWidth="1"/>
    <col min="13314" max="13314" width="1.5" style="13" customWidth="1"/>
    <col min="13315" max="13316" width="15.625" style="13" customWidth="1"/>
    <col min="13317" max="13317" width="2.375" style="13" customWidth="1"/>
    <col min="13318" max="13318" width="17.125" style="13" customWidth="1"/>
    <col min="13319" max="13319" width="17.875" style="13" customWidth="1"/>
    <col min="13320" max="13320" width="2.125" style="13" customWidth="1"/>
    <col min="13321" max="13322" width="15.625" style="13" customWidth="1"/>
    <col min="13323" max="13323" width="2.5" style="13" customWidth="1"/>
    <col min="13324" max="13324" width="17.125" style="13" customWidth="1"/>
    <col min="13325" max="13325" width="18.5" style="13" customWidth="1"/>
    <col min="13326" max="13568" width="10" style="13"/>
    <col min="13569" max="13569" width="19.5" style="13" customWidth="1"/>
    <col min="13570" max="13570" width="1.5" style="13" customWidth="1"/>
    <col min="13571" max="13572" width="15.625" style="13" customWidth="1"/>
    <col min="13573" max="13573" width="2.375" style="13" customWidth="1"/>
    <col min="13574" max="13574" width="17.125" style="13" customWidth="1"/>
    <col min="13575" max="13575" width="17.875" style="13" customWidth="1"/>
    <col min="13576" max="13576" width="2.125" style="13" customWidth="1"/>
    <col min="13577" max="13578" width="15.625" style="13" customWidth="1"/>
    <col min="13579" max="13579" width="2.5" style="13" customWidth="1"/>
    <col min="13580" max="13580" width="17.125" style="13" customWidth="1"/>
    <col min="13581" max="13581" width="18.5" style="13" customWidth="1"/>
    <col min="13582" max="13824" width="10" style="13"/>
    <col min="13825" max="13825" width="19.5" style="13" customWidth="1"/>
    <col min="13826" max="13826" width="1.5" style="13" customWidth="1"/>
    <col min="13827" max="13828" width="15.625" style="13" customWidth="1"/>
    <col min="13829" max="13829" width="2.375" style="13" customWidth="1"/>
    <col min="13830" max="13830" width="17.125" style="13" customWidth="1"/>
    <col min="13831" max="13831" width="17.875" style="13" customWidth="1"/>
    <col min="13832" max="13832" width="2.125" style="13" customWidth="1"/>
    <col min="13833" max="13834" width="15.625" style="13" customWidth="1"/>
    <col min="13835" max="13835" width="2.5" style="13" customWidth="1"/>
    <col min="13836" max="13836" width="17.125" style="13" customWidth="1"/>
    <col min="13837" max="13837" width="18.5" style="13" customWidth="1"/>
    <col min="13838" max="14080" width="10" style="13"/>
    <col min="14081" max="14081" width="19.5" style="13" customWidth="1"/>
    <col min="14082" max="14082" width="1.5" style="13" customWidth="1"/>
    <col min="14083" max="14084" width="15.625" style="13" customWidth="1"/>
    <col min="14085" max="14085" width="2.375" style="13" customWidth="1"/>
    <col min="14086" max="14086" width="17.125" style="13" customWidth="1"/>
    <col min="14087" max="14087" width="17.875" style="13" customWidth="1"/>
    <col min="14088" max="14088" width="2.125" style="13" customWidth="1"/>
    <col min="14089" max="14090" width="15.625" style="13" customWidth="1"/>
    <col min="14091" max="14091" width="2.5" style="13" customWidth="1"/>
    <col min="14092" max="14092" width="17.125" style="13" customWidth="1"/>
    <col min="14093" max="14093" width="18.5" style="13" customWidth="1"/>
    <col min="14094" max="14336" width="10" style="13"/>
    <col min="14337" max="14337" width="19.5" style="13" customWidth="1"/>
    <col min="14338" max="14338" width="1.5" style="13" customWidth="1"/>
    <col min="14339" max="14340" width="15.625" style="13" customWidth="1"/>
    <col min="14341" max="14341" width="2.375" style="13" customWidth="1"/>
    <col min="14342" max="14342" width="17.125" style="13" customWidth="1"/>
    <col min="14343" max="14343" width="17.875" style="13" customWidth="1"/>
    <col min="14344" max="14344" width="2.125" style="13" customWidth="1"/>
    <col min="14345" max="14346" width="15.625" style="13" customWidth="1"/>
    <col min="14347" max="14347" width="2.5" style="13" customWidth="1"/>
    <col min="14348" max="14348" width="17.125" style="13" customWidth="1"/>
    <col min="14349" max="14349" width="18.5" style="13" customWidth="1"/>
    <col min="14350" max="14592" width="10" style="13"/>
    <col min="14593" max="14593" width="19.5" style="13" customWidth="1"/>
    <col min="14594" max="14594" width="1.5" style="13" customWidth="1"/>
    <col min="14595" max="14596" width="15.625" style="13" customWidth="1"/>
    <col min="14597" max="14597" width="2.375" style="13" customWidth="1"/>
    <col min="14598" max="14598" width="17.125" style="13" customWidth="1"/>
    <col min="14599" max="14599" width="17.875" style="13" customWidth="1"/>
    <col min="14600" max="14600" width="2.125" style="13" customWidth="1"/>
    <col min="14601" max="14602" width="15.625" style="13" customWidth="1"/>
    <col min="14603" max="14603" width="2.5" style="13" customWidth="1"/>
    <col min="14604" max="14604" width="17.125" style="13" customWidth="1"/>
    <col min="14605" max="14605" width="18.5" style="13" customWidth="1"/>
    <col min="14606" max="14848" width="10" style="13"/>
    <col min="14849" max="14849" width="19.5" style="13" customWidth="1"/>
    <col min="14850" max="14850" width="1.5" style="13" customWidth="1"/>
    <col min="14851" max="14852" width="15.625" style="13" customWidth="1"/>
    <col min="14853" max="14853" width="2.375" style="13" customWidth="1"/>
    <col min="14854" max="14854" width="17.125" style="13" customWidth="1"/>
    <col min="14855" max="14855" width="17.875" style="13" customWidth="1"/>
    <col min="14856" max="14856" width="2.125" style="13" customWidth="1"/>
    <col min="14857" max="14858" width="15.625" style="13" customWidth="1"/>
    <col min="14859" max="14859" width="2.5" style="13" customWidth="1"/>
    <col min="14860" max="14860" width="17.125" style="13" customWidth="1"/>
    <col min="14861" max="14861" width="18.5" style="13" customWidth="1"/>
    <col min="14862" max="15104" width="10" style="13"/>
    <col min="15105" max="15105" width="19.5" style="13" customWidth="1"/>
    <col min="15106" max="15106" width="1.5" style="13" customWidth="1"/>
    <col min="15107" max="15108" width="15.625" style="13" customWidth="1"/>
    <col min="15109" max="15109" width="2.375" style="13" customWidth="1"/>
    <col min="15110" max="15110" width="17.125" style="13" customWidth="1"/>
    <col min="15111" max="15111" width="17.875" style="13" customWidth="1"/>
    <col min="15112" max="15112" width="2.125" style="13" customWidth="1"/>
    <col min="15113" max="15114" width="15.625" style="13" customWidth="1"/>
    <col min="15115" max="15115" width="2.5" style="13" customWidth="1"/>
    <col min="15116" max="15116" width="17.125" style="13" customWidth="1"/>
    <col min="15117" max="15117" width="18.5" style="13" customWidth="1"/>
    <col min="15118" max="15360" width="10" style="13"/>
    <col min="15361" max="15361" width="19.5" style="13" customWidth="1"/>
    <col min="15362" max="15362" width="1.5" style="13" customWidth="1"/>
    <col min="15363" max="15364" width="15.625" style="13" customWidth="1"/>
    <col min="15365" max="15365" width="2.375" style="13" customWidth="1"/>
    <col min="15366" max="15366" width="17.125" style="13" customWidth="1"/>
    <col min="15367" max="15367" width="17.875" style="13" customWidth="1"/>
    <col min="15368" max="15368" width="2.125" style="13" customWidth="1"/>
    <col min="15369" max="15370" width="15.625" style="13" customWidth="1"/>
    <col min="15371" max="15371" width="2.5" style="13" customWidth="1"/>
    <col min="15372" max="15372" width="17.125" style="13" customWidth="1"/>
    <col min="15373" max="15373" width="18.5" style="13" customWidth="1"/>
    <col min="15374" max="15616" width="10" style="13"/>
    <col min="15617" max="15617" width="19.5" style="13" customWidth="1"/>
    <col min="15618" max="15618" width="1.5" style="13" customWidth="1"/>
    <col min="15619" max="15620" width="15.625" style="13" customWidth="1"/>
    <col min="15621" max="15621" width="2.375" style="13" customWidth="1"/>
    <col min="15622" max="15622" width="17.125" style="13" customWidth="1"/>
    <col min="15623" max="15623" width="17.875" style="13" customWidth="1"/>
    <col min="15624" max="15624" width="2.125" style="13" customWidth="1"/>
    <col min="15625" max="15626" width="15.625" style="13" customWidth="1"/>
    <col min="15627" max="15627" width="2.5" style="13" customWidth="1"/>
    <col min="15628" max="15628" width="17.125" style="13" customWidth="1"/>
    <col min="15629" max="15629" width="18.5" style="13" customWidth="1"/>
    <col min="15630" max="15872" width="10" style="13"/>
    <col min="15873" max="15873" width="19.5" style="13" customWidth="1"/>
    <col min="15874" max="15874" width="1.5" style="13" customWidth="1"/>
    <col min="15875" max="15876" width="15.625" style="13" customWidth="1"/>
    <col min="15877" max="15877" width="2.375" style="13" customWidth="1"/>
    <col min="15878" max="15878" width="17.125" style="13" customWidth="1"/>
    <col min="15879" max="15879" width="17.875" style="13" customWidth="1"/>
    <col min="15880" max="15880" width="2.125" style="13" customWidth="1"/>
    <col min="15881" max="15882" width="15.625" style="13" customWidth="1"/>
    <col min="15883" max="15883" width="2.5" style="13" customWidth="1"/>
    <col min="15884" max="15884" width="17.125" style="13" customWidth="1"/>
    <col min="15885" max="15885" width="18.5" style="13" customWidth="1"/>
    <col min="15886" max="16128" width="10" style="13"/>
    <col min="16129" max="16129" width="19.5" style="13" customWidth="1"/>
    <col min="16130" max="16130" width="1.5" style="13" customWidth="1"/>
    <col min="16131" max="16132" width="15.625" style="13" customWidth="1"/>
    <col min="16133" max="16133" width="2.375" style="13" customWidth="1"/>
    <col min="16134" max="16134" width="17.125" style="13" customWidth="1"/>
    <col min="16135" max="16135" width="17.875" style="13" customWidth="1"/>
    <col min="16136" max="16136" width="2.125" style="13" customWidth="1"/>
    <col min="16137" max="16138" width="15.625" style="13" customWidth="1"/>
    <col min="16139" max="16139" width="2.5" style="13" customWidth="1"/>
    <col min="16140" max="16140" width="17.125" style="13" customWidth="1"/>
    <col min="16141" max="16141" width="18.5" style="13" customWidth="1"/>
    <col min="16142" max="16384" width="10" style="13"/>
  </cols>
  <sheetData>
    <row r="1" spans="1:13" s="317" customFormat="1" ht="19.5">
      <c r="A1" s="1" t="s">
        <v>502</v>
      </c>
      <c r="B1" s="1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</row>
    <row r="2" spans="1:13" s="317" customFormat="1" ht="15" customHeight="1">
      <c r="A2" s="1"/>
      <c r="B2" s="1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8" t="s">
        <v>500</v>
      </c>
    </row>
    <row r="3" spans="1:13" ht="15.75" customHeight="1">
      <c r="M3" s="318" t="s">
        <v>501</v>
      </c>
    </row>
    <row r="4" spans="1:13" s="317" customFormat="1">
      <c r="A4" s="321" t="s">
        <v>63</v>
      </c>
      <c r="B4" s="322"/>
      <c r="C4" s="538" t="s">
        <v>503</v>
      </c>
      <c r="D4" s="539" t="s">
        <v>504</v>
      </c>
      <c r="E4" s="333"/>
      <c r="F4" s="323" t="s">
        <v>505</v>
      </c>
      <c r="G4" s="324" t="s">
        <v>506</v>
      </c>
      <c r="H4" s="333"/>
      <c r="I4" s="538" t="s">
        <v>507</v>
      </c>
      <c r="J4" s="539" t="s">
        <v>508</v>
      </c>
      <c r="K4" s="333"/>
      <c r="L4" s="323" t="s">
        <v>509</v>
      </c>
      <c r="M4" s="324" t="s">
        <v>510</v>
      </c>
    </row>
    <row r="5" spans="1:13">
      <c r="A5" s="325">
        <v>85121010001</v>
      </c>
      <c r="B5" s="476"/>
      <c r="C5" s="475"/>
      <c r="D5" s="326"/>
      <c r="E5" s="475"/>
      <c r="F5" s="475"/>
      <c r="G5" s="326"/>
      <c r="H5" s="475"/>
      <c r="I5" s="475"/>
      <c r="J5" s="326"/>
      <c r="K5" s="475"/>
      <c r="L5" s="475"/>
      <c r="M5" s="326"/>
    </row>
    <row r="6" spans="1:13">
      <c r="A6" s="327" t="s">
        <v>64</v>
      </c>
      <c r="B6" s="317"/>
      <c r="C6" s="464">
        <v>10837</v>
      </c>
      <c r="D6" s="551">
        <v>1221491</v>
      </c>
      <c r="F6" s="464">
        <v>42143</v>
      </c>
      <c r="G6" s="551">
        <v>4806818</v>
      </c>
      <c r="I6" s="464">
        <v>5407</v>
      </c>
      <c r="J6" s="551">
        <v>360948</v>
      </c>
      <c r="L6" s="464">
        <v>22490</v>
      </c>
      <c r="M6" s="551">
        <v>1776398</v>
      </c>
    </row>
    <row r="7" spans="1:13">
      <c r="A7" s="327" t="s">
        <v>65</v>
      </c>
      <c r="B7" s="13" t="s">
        <v>66</v>
      </c>
      <c r="C7" s="464">
        <v>95180</v>
      </c>
      <c r="D7" s="463" t="s">
        <v>393</v>
      </c>
      <c r="E7" s="13" t="s">
        <v>66</v>
      </c>
      <c r="F7" s="464">
        <v>350883</v>
      </c>
      <c r="G7" s="463" t="s">
        <v>393</v>
      </c>
      <c r="H7" s="13" t="s">
        <v>66</v>
      </c>
      <c r="I7" s="464">
        <v>69215</v>
      </c>
      <c r="J7" s="463" t="s">
        <v>393</v>
      </c>
      <c r="K7" s="320" t="s">
        <v>66</v>
      </c>
      <c r="L7" s="464">
        <v>444105</v>
      </c>
      <c r="M7" s="463" t="s">
        <v>393</v>
      </c>
    </row>
    <row r="8" spans="1:13">
      <c r="A8" s="329">
        <v>85121020009</v>
      </c>
      <c r="B8" s="474"/>
      <c r="C8" s="469"/>
      <c r="D8" s="472"/>
      <c r="E8" s="473"/>
      <c r="F8" s="469"/>
      <c r="G8" s="465"/>
      <c r="H8" s="473"/>
      <c r="I8" s="469"/>
      <c r="J8" s="472"/>
      <c r="K8" s="473"/>
      <c r="L8" s="469"/>
      <c r="M8" s="472"/>
    </row>
    <row r="9" spans="1:13">
      <c r="A9" s="327" t="s">
        <v>67</v>
      </c>
      <c r="B9" s="317"/>
      <c r="C9" s="464">
        <v>1594</v>
      </c>
      <c r="D9" s="551">
        <v>148811</v>
      </c>
      <c r="F9" s="464">
        <v>18289</v>
      </c>
      <c r="G9" s="551">
        <v>3254704</v>
      </c>
      <c r="I9" s="464">
        <v>1579</v>
      </c>
      <c r="J9" s="551">
        <v>151376</v>
      </c>
      <c r="L9" s="464">
        <v>11239</v>
      </c>
      <c r="M9" s="551">
        <v>987945</v>
      </c>
    </row>
    <row r="10" spans="1:13">
      <c r="A10" s="327" t="s">
        <v>68</v>
      </c>
      <c r="B10" s="13" t="s">
        <v>66</v>
      </c>
      <c r="C10" s="464">
        <v>20717</v>
      </c>
      <c r="D10" s="463" t="s">
        <v>393</v>
      </c>
      <c r="E10" s="13" t="s">
        <v>66</v>
      </c>
      <c r="F10" s="464">
        <v>212574</v>
      </c>
      <c r="G10" s="463" t="s">
        <v>393</v>
      </c>
      <c r="H10" s="13" t="s">
        <v>66</v>
      </c>
      <c r="I10" s="464">
        <v>32409</v>
      </c>
      <c r="J10" s="463" t="s">
        <v>392</v>
      </c>
      <c r="K10" s="320" t="s">
        <v>66</v>
      </c>
      <c r="L10" s="464">
        <v>219081</v>
      </c>
      <c r="M10" s="463" t="s">
        <v>393</v>
      </c>
    </row>
    <row r="11" spans="1:13">
      <c r="A11" s="330">
        <v>87149120007</v>
      </c>
      <c r="B11" s="468"/>
      <c r="C11" s="542"/>
      <c r="D11" s="472"/>
      <c r="E11" s="467"/>
      <c r="F11" s="469"/>
      <c r="G11" s="465"/>
      <c r="H11" s="467"/>
      <c r="I11" s="469"/>
      <c r="J11" s="465"/>
      <c r="K11" s="467"/>
      <c r="L11" s="469"/>
      <c r="M11" s="472"/>
    </row>
    <row r="12" spans="1:13">
      <c r="A12" s="327" t="s">
        <v>70</v>
      </c>
      <c r="B12" s="317"/>
      <c r="C12" s="464">
        <f>VLOOKUP(A11,[14]進出口值表查詢結果!$A$2:$E$19,4,0)</f>
        <v>875203</v>
      </c>
      <c r="D12" s="551">
        <f>VLOOKUP(A11,[14]進出口值表查詢結果!$A$2:$E$19,3,0)</f>
        <v>62953363</v>
      </c>
      <c r="F12" s="464">
        <f>VLOOKUP(A11,[15]進出口值表查詢結果!$A$2:$E$19,4,0)</f>
        <v>5452365</v>
      </c>
      <c r="G12" s="551">
        <f>VLOOKUP(A11,[15]進出口值表查詢結果!$A$2:$E$19,3,0)</f>
        <v>353203618</v>
      </c>
      <c r="I12" s="464">
        <f>VLOOKUP(A11,[16]進出口值表查詢結果!$A$2:$E$19,4,0)</f>
        <v>623889</v>
      </c>
      <c r="J12" s="551">
        <f>VLOOKUP(A11,[16]進出口值表查詢結果!$A$2:$E$19,3,0)</f>
        <v>42791349</v>
      </c>
      <c r="L12" s="464">
        <f>VLOOKUP(A11,[17]進出口值表查詢結果!$A$2:$E$19,4,0)</f>
        <v>3123487</v>
      </c>
      <c r="M12" s="551">
        <f>VLOOKUP(A11,[17]進出口值表查詢結果!$A$2:$E$19,3,0)</f>
        <v>181962616</v>
      </c>
    </row>
    <row r="13" spans="1:13">
      <c r="A13" s="327" t="s">
        <v>71</v>
      </c>
      <c r="B13" s="13" t="s">
        <v>66</v>
      </c>
      <c r="C13" s="464">
        <f>VLOOKUP(A11,[18]出!$B$11:$G$350,6,0)</f>
        <v>0</v>
      </c>
      <c r="D13" s="463"/>
      <c r="E13" s="13" t="s">
        <v>66</v>
      </c>
      <c r="F13" s="464">
        <f>VLOOKUP(A11,[18]出同!$B$11:$J$301,9,0)</f>
        <v>0</v>
      </c>
      <c r="G13" s="463"/>
      <c r="I13" s="464"/>
      <c r="J13" s="463"/>
      <c r="L13" s="464"/>
      <c r="M13" s="463"/>
    </row>
    <row r="14" spans="1:13">
      <c r="A14" s="330">
        <v>87149200108</v>
      </c>
      <c r="B14" s="468"/>
      <c r="C14" s="469"/>
      <c r="D14" s="465"/>
      <c r="E14" s="467"/>
      <c r="F14" s="469"/>
      <c r="G14" s="465"/>
      <c r="H14" s="467"/>
      <c r="I14" s="469"/>
      <c r="J14" s="465"/>
      <c r="K14" s="467"/>
      <c r="L14" s="469"/>
      <c r="M14" s="465"/>
    </row>
    <row r="15" spans="1:13">
      <c r="A15" s="327" t="s">
        <v>72</v>
      </c>
      <c r="B15" s="317"/>
      <c r="C15" s="464">
        <f>VLOOKUP(A14,[14]進出口值表查詢結果!$A$2:$E$19,4,0)</f>
        <v>89732</v>
      </c>
      <c r="D15" s="551">
        <f>VLOOKUP(A14,[14]進出口值表查詢結果!$A$2:$E$19,3,0)</f>
        <v>2285971</v>
      </c>
      <c r="F15" s="464">
        <f>VLOOKUP(A14,[15]進出口值表查詢結果!$A$2:$E$19,4,0)</f>
        <v>695162</v>
      </c>
      <c r="G15" s="551">
        <f>VLOOKUP(A14,[15]進出口值表查詢結果!$A$2:$E$19,3,0)</f>
        <v>15109943</v>
      </c>
      <c r="I15" s="464">
        <f>VLOOKUP(A14,[16]進出口值表查詢結果!$A$2:$E$19,4,0)</f>
        <v>100984</v>
      </c>
      <c r="J15" s="551">
        <f>VLOOKUP(A14,[16]進出口值表查詢結果!$A$2:$E$19,3,0)</f>
        <v>6377462</v>
      </c>
      <c r="L15" s="464">
        <f>VLOOKUP(A14,[17]進出口值表查詢結果!$A$2:$E$19,4,0)</f>
        <v>440643</v>
      </c>
      <c r="M15" s="551">
        <f>VLOOKUP(A14,[17]進出口值表查詢結果!$A$2:$E$19,3,0)</f>
        <v>29169184</v>
      </c>
    </row>
    <row r="16" spans="1:13">
      <c r="A16" s="327"/>
      <c r="B16" s="13" t="s">
        <v>66</v>
      </c>
      <c r="C16" s="464">
        <f>VLOOKUP(A14,[14]進出口值表查詢結果!$A$2:$E$19,5,0)</f>
        <v>162988</v>
      </c>
      <c r="D16" s="463" t="s">
        <v>155</v>
      </c>
      <c r="E16" s="13" t="s">
        <v>66</v>
      </c>
      <c r="F16" s="464">
        <f>VLOOKUP(A14,[15]進出口值表查詢結果!$A$2:$E$19,5,0)</f>
        <v>1319143</v>
      </c>
      <c r="G16" s="463" t="s">
        <v>69</v>
      </c>
      <c r="H16" s="13" t="s">
        <v>66</v>
      </c>
      <c r="I16" s="464">
        <f>VLOOKUP(A14,[16]進出口值表查詢結果!$A$2:$E$19,5,0)</f>
        <v>178543</v>
      </c>
      <c r="J16" s="463" t="s">
        <v>69</v>
      </c>
      <c r="K16" s="320" t="s">
        <v>66</v>
      </c>
      <c r="L16" s="464">
        <f>VLOOKUP(A14,[17]進出口值表查詢結果!$A$2:$E$19,5,0)</f>
        <v>820377</v>
      </c>
      <c r="M16" s="463" t="s">
        <v>69</v>
      </c>
    </row>
    <row r="17" spans="1:13">
      <c r="A17" s="330">
        <v>87149200206</v>
      </c>
      <c r="B17" s="468"/>
      <c r="C17" s="469"/>
      <c r="D17" s="465"/>
      <c r="E17" s="467"/>
      <c r="F17" s="469"/>
      <c r="G17" s="465"/>
      <c r="H17" s="467"/>
      <c r="I17" s="466"/>
      <c r="J17" s="465"/>
      <c r="K17" s="467"/>
      <c r="L17" s="466"/>
      <c r="M17" s="465"/>
    </row>
    <row r="18" spans="1:13">
      <c r="A18" s="327" t="s">
        <v>58</v>
      </c>
      <c r="B18" s="317"/>
      <c r="C18" s="464">
        <f>VLOOKUP(A17,[14]進出口值表查詢結果!$A$2:$E$19,4,0)</f>
        <v>40384</v>
      </c>
      <c r="D18" s="551">
        <f>VLOOKUP(A17,[14]進出口值表查詢結果!$A$2:$E$19,3,0)</f>
        <v>763921</v>
      </c>
      <c r="F18" s="464">
        <f>VLOOKUP(A17,[15]進出口值表查詢結果!$A$2:$E$19,4,0)</f>
        <v>315478</v>
      </c>
      <c r="G18" s="551">
        <f>VLOOKUP(A17,[15]進出口值表查詢結果!$A$2:$E$19,3,0)</f>
        <v>4179795</v>
      </c>
      <c r="I18" s="464">
        <f>VLOOKUP(A17,[16]進出口值表查詢結果!$A$2:$E$19,4,0)</f>
        <v>7982</v>
      </c>
      <c r="J18" s="551">
        <f>VLOOKUP(A17,[16]進出口值表查詢結果!$A$2:$E$19,3,0)</f>
        <v>476362</v>
      </c>
      <c r="L18" s="464">
        <f>VLOOKUP(A17,[17]進出口值表查詢結果!$A$2:$E$19,4,0)</f>
        <v>50388</v>
      </c>
      <c r="M18" s="551">
        <f>VLOOKUP(A17,[17]進出口值表查詢結果!$A$2:$E$19,3,0)</f>
        <v>3219933</v>
      </c>
    </row>
    <row r="19" spans="1:13">
      <c r="A19" s="327"/>
      <c r="B19" s="13" t="s">
        <v>66</v>
      </c>
      <c r="C19" s="464">
        <f>VLOOKUP(A17,[14]進出口值表查詢結果!$A$2:$E$19,5,0)</f>
        <v>6152651</v>
      </c>
      <c r="D19" s="463" t="s">
        <v>155</v>
      </c>
      <c r="E19" s="13" t="s">
        <v>66</v>
      </c>
      <c r="F19" s="464">
        <f>VLOOKUP(A17,[15]進出口值表查詢結果!$A$2:$E$19,5,0)</f>
        <v>43968879</v>
      </c>
      <c r="G19" s="463" t="s">
        <v>69</v>
      </c>
      <c r="H19" s="13" t="s">
        <v>66</v>
      </c>
      <c r="I19" s="464">
        <f>VLOOKUP(A17,[16]進出口值表查詢結果!$A$2:$E$19,5,0)</f>
        <v>1733531</v>
      </c>
      <c r="J19" s="463" t="s">
        <v>69</v>
      </c>
      <c r="K19" s="320" t="s">
        <v>66</v>
      </c>
      <c r="L19" s="464">
        <f>VLOOKUP(A17,[17]進出口值表查詢結果!$A$2:$E$19,5,0)</f>
        <v>9589135</v>
      </c>
      <c r="M19" s="463" t="s">
        <v>69</v>
      </c>
    </row>
    <row r="20" spans="1:13">
      <c r="A20" s="330">
        <v>87149200304</v>
      </c>
      <c r="B20" s="468"/>
      <c r="C20" s="469"/>
      <c r="D20" s="465"/>
      <c r="E20" s="467"/>
      <c r="F20" s="469"/>
      <c r="G20" s="465"/>
      <c r="H20" s="467"/>
      <c r="I20" s="466"/>
      <c r="J20" s="465"/>
      <c r="K20" s="467"/>
      <c r="L20" s="466"/>
      <c r="M20" s="465"/>
    </row>
    <row r="21" spans="1:13">
      <c r="A21" s="327" t="s">
        <v>59</v>
      </c>
      <c r="B21" s="317"/>
      <c r="C21" s="464">
        <f>VLOOKUP(A20,[14]進出口值表查詢結果!$A$2:$E$19,4,0)</f>
        <v>48714</v>
      </c>
      <c r="D21" s="551">
        <f>VLOOKUP(A20,[14]進出口值表查詢結果!$A$2:$E$19,3,0)</f>
        <v>6950733</v>
      </c>
      <c r="E21" s="320">
        <f>[19]二全年出口類別合計驗算!U18</f>
        <v>0</v>
      </c>
      <c r="F21" s="464">
        <f>VLOOKUP(A20,[15]進出口值表查詢結果!$A$2:$E$19,4,0)</f>
        <v>365608</v>
      </c>
      <c r="G21" s="551">
        <f>VLOOKUP(A20,[15]進出口值表查詢結果!$A$2:$E$19,3,0)</f>
        <v>43048583</v>
      </c>
      <c r="I21" s="464">
        <f>VLOOKUP(A20,[16]進出口值表查詢結果!$A$2:$E$19,4,0)</f>
        <v>25275</v>
      </c>
      <c r="J21" s="551">
        <f>VLOOKUP(A20,[16]進出口值表查詢結果!$A$2:$E$19,3,0)</f>
        <v>640928</v>
      </c>
      <c r="L21" s="464">
        <f>VLOOKUP(A20,[17]進出口值表查詢結果!$A$2:$E$19,4,0)</f>
        <v>83991</v>
      </c>
      <c r="M21" s="551">
        <f>VLOOKUP(A20,[17]進出口值表查詢結果!$A$2:$E$19,3,0)</f>
        <v>3777974</v>
      </c>
    </row>
    <row r="22" spans="1:13">
      <c r="A22" s="330">
        <v>87149310007</v>
      </c>
      <c r="B22" s="468"/>
      <c r="C22" s="469"/>
      <c r="D22" s="465"/>
      <c r="E22" s="467"/>
      <c r="F22" s="469"/>
      <c r="G22" s="465"/>
      <c r="H22" s="467"/>
      <c r="I22" s="466"/>
      <c r="J22" s="465"/>
      <c r="K22" s="467"/>
      <c r="L22" s="466"/>
      <c r="M22" s="465"/>
    </row>
    <row r="23" spans="1:13">
      <c r="A23" s="327" t="s">
        <v>73</v>
      </c>
      <c r="B23" s="317"/>
      <c r="C23" s="464">
        <f>VLOOKUP(A22,[14]進出口值表查詢結果!$A$2:$E$19,4,0)</f>
        <v>80787</v>
      </c>
      <c r="D23" s="551">
        <f>VLOOKUP(A22,[14]進出口值表查詢結果!$A$2:$E$19,3,0)</f>
        <v>4985415</v>
      </c>
      <c r="F23" s="464">
        <f>VLOOKUP(A22,[15]進出口值表查詢結果!$A$2:$E$19,4,0)</f>
        <v>459493</v>
      </c>
      <c r="G23" s="551">
        <f>VLOOKUP(A22,[15]進出口值表查詢結果!$A$2:$E$19,3,0)</f>
        <v>25986579</v>
      </c>
      <c r="I23" s="464">
        <f>VLOOKUP(A22,[16]進出口值表查詢結果!$A$2:$E$19,4,0)</f>
        <v>104489</v>
      </c>
      <c r="J23" s="551">
        <f>VLOOKUP(A22,[16]進出口值表查詢結果!$A$2:$E$19,3,0)</f>
        <v>3838461</v>
      </c>
      <c r="L23" s="464">
        <f>VLOOKUP(A22,[17]進出口值表查詢結果!$A$2:$E$19,4,0)</f>
        <v>604893</v>
      </c>
      <c r="M23" s="551">
        <f>VLOOKUP(A22,[17]進出口值表查詢結果!$A$2:$E$19,3,0)</f>
        <v>21023682</v>
      </c>
    </row>
    <row r="24" spans="1:13">
      <c r="A24" s="327" t="s">
        <v>74</v>
      </c>
      <c r="B24" s="317"/>
      <c r="C24" s="464"/>
      <c r="D24" s="463"/>
      <c r="F24" s="464"/>
      <c r="G24" s="463"/>
      <c r="I24" s="464"/>
      <c r="J24" s="463"/>
      <c r="L24" s="464"/>
      <c r="M24" s="463"/>
    </row>
    <row r="25" spans="1:13">
      <c r="A25" s="327" t="s">
        <v>75</v>
      </c>
      <c r="B25" s="317"/>
      <c r="C25" s="464"/>
      <c r="D25" s="463"/>
      <c r="F25" s="464"/>
      <c r="G25" s="463"/>
      <c r="I25" s="464"/>
      <c r="J25" s="463"/>
      <c r="L25" s="464"/>
      <c r="M25" s="463"/>
    </row>
    <row r="26" spans="1:13">
      <c r="A26" s="330">
        <v>87149320103</v>
      </c>
      <c r="B26" s="468"/>
      <c r="C26" s="469"/>
      <c r="D26" s="465"/>
      <c r="E26" s="467"/>
      <c r="F26" s="469"/>
      <c r="G26" s="465"/>
      <c r="H26" s="467"/>
      <c r="I26" s="466"/>
      <c r="J26" s="465"/>
      <c r="K26" s="467"/>
      <c r="L26" s="466"/>
      <c r="M26" s="465"/>
    </row>
    <row r="27" spans="1:13">
      <c r="A27" s="327" t="s">
        <v>405</v>
      </c>
      <c r="B27" s="317"/>
      <c r="C27" s="464">
        <f>VLOOKUP(A26,[14]進出口值表查詢結果!$A$2:$E$19,4,0)</f>
        <v>4913</v>
      </c>
      <c r="D27" s="551">
        <f>VLOOKUP(A26,[14]進出口值表查詢結果!$A$2:$E$19,3,0)</f>
        <v>131521</v>
      </c>
      <c r="F27" s="464">
        <f>VLOOKUP(A26,[15]進出口值表查詢結果!$A$2:$E$19,4,0)</f>
        <v>14279</v>
      </c>
      <c r="G27" s="551">
        <f>VLOOKUP(A26,[15]進出口值表查詢結果!$A$2:$E$19,3,0)</f>
        <v>484712</v>
      </c>
      <c r="I27" s="464">
        <f>VLOOKUP(A26,[16]進出口值表查詢結果!$A$2:$E$19,4,0)</f>
        <v>6512</v>
      </c>
      <c r="J27" s="551">
        <f>VLOOKUP(A26,[16]進出口值表查詢結果!$A$2:$E$19,3,0)</f>
        <v>337169</v>
      </c>
      <c r="L27" s="464">
        <f>VLOOKUP(A26,[17]進出口值表查詢結果!$A$2:$E$19,4,0)</f>
        <v>57905</v>
      </c>
      <c r="M27" s="551">
        <f>VLOOKUP(A26,[17]進出口值表查詢結果!$A$2:$E$19,3,0)</f>
        <v>3100247</v>
      </c>
    </row>
    <row r="28" spans="1:13">
      <c r="A28" s="330">
        <v>87149410006</v>
      </c>
      <c r="B28" s="468"/>
      <c r="C28" s="469"/>
      <c r="D28" s="465"/>
      <c r="E28" s="467"/>
      <c r="F28" s="469"/>
      <c r="G28" s="465"/>
      <c r="H28" s="467"/>
      <c r="I28" s="466"/>
      <c r="J28" s="465"/>
      <c r="K28" s="467"/>
      <c r="L28" s="466"/>
      <c r="M28" s="465"/>
    </row>
    <row r="29" spans="1:13">
      <c r="A29" s="327" t="s">
        <v>76</v>
      </c>
      <c r="B29" s="317"/>
      <c r="C29" s="464">
        <f>VLOOKUP(A28,[14]進出口值表查詢結果!$A$2:$E$19,4,0)</f>
        <v>25164</v>
      </c>
      <c r="D29" s="551">
        <f>VLOOKUP(A28,[14]進出口值表查詢結果!$A$2:$E$19,3,0)</f>
        <v>608531</v>
      </c>
      <c r="F29" s="464">
        <f>VLOOKUP(A28,[15]進出口值表查詢結果!$A$2:$E$19,4,0)</f>
        <v>108492</v>
      </c>
      <c r="G29" s="551">
        <f>VLOOKUP(A28,[15]進出口值表查詢結果!$A$2:$E$19,3,0)</f>
        <v>2757430</v>
      </c>
      <c r="I29" s="464">
        <f>VLOOKUP(A28,[16]進出口值表查詢結果!$A$2:$E$19,4,0)</f>
        <v>6697</v>
      </c>
      <c r="J29" s="551">
        <f>VLOOKUP(A28,[16]進出口值表查詢結果!$A$2:$E$19,3,0)</f>
        <v>433983</v>
      </c>
      <c r="L29" s="464">
        <f>VLOOKUP(A28,[17]進出口值表查詢結果!$A$2:$E$19,4,0)</f>
        <v>36585</v>
      </c>
      <c r="M29" s="551">
        <f>VLOOKUP(A28,[17]進出口值表查詢結果!$A$2:$E$19,3,0)</f>
        <v>1660612</v>
      </c>
    </row>
    <row r="30" spans="1:13">
      <c r="A30" s="327" t="s">
        <v>77</v>
      </c>
      <c r="B30" s="317"/>
      <c r="C30" s="464"/>
      <c r="D30" s="463"/>
      <c r="F30" s="464"/>
      <c r="G30" s="463"/>
      <c r="I30" s="464"/>
      <c r="J30" s="463"/>
      <c r="L30" s="464"/>
      <c r="M30" s="463"/>
    </row>
    <row r="31" spans="1:13">
      <c r="A31" s="330">
        <v>87149490009</v>
      </c>
      <c r="B31" s="468"/>
      <c r="C31" s="469"/>
      <c r="D31" s="465"/>
      <c r="E31" s="467"/>
      <c r="F31" s="469"/>
      <c r="G31" s="465"/>
      <c r="H31" s="467"/>
      <c r="I31" s="466"/>
      <c r="J31" s="465"/>
      <c r="K31" s="467"/>
      <c r="L31" s="466"/>
      <c r="M31" s="465"/>
    </row>
    <row r="32" spans="1:13">
      <c r="A32" s="327" t="s">
        <v>78</v>
      </c>
      <c r="B32" s="317"/>
      <c r="C32" s="464">
        <f>VLOOKUP(A31,[14]進出口值表查詢結果!$A$2:$E$19,4,0)</f>
        <v>294137</v>
      </c>
      <c r="D32" s="551">
        <f>VLOOKUP(A31,[14]進出口值表查詢結果!$A$2:$E$19,3,0)</f>
        <v>16378183</v>
      </c>
      <c r="F32" s="464">
        <f>VLOOKUP(A31,[15]進出口值表查詢結果!$A$2:$E$19,4,0)</f>
        <v>1893379</v>
      </c>
      <c r="G32" s="551">
        <f>VLOOKUP(A31,[15]進出口值表查詢結果!$A$2:$E$19,3,0)</f>
        <v>97148239</v>
      </c>
      <c r="I32" s="464">
        <f>VLOOKUP(A31,[16]進出口值表查詢結果!$A$2:$E$19,4,0)</f>
        <v>138511</v>
      </c>
      <c r="J32" s="551">
        <f>VLOOKUP(A31,[16]進出口值表查詢結果!$A$2:$E$19,3,0)</f>
        <v>8645635</v>
      </c>
      <c r="L32" s="464">
        <f>VLOOKUP(A31,[17]進出口值表查詢結果!$A$2:$E$19,4,0)</f>
        <v>730787</v>
      </c>
      <c r="M32" s="551">
        <f>VLOOKUP(A31,[17]進出口值表查詢結果!$A$2:$E$19,3,0)</f>
        <v>55327286</v>
      </c>
    </row>
    <row r="33" spans="1:13">
      <c r="A33" s="327" t="s">
        <v>79</v>
      </c>
      <c r="B33" s="317"/>
      <c r="C33" s="464"/>
      <c r="D33" s="463"/>
      <c r="F33" s="464"/>
      <c r="G33" s="463"/>
      <c r="I33" s="464"/>
      <c r="J33" s="463"/>
      <c r="L33" s="464"/>
      <c r="M33" s="463"/>
    </row>
    <row r="34" spans="1:13">
      <c r="A34" s="330">
        <v>87149500007</v>
      </c>
      <c r="B34" s="468"/>
      <c r="C34" s="466"/>
      <c r="D34" s="465"/>
      <c r="E34" s="467"/>
      <c r="F34" s="466"/>
      <c r="G34" s="465"/>
      <c r="H34" s="467"/>
      <c r="I34" s="466"/>
      <c r="J34" s="465"/>
      <c r="K34" s="467"/>
      <c r="L34" s="466"/>
      <c r="M34" s="465"/>
    </row>
    <row r="35" spans="1:13">
      <c r="A35" s="327" t="s">
        <v>80</v>
      </c>
      <c r="B35" s="317"/>
      <c r="C35" s="464">
        <f>VLOOKUP(A34,[14]進出口值表查詢結果!$A$2:$E$19,4,0)</f>
        <v>150159</v>
      </c>
      <c r="D35" s="551">
        <f>VLOOKUP(A34,[14]進出口值表查詢結果!$A$2:$E$19,3,0)</f>
        <v>3184373</v>
      </c>
      <c r="F35" s="464">
        <f>VLOOKUP(A34,[15]進出口值表查詢結果!$A$2:$E$19,4,0)</f>
        <v>654159</v>
      </c>
      <c r="G35" s="551">
        <f>VLOOKUP(A34,[15]進出口值表查詢結果!$A$2:$E$19,3,0)</f>
        <v>16511262</v>
      </c>
      <c r="I35" s="464">
        <f>VLOOKUP(A34,[16]進出口值表查詢結果!$A$2:$E$19,4,0)</f>
        <v>70605</v>
      </c>
      <c r="J35" s="551">
        <f>VLOOKUP(A34,[16]進出口值表查詢結果!$A$2:$E$19,3,0)</f>
        <v>1296150</v>
      </c>
      <c r="L35" s="464">
        <f>VLOOKUP(A34,[17]進出口值表查詢結果!$A$2:$E$19,4,0)</f>
        <v>343653</v>
      </c>
      <c r="M35" s="551">
        <f>VLOOKUP(A34,[17]進出口值表查詢結果!$A$2:$E$19,3,0)</f>
        <v>5430371</v>
      </c>
    </row>
    <row r="36" spans="1:13">
      <c r="A36" s="330">
        <v>87149610004</v>
      </c>
      <c r="B36" s="468"/>
      <c r="C36" s="466"/>
      <c r="D36" s="465"/>
      <c r="E36" s="467"/>
      <c r="F36" s="466"/>
      <c r="G36" s="465"/>
      <c r="H36" s="467"/>
      <c r="I36" s="466"/>
      <c r="J36" s="465"/>
      <c r="K36" s="467"/>
      <c r="L36" s="466"/>
      <c r="M36" s="465"/>
    </row>
    <row r="37" spans="1:13">
      <c r="A37" s="327" t="s">
        <v>81</v>
      </c>
      <c r="B37" s="317"/>
      <c r="C37" s="464">
        <f>VLOOKUP(A36,[14]進出口值表查詢結果!$A$2:$E$19,4,0)</f>
        <v>156127</v>
      </c>
      <c r="D37" s="551">
        <f>VLOOKUP(A36,[14]進出口值表查詢結果!$A$2:$E$19,3,0)</f>
        <v>3734008</v>
      </c>
      <c r="F37" s="464">
        <f>VLOOKUP(A36,[15]進出口值表查詢結果!$A$2:$E$19,4,0)</f>
        <v>992602</v>
      </c>
      <c r="G37" s="551">
        <f>VLOOKUP(A36,[15]進出口值表查詢結果!$A$2:$E$19,3,0)</f>
        <v>24467384</v>
      </c>
      <c r="I37" s="464">
        <f>VLOOKUP(A36,[16]進出口值表查詢結果!$A$2:$E$19,4,0)</f>
        <v>11115</v>
      </c>
      <c r="J37" s="551">
        <f>VLOOKUP(A36,[16]進出口值表查詢結果!$A$2:$E$19,3,0)</f>
        <v>245706</v>
      </c>
      <c r="L37" s="464">
        <f>VLOOKUP(A36,[17]進出口值表查詢結果!$A$2:$E$19,4,0)</f>
        <v>113530</v>
      </c>
      <c r="M37" s="551">
        <f>VLOOKUP(A36,[17]進出口值表查詢結果!$A$2:$E$19,3,0)</f>
        <v>1323141</v>
      </c>
    </row>
    <row r="38" spans="1:13">
      <c r="A38" s="330">
        <v>87149620002</v>
      </c>
      <c r="B38" s="468"/>
      <c r="C38" s="469"/>
      <c r="D38" s="465"/>
      <c r="E38" s="467"/>
      <c r="F38" s="469"/>
      <c r="G38" s="465"/>
      <c r="H38" s="467"/>
      <c r="I38" s="466"/>
      <c r="J38" s="465"/>
      <c r="K38" s="467"/>
      <c r="L38" s="466"/>
      <c r="M38" s="465"/>
    </row>
    <row r="39" spans="1:13">
      <c r="A39" s="327" t="s">
        <v>82</v>
      </c>
      <c r="B39" s="317"/>
      <c r="C39" s="464">
        <f>VLOOKUP(A38,[14]進出口值表查詢結果!$A$2:$E$19,4,0)</f>
        <v>171306</v>
      </c>
      <c r="D39" s="551">
        <f>VLOOKUP(A38,[14]進出口值表查詢結果!$A$2:$E$19,3,0)</f>
        <v>10051650</v>
      </c>
      <c r="F39" s="464">
        <f>VLOOKUP(A38,[15]進出口值表查詢結果!$A$2:$E$19,4,0)</f>
        <v>891562</v>
      </c>
      <c r="G39" s="551">
        <f>VLOOKUP(A38,[15]進出口值表查詢結果!$A$2:$E$19,3,0)</f>
        <v>46860061</v>
      </c>
      <c r="I39" s="464">
        <f>VLOOKUP(A38,[16]進出口值表查詢結果!$A$2:$E$19,4,0)</f>
        <v>106002</v>
      </c>
      <c r="J39" s="551">
        <f>VLOOKUP(A38,[16]進出口值表查詢結果!$A$2:$E$19,3,0)</f>
        <v>3246655</v>
      </c>
      <c r="L39" s="464">
        <f>VLOOKUP(A38,[17]進出口值表查詢結果!$A$2:$E$19,4,0)</f>
        <v>579810</v>
      </c>
      <c r="M39" s="551">
        <f>VLOOKUP(A38,[17]進出口值表查詢結果!$A$2:$E$19,3,0)</f>
        <v>17401371</v>
      </c>
    </row>
    <row r="40" spans="1:13">
      <c r="A40" s="327" t="s">
        <v>77</v>
      </c>
      <c r="B40" s="317"/>
      <c r="C40" s="464"/>
      <c r="D40" s="551"/>
      <c r="F40" s="464"/>
      <c r="G40" s="551"/>
      <c r="I40" s="464"/>
      <c r="J40" s="551"/>
      <c r="L40" s="464"/>
      <c r="M40" s="551"/>
    </row>
    <row r="41" spans="1:13">
      <c r="A41" s="330">
        <v>73151100209</v>
      </c>
      <c r="B41" s="468"/>
      <c r="C41" s="542"/>
      <c r="D41" s="472"/>
      <c r="E41" s="467"/>
      <c r="F41" s="466"/>
      <c r="G41" s="465"/>
      <c r="H41" s="467"/>
      <c r="I41" s="466"/>
      <c r="J41" s="465"/>
      <c r="K41" s="467"/>
      <c r="L41" s="466"/>
      <c r="M41" s="465"/>
    </row>
    <row r="42" spans="1:13">
      <c r="A42" s="327" t="s">
        <v>83</v>
      </c>
      <c r="B42" s="317"/>
      <c r="C42" s="464">
        <v>121882</v>
      </c>
      <c r="D42" s="551">
        <v>3510876</v>
      </c>
      <c r="F42" s="464">
        <v>701315</v>
      </c>
      <c r="G42" s="551">
        <v>18598623</v>
      </c>
      <c r="I42" s="464">
        <v>80894</v>
      </c>
      <c r="J42" s="551">
        <v>1158375</v>
      </c>
      <c r="L42" s="464">
        <v>451757</v>
      </c>
      <c r="M42" s="551">
        <v>5837090</v>
      </c>
    </row>
    <row r="43" spans="1:13">
      <c r="A43" s="327" t="s">
        <v>84</v>
      </c>
      <c r="B43" s="317"/>
      <c r="C43" s="464"/>
      <c r="D43" s="463"/>
      <c r="F43" s="464"/>
      <c r="G43" s="463"/>
      <c r="I43" s="464"/>
      <c r="J43" s="463"/>
      <c r="L43" s="464"/>
      <c r="M43" s="463"/>
    </row>
    <row r="44" spans="1:13">
      <c r="A44" s="330">
        <v>87149990111</v>
      </c>
      <c r="B44" s="468"/>
      <c r="C44" s="469"/>
      <c r="D44" s="465"/>
      <c r="E44" s="467"/>
      <c r="F44" s="469"/>
      <c r="G44" s="465"/>
      <c r="H44" s="467"/>
      <c r="I44" s="466"/>
      <c r="J44" s="465"/>
      <c r="K44" s="467"/>
      <c r="L44" s="466"/>
      <c r="M44" s="465"/>
    </row>
    <row r="45" spans="1:13">
      <c r="A45" s="331" t="s">
        <v>85</v>
      </c>
      <c r="B45" s="319"/>
      <c r="C45" s="464">
        <f>VLOOKUP(A44,[14]進出口值表查詢結果!$A$2:$E$19,4,0)</f>
        <v>73963</v>
      </c>
      <c r="D45" s="551">
        <f>VLOOKUP(A44,[14]進出口值表查詢結果!$A$2:$E$19,3,0)</f>
        <v>10200885</v>
      </c>
      <c r="F45" s="464">
        <f>VLOOKUP(A44,[15]進出口值表查詢結果!$A$2:$E$19,4,0)</f>
        <v>496300</v>
      </c>
      <c r="G45" s="551">
        <f>VLOOKUP(A44,[15]進出口值表查詢結果!$A$2:$E$19,3,0)</f>
        <v>55597221</v>
      </c>
      <c r="I45" s="464">
        <f>VLOOKUP(A44,[16]進出口值表查詢結果!$A$2:$E$19,4,0)</f>
        <v>56788</v>
      </c>
      <c r="J45" s="551">
        <f>VLOOKUP(A44,[16]進出口值表查詢結果!$A$2:$E$19,3,0)</f>
        <v>5804242</v>
      </c>
      <c r="L45" s="464">
        <f>VLOOKUP(A44,[17]進出口值表查詢結果!$A$2:$E$19,4,0)</f>
        <v>267540</v>
      </c>
      <c r="M45" s="551">
        <f>VLOOKUP(A44,[17]進出口值表查詢結果!$A$2:$E$19,3,0)</f>
        <v>26394493</v>
      </c>
    </row>
    <row r="46" spans="1:13">
      <c r="A46" s="327" t="s">
        <v>86</v>
      </c>
      <c r="B46" s="317"/>
      <c r="C46" s="464"/>
      <c r="D46" s="463"/>
      <c r="F46" s="464"/>
      <c r="G46" s="463"/>
      <c r="I46" s="464"/>
      <c r="J46" s="463"/>
      <c r="L46" s="464"/>
      <c r="M46" s="463"/>
    </row>
    <row r="47" spans="1:13">
      <c r="A47" s="330">
        <v>87149320906</v>
      </c>
      <c r="B47" s="468"/>
      <c r="C47" s="469"/>
      <c r="D47" s="465"/>
      <c r="E47" s="467"/>
      <c r="F47" s="469"/>
      <c r="G47" s="465"/>
      <c r="H47" s="467"/>
      <c r="I47" s="466"/>
      <c r="J47" s="465"/>
      <c r="K47" s="467"/>
      <c r="L47" s="466"/>
      <c r="M47" s="465"/>
    </row>
    <row r="48" spans="1:13">
      <c r="A48" s="327" t="s">
        <v>406</v>
      </c>
      <c r="B48" s="317"/>
      <c r="C48" s="464">
        <f>VLOOKUP(A47,[14]進出口值表查詢結果!$A$2:$E$19,4,0)</f>
        <v>159467</v>
      </c>
      <c r="D48" s="551">
        <f>VLOOKUP(A47,[14]進出口值表查詢結果!$A$2:$E$19,3,0)</f>
        <v>8917588</v>
      </c>
      <c r="F48" s="464">
        <f>VLOOKUP(A47,[15]進出口值表查詢結果!$A$2:$E$19,4,0)</f>
        <v>1134898</v>
      </c>
      <c r="G48" s="551">
        <f>VLOOKUP(A47,[15]進出口值表查詢結果!$A$2:$E$19,3,0)</f>
        <v>57751879</v>
      </c>
      <c r="I48" s="464">
        <f>VLOOKUP(A47,[16]進出口值表查詢結果!$A$2:$E$19,4,0)</f>
        <v>49590</v>
      </c>
      <c r="J48" s="551">
        <f>VLOOKUP(A47,[16]進出口值表查詢結果!$A$2:$E$19,3,0)</f>
        <v>1888760</v>
      </c>
      <c r="L48" s="464">
        <f>VLOOKUP(A47,[17]進出口值表查詢結果!$A$2:$E$19,4,0)</f>
        <v>240631</v>
      </c>
      <c r="M48" s="551">
        <f>VLOOKUP(A47,[17]進出口值表查詢結果!$A$2:$E$19,3,0)</f>
        <v>7942746</v>
      </c>
    </row>
    <row r="49" spans="1:13">
      <c r="A49" s="330">
        <v>87149990139</v>
      </c>
      <c r="B49" s="468"/>
      <c r="C49" s="469"/>
      <c r="D49" s="465"/>
      <c r="E49" s="467"/>
      <c r="F49" s="469"/>
      <c r="G49" s="465"/>
      <c r="H49" s="467"/>
      <c r="I49" s="466"/>
      <c r="J49" s="465"/>
      <c r="K49" s="467"/>
      <c r="L49" s="466"/>
      <c r="M49" s="465"/>
    </row>
    <row r="50" spans="1:13">
      <c r="A50" s="327" t="s">
        <v>87</v>
      </c>
      <c r="B50" s="317"/>
      <c r="C50" s="464">
        <f>VLOOKUP(A49,[14]進出口值表查詢結果!$A$2:$E$19,4,0)</f>
        <v>34214</v>
      </c>
      <c r="D50" s="551">
        <f>VLOOKUP(A49,[14]進出口值表查詢結果!$A$2:$E$19,3,0)</f>
        <v>442043</v>
      </c>
      <c r="F50" s="464">
        <f>VLOOKUP(A49,[15]進出口值表查詢結果!$A$2:$E$19,4,0)</f>
        <v>84218</v>
      </c>
      <c r="G50" s="551">
        <f>VLOOKUP(A49,[15]進出口值表查詢結果!$A$2:$E$19,3,0)</f>
        <v>1457337</v>
      </c>
      <c r="I50" s="464">
        <f>VLOOKUP(A49,[16]進出口值表查詢結果!$A$2:$E$19,4,0)</f>
        <v>7071</v>
      </c>
      <c r="J50" s="551">
        <f>VLOOKUP(A49,[16]進出口值表查詢結果!$A$2:$E$19,3,0)</f>
        <v>95637</v>
      </c>
      <c r="L50" s="464">
        <f>VLOOKUP(A49,[17]進出口值表查詢結果!$A$2:$E$19,4,0)</f>
        <v>48563</v>
      </c>
      <c r="M50" s="551">
        <f>VLOOKUP(A49,[17]進出口值表查詢結果!$A$2:$E$19,3,0)</f>
        <v>682674</v>
      </c>
    </row>
    <row r="51" spans="1:13">
      <c r="A51" s="330">
        <v>87149990148</v>
      </c>
      <c r="B51" s="468"/>
      <c r="C51" s="469"/>
      <c r="D51" s="465"/>
      <c r="E51" s="467"/>
      <c r="F51" s="469"/>
      <c r="G51" s="465"/>
      <c r="H51" s="467"/>
      <c r="I51" s="466"/>
      <c r="J51" s="465"/>
      <c r="K51" s="467"/>
      <c r="L51" s="466"/>
      <c r="M51" s="465"/>
    </row>
    <row r="52" spans="1:13">
      <c r="A52" s="332" t="s">
        <v>88</v>
      </c>
      <c r="B52" s="471"/>
      <c r="C52" s="464">
        <f>VLOOKUP(A51,[14]進出口值表查詢結果!$A$2:$E$19,4,0)</f>
        <v>64631</v>
      </c>
      <c r="D52" s="551">
        <f>VLOOKUP(A51,[14]進出口值表查詢結果!$A$2:$E$19,3,0)</f>
        <v>2451059</v>
      </c>
      <c r="F52" s="464">
        <f>VLOOKUP(A51,[15]進出口值表查詢結果!$A$2:$E$19,4,0)</f>
        <v>359988</v>
      </c>
      <c r="G52" s="551">
        <f>VLOOKUP(A51,[15]進出口值表查詢結果!$A$2:$E$19,3,0)</f>
        <v>14069869</v>
      </c>
      <c r="I52" s="464">
        <f>VLOOKUP(A51,[16]進出口值表查詢結果!$A$2:$E$19,4,0)</f>
        <v>12969</v>
      </c>
      <c r="J52" s="551">
        <f>VLOOKUP(A51,[16]進出口值表查詢結果!$A$2:$E$19,3,0)</f>
        <v>412016</v>
      </c>
      <c r="L52" s="464">
        <f>VLOOKUP(A51,[17]進出口值表查詢結果!$A$2:$E$19,4,0)</f>
        <v>84337</v>
      </c>
      <c r="M52" s="551">
        <f>VLOOKUP(A51,[17]進出口值表查詢結果!$A$2:$E$19,3,0)</f>
        <v>2172664</v>
      </c>
    </row>
    <row r="53" spans="1:13">
      <c r="A53" s="327" t="s">
        <v>89</v>
      </c>
      <c r="B53" s="317"/>
      <c r="C53" s="464"/>
      <c r="D53" s="463"/>
      <c r="F53" s="464"/>
      <c r="G53" s="463"/>
      <c r="I53" s="464"/>
      <c r="J53" s="470"/>
      <c r="L53" s="464"/>
      <c r="M53" s="463"/>
    </row>
    <row r="54" spans="1:13">
      <c r="A54" s="330">
        <v>87149990157</v>
      </c>
      <c r="B54" s="468"/>
      <c r="C54" s="469"/>
      <c r="D54" s="465"/>
      <c r="E54" s="467"/>
      <c r="F54" s="469"/>
      <c r="G54" s="465"/>
      <c r="H54" s="467"/>
      <c r="I54" s="466"/>
      <c r="J54" s="465"/>
      <c r="K54" s="467"/>
      <c r="L54" s="466"/>
      <c r="M54" s="465"/>
    </row>
    <row r="55" spans="1:13">
      <c r="A55" s="327" t="s">
        <v>90</v>
      </c>
      <c r="B55" s="317"/>
      <c r="C55" s="464">
        <f>VLOOKUP(A54,[14]進出口值表查詢結果!$A$2:$E$19,4,0)</f>
        <v>97216</v>
      </c>
      <c r="D55" s="551">
        <f>VLOOKUP(A54,[14]進出口值表查詢結果!$A$2:$E$19,3,0)</f>
        <v>4802684</v>
      </c>
      <c r="F55" s="464">
        <f>VLOOKUP(A54,[15]進出口值表查詢結果!$A$2:$E$19,4,0)</f>
        <v>698094</v>
      </c>
      <c r="G55" s="551">
        <f>VLOOKUP(A54,[15]進出口值表查詢結果!$A$2:$E$19,3,0)</f>
        <v>32308321</v>
      </c>
      <c r="I55" s="464">
        <f>VLOOKUP(A54,[16]進出口值表查詢結果!$A$2:$E$19,4,0)</f>
        <v>22670</v>
      </c>
      <c r="J55" s="551">
        <f>VLOOKUP(A54,[16]進出口值表查詢結果!$A$2:$E$19,3,0)</f>
        <v>1039925</v>
      </c>
      <c r="L55" s="464">
        <f>VLOOKUP(A54,[17]進出口值表查詢結果!$A$2:$E$19,4,0)</f>
        <v>176321</v>
      </c>
      <c r="M55" s="551">
        <f>VLOOKUP(A54,[17]進出口值表查詢結果!$A$2:$E$19,3,0)</f>
        <v>5428109</v>
      </c>
    </row>
    <row r="56" spans="1:13">
      <c r="A56" s="327" t="s">
        <v>91</v>
      </c>
      <c r="B56" s="317"/>
      <c r="C56" s="464"/>
      <c r="D56" s="463"/>
      <c r="F56" s="464"/>
      <c r="G56" s="463"/>
      <c r="I56" s="464"/>
      <c r="J56" s="551"/>
      <c r="L56" s="464"/>
      <c r="M56" s="463"/>
    </row>
    <row r="57" spans="1:13">
      <c r="A57" s="330">
        <v>87149990166</v>
      </c>
      <c r="B57" s="468"/>
      <c r="C57" s="469"/>
      <c r="D57" s="465"/>
      <c r="E57" s="467"/>
      <c r="F57" s="469"/>
      <c r="G57" s="465"/>
      <c r="H57" s="467"/>
      <c r="I57" s="466"/>
      <c r="J57" s="552"/>
      <c r="K57" s="467"/>
      <c r="L57" s="466"/>
      <c r="M57" s="465"/>
    </row>
    <row r="58" spans="1:13">
      <c r="A58" s="327" t="s">
        <v>88</v>
      </c>
      <c r="B58" s="317"/>
      <c r="C58" s="464">
        <f>VLOOKUP(A57,[14]進出口值表查詢結果!$A$2:$E$19,4,0)</f>
        <v>124652</v>
      </c>
      <c r="D58" s="551">
        <f>VLOOKUP(A57,[14]進出口值表查詢結果!$A$2:$E$19,3,0)</f>
        <v>4350145</v>
      </c>
      <c r="F58" s="464">
        <f>VLOOKUP(A57,[15]進出口值表查詢結果!$A$2:$E$19,4,0)</f>
        <v>691116</v>
      </c>
      <c r="G58" s="551">
        <f>VLOOKUP(A57,[15]進出口值表查詢結果!$A$2:$E$19,3,0)</f>
        <v>23517764</v>
      </c>
      <c r="I58" s="464">
        <f>VLOOKUP(A57,[16]進出口值表查詢結果!$A$2:$E$19,4,0)</f>
        <v>33477</v>
      </c>
      <c r="J58" s="551">
        <f>VLOOKUP(A57,[16]進出口值表查詢結果!$A$2:$E$19,3,0)</f>
        <v>2031890</v>
      </c>
      <c r="L58" s="464">
        <f>VLOOKUP(A57,[17]進出口值表查詢結果!$A$2:$E$19,4,0)</f>
        <v>205175</v>
      </c>
      <c r="M58" s="551">
        <f>VLOOKUP(A57,[17]進出口值表查詢結果!$A$2:$E$19,3,0)</f>
        <v>9756294</v>
      </c>
    </row>
    <row r="59" spans="1:13">
      <c r="A59" s="330">
        <v>40115000008</v>
      </c>
      <c r="B59" s="468"/>
      <c r="C59" s="466"/>
      <c r="D59" s="552"/>
      <c r="E59" s="467"/>
      <c r="F59" s="466"/>
      <c r="G59" s="552"/>
      <c r="H59" s="467"/>
      <c r="I59" s="466"/>
      <c r="J59" s="552"/>
      <c r="K59" s="467"/>
      <c r="L59" s="466"/>
      <c r="M59" s="465"/>
    </row>
    <row r="60" spans="1:13">
      <c r="A60" s="327" t="s">
        <v>92</v>
      </c>
      <c r="B60" s="317"/>
      <c r="C60" s="464">
        <v>383143</v>
      </c>
      <c r="D60" s="551">
        <v>6438200</v>
      </c>
      <c r="F60" s="464">
        <v>2227801</v>
      </c>
      <c r="G60" s="551">
        <v>40301124</v>
      </c>
      <c r="I60" s="464">
        <v>147869</v>
      </c>
      <c r="J60" s="551">
        <v>1731674</v>
      </c>
      <c r="L60" s="464">
        <v>1021514</v>
      </c>
      <c r="M60" s="551">
        <v>10429363</v>
      </c>
    </row>
    <row r="61" spans="1:13">
      <c r="A61" s="327" t="s">
        <v>93</v>
      </c>
      <c r="B61" s="317" t="s">
        <v>66</v>
      </c>
      <c r="C61" s="464">
        <v>530577</v>
      </c>
      <c r="D61" s="463" t="s">
        <v>69</v>
      </c>
      <c r="E61" s="13" t="s">
        <v>66</v>
      </c>
      <c r="F61" s="464">
        <v>2999591</v>
      </c>
      <c r="G61" s="463" t="s">
        <v>69</v>
      </c>
      <c r="H61" s="13" t="s">
        <v>66</v>
      </c>
      <c r="I61" s="464">
        <v>223830</v>
      </c>
      <c r="J61" s="463" t="s">
        <v>69</v>
      </c>
      <c r="K61" s="320" t="s">
        <v>66</v>
      </c>
      <c r="L61" s="464">
        <v>1428539</v>
      </c>
      <c r="M61" s="463" t="s">
        <v>69</v>
      </c>
    </row>
    <row r="62" spans="1:13">
      <c r="A62" s="330">
        <v>40132000003</v>
      </c>
      <c r="B62" s="468"/>
      <c r="C62" s="466"/>
      <c r="D62" s="552"/>
      <c r="E62" s="467"/>
      <c r="F62" s="466"/>
      <c r="G62" s="552"/>
      <c r="H62" s="467"/>
      <c r="I62" s="466"/>
      <c r="J62" s="552"/>
      <c r="K62" s="467"/>
      <c r="L62" s="466"/>
      <c r="M62" s="465"/>
    </row>
    <row r="63" spans="1:13">
      <c r="A63" s="327" t="s">
        <v>94</v>
      </c>
      <c r="B63" s="317"/>
      <c r="C63" s="464">
        <v>63497</v>
      </c>
      <c r="D63" s="551">
        <v>599447</v>
      </c>
      <c r="F63" s="464">
        <v>283108</v>
      </c>
      <c r="G63" s="551">
        <v>2970200</v>
      </c>
      <c r="I63" s="464">
        <v>28164</v>
      </c>
      <c r="J63" s="551">
        <v>195384</v>
      </c>
      <c r="L63" s="464">
        <v>181211</v>
      </c>
      <c r="M63" s="551">
        <v>1177017</v>
      </c>
    </row>
    <row r="64" spans="1:13">
      <c r="A64" s="327" t="s">
        <v>95</v>
      </c>
      <c r="B64" s="317" t="s">
        <v>66</v>
      </c>
      <c r="C64" s="464">
        <v>313836</v>
      </c>
      <c r="D64" s="463" t="s">
        <v>69</v>
      </c>
      <c r="E64" s="13" t="s">
        <v>66</v>
      </c>
      <c r="F64" s="464">
        <v>1546665</v>
      </c>
      <c r="G64" s="463" t="s">
        <v>69</v>
      </c>
      <c r="H64" s="13" t="s">
        <v>66</v>
      </c>
      <c r="I64" s="464">
        <v>144336</v>
      </c>
      <c r="J64" s="463" t="s">
        <v>69</v>
      </c>
      <c r="K64" s="320" t="s">
        <v>66</v>
      </c>
      <c r="L64" s="464">
        <v>898576</v>
      </c>
      <c r="M64" s="463" t="s">
        <v>69</v>
      </c>
    </row>
    <row r="65" spans="1:13">
      <c r="A65" s="327"/>
      <c r="B65" s="317"/>
      <c r="D65" s="328"/>
      <c r="G65" s="328"/>
      <c r="J65" s="328"/>
      <c r="M65" s="328"/>
    </row>
    <row r="66" spans="1:13">
      <c r="A66" s="321" t="s">
        <v>96</v>
      </c>
      <c r="B66" s="333"/>
      <c r="C66" s="334">
        <f>SUM(C5:C65)-C64-C61-C19-C16-C10-C7-C13</f>
        <v>3071722</v>
      </c>
      <c r="D66" s="335">
        <f>SUM(D5:D65)</f>
        <v>155110898</v>
      </c>
      <c r="E66" s="334"/>
      <c r="F66" s="334">
        <f>SUM(F5:F65)-F64-F61-F19-F16-F10-F7-F13</f>
        <v>18579849</v>
      </c>
      <c r="G66" s="335">
        <f>SUM(G6:G65)</f>
        <v>884391466</v>
      </c>
      <c r="H66" s="334"/>
      <c r="I66" s="334">
        <f>SUM(I5:I65)-I64-I61-I19-I16-I10-I7</f>
        <v>1648539</v>
      </c>
      <c r="J66" s="335">
        <f>SUM(J5:J65)</f>
        <v>83200087</v>
      </c>
      <c r="K66" s="334"/>
      <c r="L66" s="334">
        <f>SUM(L5:L65)-L64-L61-L19-L16-L10-L7</f>
        <v>8876450</v>
      </c>
      <c r="M66" s="553">
        <f>SUM(M5:M65)</f>
        <v>395981210</v>
      </c>
    </row>
    <row r="67" spans="1:13">
      <c r="G67" s="5"/>
    </row>
    <row r="68" spans="1:13">
      <c r="A68" s="55" t="s">
        <v>32</v>
      </c>
      <c r="B68" s="55"/>
    </row>
  </sheetData>
  <phoneticPr fontId="3" type="noConversion"/>
  <pageMargins left="0.23622047244094491" right="0.11811023622047245" top="0.35433070866141736" bottom="0.15748031496062992" header="0.31496062992125984" footer="0.31496062992125984"/>
  <pageSetup paperSize="9"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67"/>
  <sheetViews>
    <sheetView topLeftCell="A52" zoomScaleNormal="100" workbookViewId="0">
      <selection activeCell="D4" sqref="D4"/>
    </sheetView>
  </sheetViews>
  <sheetFormatPr defaultColWidth="10" defaultRowHeight="16.5"/>
  <cols>
    <col min="1" max="1" width="22.375" style="13" customWidth="1"/>
    <col min="2" max="2" width="16.625" style="320" customWidth="1"/>
    <col min="3" max="3" width="17.25" style="363" customWidth="1"/>
    <col min="4" max="4" width="15.75" style="364" customWidth="1"/>
    <col min="5" max="5" width="16.75" style="320" customWidth="1"/>
    <col min="6" max="6" width="16.875" style="363" customWidth="1"/>
    <col min="7" max="7" width="14.875" style="364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17" customFormat="1" ht="21">
      <c r="A1" s="336" t="s">
        <v>511</v>
      </c>
      <c r="B1" s="337"/>
      <c r="C1" s="338"/>
      <c r="D1" s="339"/>
      <c r="E1" s="337"/>
      <c r="F1" s="338"/>
      <c r="G1" s="339"/>
    </row>
    <row r="2" spans="1:7" s="317" customFormat="1" ht="9" customHeight="1">
      <c r="B2" s="318"/>
      <c r="C2" s="340"/>
      <c r="D2" s="341"/>
      <c r="E2" s="318"/>
      <c r="F2" s="340"/>
      <c r="G2" s="341"/>
    </row>
    <row r="3" spans="1:7" s="317" customFormat="1" ht="9" customHeight="1">
      <c r="A3" s="319"/>
      <c r="B3" s="318"/>
      <c r="C3" s="340"/>
      <c r="D3" s="341"/>
      <c r="E3" s="318"/>
      <c r="F3" s="340"/>
      <c r="G3" s="341"/>
    </row>
    <row r="4" spans="1:7">
      <c r="A4" s="42" t="s">
        <v>97</v>
      </c>
      <c r="B4" s="519" t="s">
        <v>420</v>
      </c>
      <c r="C4" s="71" t="s">
        <v>421</v>
      </c>
      <c r="D4" s="342" t="s">
        <v>37</v>
      </c>
      <c r="E4" s="73" t="s">
        <v>420</v>
      </c>
      <c r="F4" s="71" t="s">
        <v>421</v>
      </c>
      <c r="G4" s="203" t="s">
        <v>37</v>
      </c>
    </row>
    <row r="5" spans="1:7" s="317" customFormat="1" ht="18" customHeight="1">
      <c r="A5" s="46"/>
      <c r="B5" s="77" t="s">
        <v>98</v>
      </c>
      <c r="C5" s="76" t="s">
        <v>98</v>
      </c>
      <c r="D5" s="204" t="s">
        <v>2</v>
      </c>
      <c r="E5" s="77" t="s">
        <v>34</v>
      </c>
      <c r="F5" s="76" t="s">
        <v>99</v>
      </c>
      <c r="G5" s="204" t="s">
        <v>2</v>
      </c>
    </row>
    <row r="6" spans="1:7">
      <c r="A6" s="343">
        <v>85121010001</v>
      </c>
      <c r="B6" s="344"/>
      <c r="C6" s="345"/>
      <c r="D6" s="346"/>
      <c r="E6" s="344"/>
      <c r="F6" s="345"/>
      <c r="G6" s="347"/>
    </row>
    <row r="7" spans="1:7">
      <c r="A7" s="327" t="s">
        <v>64</v>
      </c>
      <c r="B7" s="348">
        <f>零件!F6</f>
        <v>42143</v>
      </c>
      <c r="C7" s="349">
        <v>91469</v>
      </c>
      <c r="D7" s="506">
        <f>(B7-C7)/C7</f>
        <v>-0.53926466890421887</v>
      </c>
      <c r="E7" s="348">
        <f>零件!G6</f>
        <v>4806818</v>
      </c>
      <c r="F7" s="349">
        <v>11540968</v>
      </c>
      <c r="G7" s="506">
        <f>(E7-F7)/F7</f>
        <v>-0.58349958166420701</v>
      </c>
    </row>
    <row r="8" spans="1:7">
      <c r="A8" s="327" t="s">
        <v>65</v>
      </c>
      <c r="B8" s="348"/>
      <c r="C8" s="352"/>
      <c r="D8" s="351"/>
      <c r="E8" s="352"/>
      <c r="F8" s="349"/>
      <c r="G8" s="352"/>
    </row>
    <row r="9" spans="1:7">
      <c r="A9" s="329">
        <v>85121020009</v>
      </c>
      <c r="B9" s="353"/>
      <c r="C9" s="353"/>
      <c r="D9" s="354"/>
      <c r="E9" s="353"/>
      <c r="F9" s="353"/>
      <c r="G9" s="353"/>
    </row>
    <row r="10" spans="1:7">
      <c r="A10" s="327" t="s">
        <v>67</v>
      </c>
      <c r="B10" s="348">
        <f>零件!F9</f>
        <v>18289</v>
      </c>
      <c r="C10" s="349">
        <v>36811</v>
      </c>
      <c r="D10" s="507">
        <f>(B10-C10)/C10</f>
        <v>-0.50316481486512188</v>
      </c>
      <c r="E10" s="348">
        <f>零件!G9</f>
        <v>3254704</v>
      </c>
      <c r="F10" s="349">
        <v>5313801</v>
      </c>
      <c r="G10" s="507">
        <f>(E10-F10)/F10</f>
        <v>-0.38749983298207819</v>
      </c>
    </row>
    <row r="11" spans="1:7">
      <c r="A11" s="327" t="s">
        <v>68</v>
      </c>
      <c r="B11" s="348"/>
      <c r="C11" s="352"/>
      <c r="D11" s="355"/>
      <c r="E11" s="352"/>
      <c r="F11" s="349"/>
      <c r="G11" s="352"/>
    </row>
    <row r="12" spans="1:7">
      <c r="A12" s="330">
        <v>87149120007</v>
      </c>
      <c r="B12" s="353"/>
      <c r="C12" s="353"/>
      <c r="D12" s="357"/>
      <c r="E12" s="358"/>
      <c r="F12" s="353"/>
      <c r="G12" s="358"/>
    </row>
    <row r="13" spans="1:7">
      <c r="A13" s="327" t="s">
        <v>70</v>
      </c>
      <c r="B13" s="348">
        <f>零件!F12</f>
        <v>5452365</v>
      </c>
      <c r="C13" s="349">
        <f>VLOOKUP(A12,[20]進出口值表查詢結果!$A$2:$D$21,4,0)</f>
        <v>8562094</v>
      </c>
      <c r="D13" s="506">
        <f>(B13-C13)/C13</f>
        <v>-0.36319725057912233</v>
      </c>
      <c r="E13" s="348">
        <f>零件!G12</f>
        <v>353203618</v>
      </c>
      <c r="F13" s="349">
        <f>VLOOKUP(A12,[20]進出口值表查詢結果!$A$2:$D$21,3,0)</f>
        <v>461049560</v>
      </c>
      <c r="G13" s="507">
        <f>(E13-F13)/F13</f>
        <v>-0.233913989637036</v>
      </c>
    </row>
    <row r="14" spans="1:7">
      <c r="A14" s="327" t="s">
        <v>71</v>
      </c>
      <c r="B14" s="355"/>
      <c r="C14" s="350"/>
      <c r="D14" s="348"/>
      <c r="E14" s="352"/>
      <c r="F14" s="349"/>
      <c r="G14" s="352"/>
    </row>
    <row r="15" spans="1:7">
      <c r="A15" s="330">
        <v>87149200108</v>
      </c>
      <c r="B15" s="353"/>
      <c r="C15" s="356"/>
      <c r="D15" s="357"/>
      <c r="E15" s="358"/>
      <c r="F15" s="359"/>
      <c r="G15" s="358"/>
    </row>
    <row r="16" spans="1:7">
      <c r="A16" s="327" t="s">
        <v>72</v>
      </c>
      <c r="B16" s="348">
        <f>零件!F15</f>
        <v>695162</v>
      </c>
      <c r="C16" s="349">
        <f>VLOOKUP(A15,[20]進出口值表查詢結果!$A$2:$D$21,4,0)</f>
        <v>1125501</v>
      </c>
      <c r="D16" s="507">
        <f>(B16-C16)/C16</f>
        <v>-0.38235328089446391</v>
      </c>
      <c r="E16" s="348">
        <f>零件!G15</f>
        <v>15109943</v>
      </c>
      <c r="F16" s="349">
        <f>VLOOKUP(A15,[20]進出口值表查詢結果!$A$2:$D$21,3,0)</f>
        <v>22734097</v>
      </c>
      <c r="G16" s="506">
        <f>(E16-F16)/F16</f>
        <v>-0.33536207749971331</v>
      </c>
    </row>
    <row r="17" spans="1:7">
      <c r="A17" s="327"/>
      <c r="B17" s="348"/>
      <c r="C17" s="350"/>
      <c r="D17" s="348"/>
      <c r="E17" s="352"/>
      <c r="F17" s="349"/>
      <c r="G17" s="352"/>
    </row>
    <row r="18" spans="1:7">
      <c r="A18" s="330">
        <v>87149200206</v>
      </c>
      <c r="B18" s="353"/>
      <c r="C18" s="356"/>
      <c r="D18" s="357"/>
      <c r="E18" s="358"/>
      <c r="F18" s="359"/>
      <c r="G18" s="358"/>
    </row>
    <row r="19" spans="1:7">
      <c r="A19" s="327" t="s">
        <v>58</v>
      </c>
      <c r="B19" s="348">
        <f>零件!F18</f>
        <v>315478</v>
      </c>
      <c r="C19" s="349">
        <f>VLOOKUP(A18,[20]進出口值表查詢結果!$A$2:$D$21,4,0)</f>
        <v>963889</v>
      </c>
      <c r="D19" s="507">
        <f>(B19-C19)/C19</f>
        <v>-0.67270297721003147</v>
      </c>
      <c r="E19" s="348">
        <f>零件!G18</f>
        <v>4179795</v>
      </c>
      <c r="F19" s="349">
        <f>VLOOKUP(A18,[20]進出口值表查詢結果!$A$2:$D$21,3,0)</f>
        <v>9739357</v>
      </c>
      <c r="G19" s="507">
        <f>(E19-F19)/F19</f>
        <v>-0.57083460437891331</v>
      </c>
    </row>
    <row r="20" spans="1:7">
      <c r="A20" s="327"/>
      <c r="B20" s="348"/>
      <c r="C20" s="350"/>
      <c r="D20" s="348"/>
      <c r="E20" s="352"/>
      <c r="F20" s="349"/>
      <c r="G20" s="352"/>
    </row>
    <row r="21" spans="1:7">
      <c r="A21" s="330">
        <v>87149200304</v>
      </c>
      <c r="B21" s="353"/>
      <c r="C21" s="356"/>
      <c r="D21" s="357"/>
      <c r="E21" s="358"/>
      <c r="F21" s="359"/>
      <c r="G21" s="358"/>
    </row>
    <row r="22" spans="1:7">
      <c r="A22" s="327" t="s">
        <v>59</v>
      </c>
      <c r="B22" s="348">
        <f>零件!F21</f>
        <v>365608</v>
      </c>
      <c r="C22" s="349">
        <f>VLOOKUP(A21,[20]進出口值表查詢結果!$A$2:$D$21,4,0)</f>
        <v>505829</v>
      </c>
      <c r="D22" s="506">
        <f>(B22-C22)/C22</f>
        <v>-0.2772102825263083</v>
      </c>
      <c r="E22" s="348">
        <f>零件!G21</f>
        <v>43048583</v>
      </c>
      <c r="F22" s="349">
        <f>VLOOKUP(A21,[20]進出口值表查詢結果!$A$2:$D$21,3,0)</f>
        <v>41607769</v>
      </c>
      <c r="G22" s="507">
        <f>(E22-F22)/F22</f>
        <v>3.4628484887041171E-2</v>
      </c>
    </row>
    <row r="23" spans="1:7">
      <c r="A23" s="330">
        <v>87149310007</v>
      </c>
      <c r="B23" s="353"/>
      <c r="C23" s="356"/>
      <c r="D23" s="357"/>
      <c r="E23" s="358"/>
      <c r="F23" s="359"/>
      <c r="G23" s="358"/>
    </row>
    <row r="24" spans="1:7">
      <c r="A24" s="327" t="s">
        <v>73</v>
      </c>
      <c r="B24" s="348">
        <f>零件!F23</f>
        <v>459493</v>
      </c>
      <c r="C24" s="349">
        <f>VLOOKUP(A23,[20]進出口值表查詢結果!$A$2:$D$21,4,0)</f>
        <v>672706</v>
      </c>
      <c r="D24" s="507">
        <f>(B24-C24)/C24</f>
        <v>-0.31694826566137363</v>
      </c>
      <c r="E24" s="348">
        <f>零件!G23</f>
        <v>25986579</v>
      </c>
      <c r="F24" s="349">
        <f>VLOOKUP(A23,[20]進出口值表查詢結果!$A$2:$D$21,3,0)</f>
        <v>36269565</v>
      </c>
      <c r="G24" s="507">
        <f>(E24-F24)/F24</f>
        <v>-0.28351555911960896</v>
      </c>
    </row>
    <row r="25" spans="1:7">
      <c r="A25" s="327" t="s">
        <v>100</v>
      </c>
      <c r="B25" s="348"/>
      <c r="C25" s="350"/>
      <c r="D25" s="348"/>
      <c r="E25" s="352"/>
      <c r="F25" s="349"/>
      <c r="G25" s="352"/>
    </row>
    <row r="26" spans="1:7">
      <c r="A26" s="330">
        <v>87149320103</v>
      </c>
      <c r="B26" s="353"/>
      <c r="C26" s="356"/>
      <c r="D26" s="357"/>
      <c r="E26" s="358"/>
      <c r="F26" s="359"/>
      <c r="G26" s="358"/>
    </row>
    <row r="27" spans="1:7">
      <c r="A27" s="327" t="s">
        <v>405</v>
      </c>
      <c r="B27" s="348">
        <f>零件!F27</f>
        <v>14279</v>
      </c>
      <c r="C27" s="349">
        <f>VLOOKUP(A26,[20]進出口值表查詢結果!$A$2:$D$21,4,0)</f>
        <v>6216</v>
      </c>
      <c r="D27" s="507">
        <f>(B27-C27)/C27</f>
        <v>1.2971364221364221</v>
      </c>
      <c r="E27" s="348">
        <f>零件!G27</f>
        <v>484712</v>
      </c>
      <c r="F27" s="349">
        <f>VLOOKUP(A26,[20]進出口值表查詢結果!$A$2:$D$21,3,0)</f>
        <v>265827</v>
      </c>
      <c r="G27" s="507">
        <f>(E27-F27)/F27</f>
        <v>0.82341146685626365</v>
      </c>
    </row>
    <row r="28" spans="1:7">
      <c r="A28" s="330">
        <v>87149410006</v>
      </c>
      <c r="B28" s="353"/>
      <c r="C28" s="356"/>
      <c r="D28" s="357"/>
      <c r="E28" s="358"/>
      <c r="F28" s="359"/>
      <c r="G28" s="358"/>
    </row>
    <row r="29" spans="1:7">
      <c r="A29" s="327" t="s">
        <v>76</v>
      </c>
      <c r="B29" s="348">
        <f>零件!F29</f>
        <v>108492</v>
      </c>
      <c r="C29" s="349">
        <f>VLOOKUP(A28,[20]進出口值表查詢結果!$A$2:$D$21,4,0)</f>
        <v>172576</v>
      </c>
      <c r="D29" s="507">
        <f>(B29-C29)/C29</f>
        <v>-0.37133784535508996</v>
      </c>
      <c r="E29" s="348">
        <f>零件!G29</f>
        <v>2757430</v>
      </c>
      <c r="F29" s="349">
        <f>VLOOKUP(A28,[20]進出口值表查詢結果!$A$2:$D$21,3,0)</f>
        <v>4446138</v>
      </c>
      <c r="G29" s="506">
        <f>(E29-F29)/F29</f>
        <v>-0.3798145716574699</v>
      </c>
    </row>
    <row r="30" spans="1:7">
      <c r="A30" s="327" t="s">
        <v>77</v>
      </c>
      <c r="B30" s="348"/>
      <c r="C30" s="350"/>
      <c r="D30" s="348"/>
      <c r="E30" s="352"/>
      <c r="F30" s="349"/>
      <c r="G30" s="352"/>
    </row>
    <row r="31" spans="1:7">
      <c r="A31" s="330">
        <v>87149490009</v>
      </c>
      <c r="B31" s="353"/>
      <c r="C31" s="356"/>
      <c r="D31" s="357"/>
      <c r="E31" s="358"/>
      <c r="F31" s="359"/>
      <c r="G31" s="358"/>
    </row>
    <row r="32" spans="1:7">
      <c r="A32" s="327" t="s">
        <v>78</v>
      </c>
      <c r="B32" s="348">
        <f>零件!F32</f>
        <v>1893379</v>
      </c>
      <c r="C32" s="349">
        <f>VLOOKUP(A31,[20]進出口值表查詢結果!$A$2:$D$21,4,0)</f>
        <v>4768994</v>
      </c>
      <c r="D32" s="506">
        <f>(B32-C32)/C32</f>
        <v>-0.60298146737026714</v>
      </c>
      <c r="E32" s="348">
        <f>零件!G32</f>
        <v>97148239</v>
      </c>
      <c r="F32" s="349">
        <f>VLOOKUP(A31,[20]進出口值表查詢結果!$A$2:$D$21,3,0)</f>
        <v>189104361</v>
      </c>
      <c r="G32" s="507">
        <f>(E32-F32)/F32</f>
        <v>-0.48627182109248129</v>
      </c>
    </row>
    <row r="33" spans="1:7">
      <c r="A33" s="327" t="s">
        <v>79</v>
      </c>
      <c r="B33" s="348"/>
      <c r="C33" s="350"/>
      <c r="D33" s="348"/>
      <c r="E33" s="352"/>
      <c r="F33" s="349"/>
      <c r="G33" s="352"/>
    </row>
    <row r="34" spans="1:7">
      <c r="A34" s="330">
        <v>87149500007</v>
      </c>
      <c r="B34" s="357"/>
      <c r="C34" s="356"/>
      <c r="D34" s="357"/>
      <c r="E34" s="358"/>
      <c r="F34" s="359"/>
      <c r="G34" s="358"/>
    </row>
    <row r="35" spans="1:7">
      <c r="A35" s="327" t="s">
        <v>80</v>
      </c>
      <c r="B35" s="348">
        <f>零件!F35</f>
        <v>654159</v>
      </c>
      <c r="C35" s="349">
        <f>VLOOKUP(A34,[20]進出口值表查詢結果!$A$2:$D$21,4,0)</f>
        <v>1196097</v>
      </c>
      <c r="D35" s="507">
        <f>(B35-C35)/C35</f>
        <v>-0.45308867090210914</v>
      </c>
      <c r="E35" s="348">
        <f>零件!G35</f>
        <v>16511262</v>
      </c>
      <c r="F35" s="349">
        <f>VLOOKUP(A34,[20]進出口值表查詢結果!$A$2:$D$21,3,0)</f>
        <v>25665887</v>
      </c>
      <c r="G35" s="507">
        <f>(E35-F35)/F35</f>
        <v>-0.35668453617052082</v>
      </c>
    </row>
    <row r="36" spans="1:7">
      <c r="A36" s="330">
        <v>87149610004</v>
      </c>
      <c r="B36" s="357"/>
      <c r="C36" s="356"/>
      <c r="D36" s="357"/>
      <c r="E36" s="358"/>
      <c r="F36" s="359"/>
      <c r="G36" s="358"/>
    </row>
    <row r="37" spans="1:7">
      <c r="A37" s="327" t="s">
        <v>81</v>
      </c>
      <c r="B37" s="348">
        <f>零件!F37</f>
        <v>992602</v>
      </c>
      <c r="C37" s="349">
        <f>VLOOKUP(A36,[20]進出口值表查詢結果!$A$2:$D$21,4,0)</f>
        <v>2085697</v>
      </c>
      <c r="D37" s="507">
        <f>(B37-C37)/C37</f>
        <v>-0.5240909873294155</v>
      </c>
      <c r="E37" s="348">
        <f>零件!G37</f>
        <v>24467384</v>
      </c>
      <c r="F37" s="349">
        <f>VLOOKUP(A36,[20]進出口值表查詢結果!$A$2:$D$21,3,0)</f>
        <v>46143239</v>
      </c>
      <c r="G37" s="507">
        <f>(E37-F37)/F37</f>
        <v>-0.46975148406898787</v>
      </c>
    </row>
    <row r="38" spans="1:7">
      <c r="A38" s="330">
        <v>87149620002</v>
      </c>
      <c r="B38" s="353"/>
      <c r="C38" s="356"/>
      <c r="D38" s="357"/>
      <c r="E38" s="358"/>
      <c r="F38" s="359"/>
      <c r="G38" s="358"/>
    </row>
    <row r="39" spans="1:7">
      <c r="A39" s="327" t="s">
        <v>82</v>
      </c>
      <c r="B39" s="348">
        <f>零件!F39</f>
        <v>891562</v>
      </c>
      <c r="C39" s="349">
        <f>VLOOKUP(A38,[20]進出口值表查詢結果!$A$2:$D$21,4,0)</f>
        <v>1938443</v>
      </c>
      <c r="D39" s="506">
        <f>(B39-C39)/C39</f>
        <v>-0.54006282361668623</v>
      </c>
      <c r="E39" s="348">
        <f>零件!G39</f>
        <v>46860061</v>
      </c>
      <c r="F39" s="349">
        <f>VLOOKUP(A38,[20]進出口值表查詢結果!$A$2:$D$21,3,0)</f>
        <v>74099435</v>
      </c>
      <c r="G39" s="506">
        <f>(E39-F39)/F39</f>
        <v>-0.36760569092058532</v>
      </c>
    </row>
    <row r="40" spans="1:7">
      <c r="A40" s="327" t="s">
        <v>77</v>
      </c>
      <c r="B40" s="348"/>
      <c r="C40" s="352"/>
      <c r="D40" s="348"/>
      <c r="E40" s="352"/>
      <c r="F40" s="349"/>
      <c r="G40" s="352"/>
    </row>
    <row r="41" spans="1:7">
      <c r="A41" s="330">
        <v>73151100209</v>
      </c>
      <c r="B41" s="353"/>
      <c r="C41" s="357"/>
      <c r="D41" s="357"/>
      <c r="E41" s="358"/>
      <c r="F41" s="358"/>
      <c r="G41" s="358"/>
    </row>
    <row r="42" spans="1:7">
      <c r="A42" s="327" t="s">
        <v>83</v>
      </c>
      <c r="B42" s="348">
        <f>零件!F42</f>
        <v>701315</v>
      </c>
      <c r="C42" s="349">
        <v>1179528</v>
      </c>
      <c r="D42" s="507">
        <f>(B42-C42)/C42</f>
        <v>-0.40542742520737107</v>
      </c>
      <c r="E42" s="348">
        <f>零件!G42</f>
        <v>18598623</v>
      </c>
      <c r="F42" s="349">
        <v>25188174</v>
      </c>
      <c r="G42" s="507">
        <f>(E42-F42)/F42</f>
        <v>-0.26161289023968154</v>
      </c>
    </row>
    <row r="43" spans="1:7">
      <c r="A43" s="327" t="s">
        <v>84</v>
      </c>
      <c r="B43" s="348"/>
      <c r="C43" s="350"/>
      <c r="D43" s="348"/>
      <c r="E43" s="352"/>
      <c r="F43" s="349"/>
      <c r="G43" s="352"/>
    </row>
    <row r="44" spans="1:7">
      <c r="A44" s="330">
        <v>87149990111</v>
      </c>
      <c r="B44" s="353"/>
      <c r="C44" s="356"/>
      <c r="D44" s="357"/>
      <c r="E44" s="358"/>
      <c r="F44" s="359"/>
      <c r="G44" s="358"/>
    </row>
    <row r="45" spans="1:7">
      <c r="A45" s="331" t="s">
        <v>85</v>
      </c>
      <c r="B45" s="348">
        <f>零件!F45</f>
        <v>496300</v>
      </c>
      <c r="C45" s="349">
        <f>VLOOKUP(A44,[20]進出口值表查詢結果!$A$2:$D$21,4,0)</f>
        <v>955498</v>
      </c>
      <c r="D45" s="506">
        <f>(B45-C45)/C45</f>
        <v>-0.48058499337518235</v>
      </c>
      <c r="E45" s="348">
        <f>零件!G45</f>
        <v>55597221</v>
      </c>
      <c r="F45" s="349">
        <f>VLOOKUP(A44,[20]進出口值表查詢結果!$A$2:$D$21,3,0)</f>
        <v>72929867</v>
      </c>
      <c r="G45" s="506">
        <f>(E45-F45)/F45</f>
        <v>-0.23766183475968769</v>
      </c>
    </row>
    <row r="46" spans="1:7">
      <c r="A46" s="327" t="s">
        <v>86</v>
      </c>
      <c r="B46" s="348"/>
      <c r="C46" s="350"/>
      <c r="D46" s="348"/>
      <c r="E46" s="352"/>
      <c r="F46" s="349"/>
      <c r="G46" s="352"/>
    </row>
    <row r="47" spans="1:7">
      <c r="A47" s="330">
        <v>87149320906</v>
      </c>
      <c r="B47" s="353"/>
      <c r="C47" s="356"/>
      <c r="D47" s="357"/>
      <c r="E47" s="358"/>
      <c r="F47" s="359"/>
      <c r="G47" s="358"/>
    </row>
    <row r="48" spans="1:7">
      <c r="A48" s="327" t="s">
        <v>408</v>
      </c>
      <c r="B48" s="348">
        <f>零件!F48</f>
        <v>1134898</v>
      </c>
      <c r="C48" s="349">
        <f>VLOOKUP(A47,[20]進出口值表查詢結果!$A$2:$D$21,4,0)</f>
        <v>541919</v>
      </c>
      <c r="D48" s="506">
        <f>(B48-C48)/C48</f>
        <v>1.0942207230231824</v>
      </c>
      <c r="E48" s="348">
        <f>零件!G48</f>
        <v>57751879</v>
      </c>
      <c r="F48" s="349">
        <f>VLOOKUP(A47,[20]進出口值表查詢結果!$A$2:$D$21,3,0)</f>
        <v>18690892</v>
      </c>
      <c r="G48" s="506">
        <f>(E48-F48)/F48</f>
        <v>2.089840709581972</v>
      </c>
    </row>
    <row r="49" spans="1:7">
      <c r="A49" s="330">
        <v>87149990139</v>
      </c>
      <c r="B49" s="353"/>
      <c r="C49" s="356"/>
      <c r="D49" s="357"/>
      <c r="E49" s="358"/>
      <c r="F49" s="359"/>
      <c r="G49" s="358"/>
    </row>
    <row r="50" spans="1:7">
      <c r="A50" s="327" t="s">
        <v>87</v>
      </c>
      <c r="B50" s="348">
        <f>零件!F50</f>
        <v>84218</v>
      </c>
      <c r="C50" s="349">
        <f>VLOOKUP(A49,[20]進出口值表查詢結果!$A$2:$D$21,4,0)</f>
        <v>150437</v>
      </c>
      <c r="D50" s="507">
        <f>(B50-C50)/C50</f>
        <v>-0.44017761587907228</v>
      </c>
      <c r="E50" s="348">
        <f>零件!G50</f>
        <v>1457337</v>
      </c>
      <c r="F50" s="349">
        <f>VLOOKUP(A49,[20]進出口值表查詢結果!$A$2:$D$21,3,0)</f>
        <v>3088850</v>
      </c>
      <c r="G50" s="507">
        <f>(E50-F50)/F50</f>
        <v>-0.52819431179888954</v>
      </c>
    </row>
    <row r="51" spans="1:7">
      <c r="A51" s="330">
        <v>87149990148</v>
      </c>
      <c r="B51" s="353"/>
      <c r="C51" s="356"/>
      <c r="D51" s="357"/>
      <c r="E51" s="358"/>
      <c r="F51" s="359"/>
      <c r="G51" s="358"/>
    </row>
    <row r="52" spans="1:7">
      <c r="A52" s="332" t="s">
        <v>88</v>
      </c>
      <c r="B52" s="348">
        <f>零件!F52</f>
        <v>359988</v>
      </c>
      <c r="C52" s="349">
        <f>VLOOKUP(A51,[20]進出口值表查詢結果!$A$2:$D$21,4,0)</f>
        <v>672756</v>
      </c>
      <c r="D52" s="507">
        <f>(B52-C52)/C52</f>
        <v>-0.46490555268180439</v>
      </c>
      <c r="E52" s="348">
        <f>零件!G52</f>
        <v>14069869</v>
      </c>
      <c r="F52" s="349">
        <f>VLOOKUP(A51,[20]進出口值表查詢結果!$A$2:$D$21,3,0)</f>
        <v>21357248</v>
      </c>
      <c r="G52" s="507">
        <f>(E52-F52)/F52</f>
        <v>-0.34121339041434551</v>
      </c>
    </row>
    <row r="53" spans="1:7">
      <c r="A53" s="327" t="s">
        <v>89</v>
      </c>
      <c r="B53" s="348"/>
      <c r="C53" s="350"/>
      <c r="D53" s="348"/>
      <c r="E53" s="352"/>
      <c r="F53" s="349"/>
      <c r="G53" s="352"/>
    </row>
    <row r="54" spans="1:7">
      <c r="A54" s="330">
        <v>87149990157</v>
      </c>
      <c r="B54" s="353"/>
      <c r="C54" s="356"/>
      <c r="D54" s="357"/>
      <c r="E54" s="358"/>
      <c r="F54" s="359"/>
      <c r="G54" s="358"/>
    </row>
    <row r="55" spans="1:7">
      <c r="A55" s="327" t="s">
        <v>90</v>
      </c>
      <c r="B55" s="348">
        <f>零件!F55</f>
        <v>698094</v>
      </c>
      <c r="C55" s="349">
        <f>VLOOKUP(A54,[20]進出口值表查詢結果!$A$2:$D$21,4,0)</f>
        <v>1076279</v>
      </c>
      <c r="D55" s="507">
        <f>(B55-C55)/C55</f>
        <v>-0.35138193721144795</v>
      </c>
      <c r="E55" s="348">
        <f>零件!G55</f>
        <v>32308321</v>
      </c>
      <c r="F55" s="349">
        <f>VLOOKUP(A54,[20]進出口值表查詢結果!$A$2:$D$21,3,0)</f>
        <v>45773774</v>
      </c>
      <c r="G55" s="507">
        <f>(E55-F55)/F55</f>
        <v>-0.2941739739441192</v>
      </c>
    </row>
    <row r="56" spans="1:7">
      <c r="A56" s="327" t="s">
        <v>91</v>
      </c>
      <c r="B56" s="348"/>
      <c r="C56" s="350"/>
      <c r="D56" s="348"/>
      <c r="E56" s="352"/>
      <c r="F56" s="349"/>
      <c r="G56" s="352"/>
    </row>
    <row r="57" spans="1:7">
      <c r="A57" s="330">
        <v>87149990166</v>
      </c>
      <c r="B57" s="353"/>
      <c r="C57" s="356"/>
      <c r="D57" s="357"/>
      <c r="E57" s="358"/>
      <c r="F57" s="359"/>
      <c r="G57" s="358"/>
    </row>
    <row r="58" spans="1:7">
      <c r="A58" s="327" t="s">
        <v>88</v>
      </c>
      <c r="B58" s="348">
        <f>零件!F58</f>
        <v>691116</v>
      </c>
      <c r="C58" s="349">
        <f>VLOOKUP(A57,[20]進出口值表查詢結果!$A$2:$D$21,4,0)</f>
        <v>1102954</v>
      </c>
      <c r="D58" s="507">
        <f>(B58-C58)/C58</f>
        <v>-0.37339544532228908</v>
      </c>
      <c r="E58" s="348">
        <f>零件!G58</f>
        <v>23517764</v>
      </c>
      <c r="F58" s="349">
        <f>VLOOKUP(A57,[20]進出口值表查詢結果!$A$2:$D$21,3,0)</f>
        <v>32488346</v>
      </c>
      <c r="G58" s="507">
        <f>(E58-F58)/F58</f>
        <v>-0.27611691897149826</v>
      </c>
    </row>
    <row r="59" spans="1:7">
      <c r="A59" s="330">
        <v>40115000008</v>
      </c>
      <c r="B59" s="357"/>
      <c r="C59" s="357"/>
      <c r="D59" s="357"/>
      <c r="E59" s="358"/>
      <c r="F59" s="358"/>
      <c r="G59" s="358"/>
    </row>
    <row r="60" spans="1:7">
      <c r="A60" s="327" t="s">
        <v>92</v>
      </c>
      <c r="B60" s="348">
        <f>零件!F60</f>
        <v>2227801</v>
      </c>
      <c r="C60" s="349">
        <v>3714877</v>
      </c>
      <c r="D60" s="507">
        <f>(B60-C60)/C60</f>
        <v>-0.4003028902437416</v>
      </c>
      <c r="E60" s="348">
        <f>零件!G60</f>
        <v>40301124</v>
      </c>
      <c r="F60" s="349">
        <v>63995837</v>
      </c>
      <c r="G60" s="507">
        <f>(E60-F60)/F60</f>
        <v>-0.37025397448899683</v>
      </c>
    </row>
    <row r="61" spans="1:7">
      <c r="A61" s="327" t="s">
        <v>93</v>
      </c>
      <c r="B61" s="348"/>
      <c r="C61" s="348"/>
      <c r="D61" s="351"/>
      <c r="E61" s="352"/>
      <c r="F61" s="349"/>
      <c r="G61" s="352"/>
    </row>
    <row r="62" spans="1:7">
      <c r="A62" s="330">
        <v>40132000003</v>
      </c>
      <c r="B62" s="534"/>
      <c r="C62" s="357"/>
      <c r="D62" s="357"/>
      <c r="E62" s="358"/>
      <c r="F62" s="358"/>
      <c r="G62" s="358"/>
    </row>
    <row r="63" spans="1:7">
      <c r="A63" s="327" t="s">
        <v>94</v>
      </c>
      <c r="B63" s="348">
        <f>零件!F63</f>
        <v>283108</v>
      </c>
      <c r="C63" s="349">
        <v>1130537</v>
      </c>
      <c r="D63" s="507">
        <f>(B63-C63)/C63</f>
        <v>-0.74958095135320646</v>
      </c>
      <c r="E63" s="348">
        <f>零件!G63</f>
        <v>2970200</v>
      </c>
      <c r="F63" s="349">
        <v>11772379</v>
      </c>
      <c r="G63" s="507">
        <f>(E63-F63)/F63</f>
        <v>-0.74769755543887939</v>
      </c>
    </row>
    <row r="64" spans="1:7">
      <c r="A64" s="327" t="s">
        <v>95</v>
      </c>
      <c r="B64" s="348"/>
      <c r="C64" s="350"/>
      <c r="D64" s="351"/>
      <c r="E64" s="352"/>
      <c r="F64" s="349"/>
      <c r="G64" s="352"/>
    </row>
    <row r="65" spans="1:7">
      <c r="A65" s="361" t="s">
        <v>96</v>
      </c>
      <c r="B65" s="362">
        <f>SUM(B6:B64)-B64-B61-B20-B17-B11-B8</f>
        <v>18579849</v>
      </c>
      <c r="C65" s="448">
        <f>SUM(C6:C64)</f>
        <v>32651107</v>
      </c>
      <c r="D65" s="505">
        <f>(B65-C65)/C65</f>
        <v>-0.43095806828234035</v>
      </c>
      <c r="E65" s="447">
        <f>SUM(E7:E64)</f>
        <v>884391466</v>
      </c>
      <c r="F65" s="212">
        <f>SUM(F6:F64)</f>
        <v>1223265371</v>
      </c>
      <c r="G65" s="508">
        <f>(E65-F65)/F65</f>
        <v>-0.27702403177078083</v>
      </c>
    </row>
    <row r="66" spans="1:7" ht="8.25" customHeight="1">
      <c r="E66" s="5"/>
    </row>
    <row r="67" spans="1:7">
      <c r="A67" s="55" t="s">
        <v>32</v>
      </c>
    </row>
  </sheetData>
  <phoneticPr fontId="3" type="noConversion"/>
  <conditionalFormatting sqref="C41">
    <cfRule type="cellIs" dxfId="29" priority="11" operator="greaterThanOrEqual">
      <formula>0</formula>
    </cfRule>
    <cfRule type="cellIs" dxfId="28" priority="12" operator="lessThan">
      <formula>0</formula>
    </cfRule>
  </conditionalFormatting>
  <conditionalFormatting sqref="C59">
    <cfRule type="cellIs" dxfId="27" priority="9" operator="greaterThanOrEqual">
      <formula>0</formula>
    </cfRule>
    <cfRule type="cellIs" dxfId="26" priority="10" operator="lessThan">
      <formula>0</formula>
    </cfRule>
  </conditionalFormatting>
  <conditionalFormatting sqref="C62">
    <cfRule type="cellIs" dxfId="25" priority="7" operator="greaterThanOrEqual">
      <formula>0</formula>
    </cfRule>
    <cfRule type="cellIs" dxfId="24" priority="8" operator="lessThan">
      <formula>0</formula>
    </cfRule>
  </conditionalFormatting>
  <conditionalFormatting sqref="D1:D3 D6:D7 D9:D1048576">
    <cfRule type="cellIs" dxfId="23" priority="15" operator="greaterThanOrEqual">
      <formula>0</formula>
    </cfRule>
    <cfRule type="cellIs" dxfId="22" priority="16" operator="lessThan">
      <formula>0</formula>
    </cfRule>
  </conditionalFormatting>
  <conditionalFormatting sqref="F41">
    <cfRule type="cellIs" dxfId="21" priority="5" operator="greaterThanOrEqual">
      <formula>0</formula>
    </cfRule>
    <cfRule type="cellIs" dxfId="20" priority="6" operator="lessThan">
      <formula>0</formula>
    </cfRule>
  </conditionalFormatting>
  <conditionalFormatting sqref="F59">
    <cfRule type="cellIs" dxfId="19" priority="3" operator="greaterThanOrEqual">
      <formula>0</formula>
    </cfRule>
    <cfRule type="cellIs" dxfId="18" priority="4" operator="lessThan">
      <formula>0</formula>
    </cfRule>
  </conditionalFormatting>
  <conditionalFormatting sqref="F62">
    <cfRule type="cellIs" dxfId="17" priority="1" operator="greaterThanOrEqual">
      <formula>0</formula>
    </cfRule>
    <cfRule type="cellIs" dxfId="16" priority="2" operator="lessThan">
      <formula>0</formula>
    </cfRule>
  </conditionalFormatting>
  <conditionalFormatting sqref="G1:G3 G6:G1048576">
    <cfRule type="cellIs" dxfId="15" priority="13" operator="greaterThanOrEqual">
      <formula>0</formula>
    </cfRule>
    <cfRule type="cellIs" dxfId="14" priority="14" operator="lessThan">
      <formula>0</formula>
    </cfRule>
  </conditionalFormatting>
  <pageMargins left="0.51181102362204722" right="0.11811023622047245" top="0.35433070866141736" bottom="0.35433070866141736" header="0.31496062992125984" footer="0.31496062992125984"/>
  <pageSetup paperSize="9" scale="7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67"/>
  <sheetViews>
    <sheetView tabSelected="1" zoomScaleNormal="100" workbookViewId="0">
      <selection activeCell="E65" sqref="E65"/>
    </sheetView>
  </sheetViews>
  <sheetFormatPr defaultColWidth="10" defaultRowHeight="16.5"/>
  <cols>
    <col min="1" max="1" width="22.375" style="13" customWidth="1"/>
    <col min="2" max="2" width="16.625" style="320" customWidth="1"/>
    <col min="3" max="3" width="17.25" style="363" customWidth="1"/>
    <col min="4" max="4" width="15.75" style="364" customWidth="1"/>
    <col min="5" max="5" width="16.75" style="320" customWidth="1"/>
    <col min="6" max="6" width="16.875" style="363" customWidth="1"/>
    <col min="7" max="7" width="14.875" style="364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17" customFormat="1" ht="21">
      <c r="A1" s="336" t="s">
        <v>512</v>
      </c>
      <c r="B1" s="337"/>
      <c r="C1" s="338"/>
      <c r="D1" s="339"/>
      <c r="E1" s="337"/>
      <c r="F1" s="338"/>
      <c r="G1" s="339"/>
    </row>
    <row r="2" spans="1:7" s="317" customFormat="1" ht="10.5" customHeight="1">
      <c r="B2" s="318"/>
      <c r="C2" s="340"/>
      <c r="D2" s="341"/>
      <c r="E2" s="318"/>
      <c r="F2" s="340"/>
      <c r="G2" s="341"/>
    </row>
    <row r="3" spans="1:7" s="317" customFormat="1" ht="10.5" customHeight="1">
      <c r="A3" s="319"/>
      <c r="B3" s="318"/>
      <c r="C3" s="340"/>
      <c r="D3" s="341"/>
      <c r="E3" s="318"/>
      <c r="F3" s="340"/>
      <c r="G3" s="341"/>
    </row>
    <row r="4" spans="1:7">
      <c r="A4" s="517" t="s">
        <v>97</v>
      </c>
      <c r="B4" s="519" t="s">
        <v>420</v>
      </c>
      <c r="C4" s="71" t="s">
        <v>421</v>
      </c>
      <c r="D4" s="521" t="s">
        <v>37</v>
      </c>
      <c r="E4" s="520" t="s">
        <v>420</v>
      </c>
      <c r="F4" s="518" t="s">
        <v>421</v>
      </c>
      <c r="G4" s="203" t="s">
        <v>37</v>
      </c>
    </row>
    <row r="5" spans="1:7" s="317" customFormat="1" ht="18" customHeight="1">
      <c r="A5" s="46"/>
      <c r="B5" s="77" t="s">
        <v>98</v>
      </c>
      <c r="C5" s="76" t="s">
        <v>98</v>
      </c>
      <c r="D5" s="204" t="s">
        <v>2</v>
      </c>
      <c r="E5" s="77" t="s">
        <v>34</v>
      </c>
      <c r="F5" s="76" t="s">
        <v>34</v>
      </c>
      <c r="G5" s="204" t="s">
        <v>2</v>
      </c>
    </row>
    <row r="6" spans="1:7">
      <c r="A6" s="343">
        <v>85121010001</v>
      </c>
      <c r="B6" s="344"/>
      <c r="C6" s="345"/>
      <c r="D6" s="346"/>
      <c r="E6" s="344"/>
      <c r="F6" s="345"/>
      <c r="G6" s="347"/>
    </row>
    <row r="7" spans="1:7">
      <c r="A7" s="327" t="s">
        <v>64</v>
      </c>
      <c r="B7" s="348">
        <f>零件!L6</f>
        <v>22490</v>
      </c>
      <c r="C7" s="349">
        <v>43969</v>
      </c>
      <c r="D7" s="506">
        <f>(B7-C7)/C7</f>
        <v>-0.48850326366303531</v>
      </c>
      <c r="E7" s="348">
        <f>零件!M6</f>
        <v>1776398</v>
      </c>
      <c r="F7" s="349">
        <v>2597323</v>
      </c>
      <c r="G7" s="506">
        <f>(E7-F7)/F7</f>
        <v>-0.3160658108367731</v>
      </c>
    </row>
    <row r="8" spans="1:7">
      <c r="A8" s="327" t="s">
        <v>65</v>
      </c>
      <c r="B8" s="348"/>
      <c r="C8" s="352"/>
      <c r="D8" s="351"/>
      <c r="E8" s="352"/>
      <c r="F8" s="349"/>
      <c r="G8" s="352"/>
    </row>
    <row r="9" spans="1:7">
      <c r="A9" s="329">
        <v>85121020009</v>
      </c>
      <c r="B9" s="353"/>
      <c r="C9" s="354"/>
      <c r="D9" s="354"/>
      <c r="E9" s="353"/>
      <c r="F9" s="353"/>
      <c r="G9" s="353"/>
    </row>
    <row r="10" spans="1:7">
      <c r="A10" s="327" t="s">
        <v>67</v>
      </c>
      <c r="B10" s="348">
        <f>零件!L9</f>
        <v>11239</v>
      </c>
      <c r="C10" s="349">
        <v>18322</v>
      </c>
      <c r="D10" s="506">
        <f>(B10-C10)/C10</f>
        <v>-0.38658443401375397</v>
      </c>
      <c r="E10" s="348">
        <f>零件!M9</f>
        <v>987945</v>
      </c>
      <c r="F10" s="349">
        <v>1315348</v>
      </c>
      <c r="G10" s="507">
        <f>(E10-F10)/F10</f>
        <v>-0.24890979421415474</v>
      </c>
    </row>
    <row r="11" spans="1:7">
      <c r="A11" s="327" t="s">
        <v>68</v>
      </c>
      <c r="B11" s="348"/>
      <c r="C11" s="352"/>
      <c r="D11" s="355"/>
      <c r="E11" s="352"/>
      <c r="F11" s="349"/>
      <c r="G11" s="352"/>
    </row>
    <row r="12" spans="1:7">
      <c r="A12" s="330">
        <v>87149120007</v>
      </c>
      <c r="B12" s="353"/>
      <c r="C12" s="354"/>
      <c r="D12" s="357"/>
      <c r="E12" s="358"/>
      <c r="F12" s="353"/>
      <c r="G12" s="358"/>
    </row>
    <row r="13" spans="1:7">
      <c r="A13" s="327" t="s">
        <v>70</v>
      </c>
      <c r="B13" s="348">
        <f>零件!L12</f>
        <v>3123487</v>
      </c>
      <c r="C13" s="349">
        <f>VLOOKUP(A12,[21]進出口值表查詢結果!$A$2:$D$21,4,0)</f>
        <v>4853497</v>
      </c>
      <c r="D13" s="506">
        <f>(B13-C13)/C13</f>
        <v>-0.35644608413273976</v>
      </c>
      <c r="E13" s="348">
        <f>零件!M12</f>
        <v>181962616</v>
      </c>
      <c r="F13" s="349">
        <f>VLOOKUP(A12,[21]進出口值表查詢結果!$A$2:$D$21,3,0)</f>
        <v>209063072</v>
      </c>
      <c r="G13" s="506">
        <f>(E13-F13)/F13</f>
        <v>-0.12962813442251533</v>
      </c>
    </row>
    <row r="14" spans="1:7">
      <c r="A14" s="327" t="s">
        <v>71</v>
      </c>
      <c r="B14" s="355"/>
      <c r="C14" s="477"/>
      <c r="D14" s="348"/>
      <c r="E14" s="352"/>
      <c r="F14" s="349"/>
      <c r="G14" s="352"/>
    </row>
    <row r="15" spans="1:7">
      <c r="A15" s="330">
        <v>87149200108</v>
      </c>
      <c r="B15" s="353"/>
      <c r="C15" s="356"/>
      <c r="D15" s="357"/>
      <c r="E15" s="358"/>
      <c r="F15" s="359"/>
      <c r="G15" s="358"/>
    </row>
    <row r="16" spans="1:7">
      <c r="A16" s="327" t="s">
        <v>72</v>
      </c>
      <c r="B16" s="348">
        <f>零件!L15</f>
        <v>440643</v>
      </c>
      <c r="C16" s="349">
        <f>VLOOKUP(A15,[21]進出口值表查詢結果!$A$2:$D$21,4,0)</f>
        <v>684307</v>
      </c>
      <c r="D16" s="506">
        <f>(B16-C16)/C16</f>
        <v>-0.35607410124403227</v>
      </c>
      <c r="E16" s="348">
        <f>零件!M15</f>
        <v>29169184</v>
      </c>
      <c r="F16" s="349">
        <f>VLOOKUP(A15,[21]進出口值表查詢結果!$A$2:$D$21,3,0)</f>
        <v>34053432</v>
      </c>
      <c r="G16" s="506">
        <f>(E16-F16)/F16</f>
        <v>-0.1434289501275525</v>
      </c>
    </row>
    <row r="17" spans="1:7">
      <c r="A17" s="327"/>
      <c r="B17" s="348"/>
      <c r="C17" s="350"/>
      <c r="D17" s="348"/>
      <c r="E17" s="352"/>
      <c r="F17" s="349"/>
      <c r="G17" s="352"/>
    </row>
    <row r="18" spans="1:7">
      <c r="A18" s="330">
        <v>87149200206</v>
      </c>
      <c r="B18" s="353"/>
      <c r="C18" s="356"/>
      <c r="D18" s="357"/>
      <c r="E18" s="358"/>
      <c r="F18" s="359"/>
      <c r="G18" s="358"/>
    </row>
    <row r="19" spans="1:7">
      <c r="A19" s="327" t="s">
        <v>58</v>
      </c>
      <c r="B19" s="348">
        <f>零件!L18</f>
        <v>50388</v>
      </c>
      <c r="C19" s="349">
        <f>VLOOKUP(A18,[21]進出口值表查詢結果!$A$2:$D$21,4,0)</f>
        <v>103475</v>
      </c>
      <c r="D19" s="506">
        <f>(B19-C19)/C19</f>
        <v>-0.51304179753563661</v>
      </c>
      <c r="E19" s="348">
        <f>零件!M18</f>
        <v>3219933</v>
      </c>
      <c r="F19" s="349">
        <f>VLOOKUP(A18,[21]進出口值表查詢結果!$A$2:$D$21,3,0)</f>
        <v>6143137</v>
      </c>
      <c r="G19" s="507">
        <f>(E19-F19)/F19</f>
        <v>-0.47584873982136489</v>
      </c>
    </row>
    <row r="20" spans="1:7">
      <c r="A20" s="327"/>
      <c r="B20" s="348"/>
      <c r="C20" s="350"/>
      <c r="D20" s="348"/>
      <c r="E20" s="352"/>
      <c r="F20" s="349"/>
      <c r="G20" s="352"/>
    </row>
    <row r="21" spans="1:7">
      <c r="A21" s="330">
        <v>87149200304</v>
      </c>
      <c r="B21" s="353"/>
      <c r="C21" s="356"/>
      <c r="D21" s="357"/>
      <c r="E21" s="358"/>
      <c r="F21" s="359"/>
      <c r="G21" s="358"/>
    </row>
    <row r="22" spans="1:7">
      <c r="A22" s="327" t="s">
        <v>59</v>
      </c>
      <c r="B22" s="348">
        <f>零件!L21</f>
        <v>83991</v>
      </c>
      <c r="C22" s="349">
        <f>VLOOKUP(A21,[21]進出口值表查詢結果!$A$2:$D$21,4,0)</f>
        <v>152190</v>
      </c>
      <c r="D22" s="507">
        <f>(B22-C22)/C22</f>
        <v>-0.44811748472304358</v>
      </c>
      <c r="E22" s="348">
        <f>零件!M21</f>
        <v>3777974</v>
      </c>
      <c r="F22" s="349">
        <f>VLOOKUP(A21,[21]進出口值表查詢結果!$A$2:$D$21,3,0)</f>
        <v>4896937</v>
      </c>
      <c r="G22" s="506">
        <f>(E22-F22)/F22</f>
        <v>-0.2285026333808256</v>
      </c>
    </row>
    <row r="23" spans="1:7">
      <c r="A23" s="330">
        <v>87149310007</v>
      </c>
      <c r="B23" s="353"/>
      <c r="C23" s="356"/>
      <c r="D23" s="357"/>
      <c r="E23" s="358"/>
      <c r="F23" s="359"/>
      <c r="G23" s="358"/>
    </row>
    <row r="24" spans="1:7">
      <c r="A24" s="327" t="s">
        <v>73</v>
      </c>
      <c r="B24" s="348">
        <f>零件!L23</f>
        <v>604893</v>
      </c>
      <c r="C24" s="349">
        <f>VLOOKUP(A23,[21]進出口值表查詢結果!$A$2:$D$21,4,0)</f>
        <v>1039991</v>
      </c>
      <c r="D24" s="507">
        <f>(B24-C24)/C24</f>
        <v>-0.41836708202282519</v>
      </c>
      <c r="E24" s="348">
        <f>零件!M23</f>
        <v>21023682</v>
      </c>
      <c r="F24" s="349">
        <f>VLOOKUP(A23,[21]進出口值表查詢結果!$A$2:$D$21,3,0)</f>
        <v>28906854</v>
      </c>
      <c r="G24" s="507">
        <f>(E24-F24)/F24</f>
        <v>-0.27270944115883383</v>
      </c>
    </row>
    <row r="25" spans="1:7">
      <c r="A25" s="327" t="s">
        <v>100</v>
      </c>
      <c r="B25" s="348"/>
      <c r="C25" s="350"/>
      <c r="D25" s="348"/>
      <c r="E25" s="352"/>
      <c r="F25" s="349"/>
      <c r="G25" s="352"/>
    </row>
    <row r="26" spans="1:7">
      <c r="A26" s="330">
        <v>87149320103</v>
      </c>
      <c r="B26" s="353"/>
      <c r="C26" s="356"/>
      <c r="D26" s="357"/>
      <c r="E26" s="358"/>
      <c r="F26" s="359"/>
      <c r="G26" s="358"/>
    </row>
    <row r="27" spans="1:7">
      <c r="A27" s="327" t="s">
        <v>405</v>
      </c>
      <c r="B27" s="348">
        <f>零件!L27</f>
        <v>57905</v>
      </c>
      <c r="C27" s="349">
        <f>VLOOKUP(A26,[21]進出口值表查詢結果!$A$2:$D$21,4,0)</f>
        <v>13284</v>
      </c>
      <c r="D27" s="507">
        <f>(B27-C27)/C27</f>
        <v>3.3590033122553447</v>
      </c>
      <c r="E27" s="348">
        <f>零件!M27</f>
        <v>3100247</v>
      </c>
      <c r="F27" s="349">
        <f>VLOOKUP(A26,[21]進出口值表查詢結果!$A$2:$D$21,3,0)</f>
        <v>573049</v>
      </c>
      <c r="G27" s="507">
        <f>(E27-F27)/F27</f>
        <v>4.4100905856218233</v>
      </c>
    </row>
    <row r="28" spans="1:7">
      <c r="A28" s="330">
        <v>87149410006</v>
      </c>
      <c r="B28" s="353"/>
      <c r="C28" s="356"/>
      <c r="D28" s="357"/>
      <c r="E28" s="358"/>
      <c r="F28" s="359"/>
      <c r="G28" s="358"/>
    </row>
    <row r="29" spans="1:7">
      <c r="A29" s="327" t="s">
        <v>76</v>
      </c>
      <c r="B29" s="348">
        <f>零件!L29</f>
        <v>36585</v>
      </c>
      <c r="C29" s="349">
        <f>VLOOKUP(A28,[21]進出口值表查詢結果!$A$2:$D$21,4,0)</f>
        <v>85022</v>
      </c>
      <c r="D29" s="506">
        <f>(B29-C29)/C29</f>
        <v>-0.56969960716049961</v>
      </c>
      <c r="E29" s="348">
        <f>零件!M29</f>
        <v>1660612</v>
      </c>
      <c r="F29" s="349">
        <f>VLOOKUP(A28,[21]進出口值表查詢結果!$A$2:$D$21,3,0)</f>
        <v>7089912</v>
      </c>
      <c r="G29" s="506">
        <f>(E29-F29)/F29</f>
        <v>-0.76577819301565375</v>
      </c>
    </row>
    <row r="30" spans="1:7">
      <c r="A30" s="327" t="s">
        <v>77</v>
      </c>
      <c r="B30" s="348"/>
      <c r="C30" s="350"/>
      <c r="D30" s="348"/>
      <c r="E30" s="352"/>
      <c r="F30" s="349"/>
      <c r="G30" s="352"/>
    </row>
    <row r="31" spans="1:7">
      <c r="A31" s="330">
        <v>87149490009</v>
      </c>
      <c r="B31" s="353"/>
      <c r="C31" s="356"/>
      <c r="D31" s="357"/>
      <c r="E31" s="358"/>
      <c r="F31" s="359"/>
      <c r="G31" s="358"/>
    </row>
    <row r="32" spans="1:7">
      <c r="A32" s="327" t="s">
        <v>78</v>
      </c>
      <c r="B32" s="348">
        <f>零件!L32</f>
        <v>730787</v>
      </c>
      <c r="C32" s="349">
        <f>VLOOKUP(A31,[21]進出口值表查詢結果!$A$2:$D$21,4,0)</f>
        <v>1981145</v>
      </c>
      <c r="D32" s="506">
        <f>(B32-C32)/C32</f>
        <v>-0.63112896834911125</v>
      </c>
      <c r="E32" s="348">
        <f>零件!M32</f>
        <v>55327286</v>
      </c>
      <c r="F32" s="349">
        <f>VLOOKUP(A31,[21]進出口值表查詢結果!$A$2:$D$21,3,0)</f>
        <v>60253154</v>
      </c>
      <c r="G32" s="506">
        <f>(E32-F32)/F32</f>
        <v>-8.1752865584430651E-2</v>
      </c>
    </row>
    <row r="33" spans="1:7">
      <c r="A33" s="327" t="s">
        <v>79</v>
      </c>
      <c r="B33" s="348"/>
      <c r="C33" s="350"/>
      <c r="D33" s="348"/>
      <c r="E33" s="352"/>
      <c r="F33" s="349"/>
      <c r="G33" s="352"/>
    </row>
    <row r="34" spans="1:7">
      <c r="A34" s="330">
        <v>87149500007</v>
      </c>
      <c r="B34" s="357"/>
      <c r="C34" s="356"/>
      <c r="D34" s="357"/>
      <c r="E34" s="358"/>
      <c r="F34" s="359"/>
      <c r="G34" s="358"/>
    </row>
    <row r="35" spans="1:7">
      <c r="A35" s="327" t="s">
        <v>80</v>
      </c>
      <c r="B35" s="348">
        <f>零件!L35</f>
        <v>343653</v>
      </c>
      <c r="C35" s="349">
        <f>VLOOKUP(A34,[21]進出口值表查詢結果!$A$2:$D$21,4,0)</f>
        <v>869565</v>
      </c>
      <c r="D35" s="506">
        <f>(B35-C35)/C35</f>
        <v>-0.60479895119973781</v>
      </c>
      <c r="E35" s="348">
        <f>零件!M35</f>
        <v>5430371</v>
      </c>
      <c r="F35" s="349">
        <f>VLOOKUP(A34,[21]進出口值表查詢結果!$A$2:$D$21,3,0)</f>
        <v>13821248</v>
      </c>
      <c r="G35" s="506">
        <f>(E35-F35)/F35</f>
        <v>-0.60709980748482339</v>
      </c>
    </row>
    <row r="36" spans="1:7">
      <c r="A36" s="330">
        <v>87149610004</v>
      </c>
      <c r="B36" s="357"/>
      <c r="C36" s="356"/>
      <c r="D36" s="357"/>
      <c r="E36" s="358"/>
      <c r="F36" s="359"/>
      <c r="G36" s="358"/>
    </row>
    <row r="37" spans="1:7">
      <c r="A37" s="327" t="s">
        <v>81</v>
      </c>
      <c r="B37" s="348">
        <f>零件!L37</f>
        <v>113530</v>
      </c>
      <c r="C37" s="349">
        <f>VLOOKUP(A36,[21]進出口值表查詢結果!$A$2:$D$21,4,0)</f>
        <v>443654</v>
      </c>
      <c r="D37" s="507">
        <f>(B37-C37)/C37</f>
        <v>-0.74410238609366763</v>
      </c>
      <c r="E37" s="348">
        <f>零件!M37</f>
        <v>1323141</v>
      </c>
      <c r="F37" s="349">
        <f>VLOOKUP(A36,[21]進出口值表查詢結果!$A$2:$D$21,3,0)</f>
        <v>5359299</v>
      </c>
      <c r="G37" s="507">
        <f>(E37-F37)/F37</f>
        <v>-0.75311304706081894</v>
      </c>
    </row>
    <row r="38" spans="1:7">
      <c r="A38" s="330">
        <v>87149620002</v>
      </c>
      <c r="B38" s="353"/>
      <c r="C38" s="356"/>
      <c r="D38" s="357"/>
      <c r="E38" s="358"/>
      <c r="F38" s="359"/>
      <c r="G38" s="358"/>
    </row>
    <row r="39" spans="1:7">
      <c r="A39" s="327" t="s">
        <v>82</v>
      </c>
      <c r="B39" s="348">
        <f>零件!L39</f>
        <v>579810</v>
      </c>
      <c r="C39" s="349">
        <f>VLOOKUP(A38,[21]進出口值表查詢結果!$A$2:$D$21,4,0)</f>
        <v>1178977</v>
      </c>
      <c r="D39" s="507">
        <f>(B39-C39)/C39</f>
        <v>-0.50820923563394371</v>
      </c>
      <c r="E39" s="348">
        <f>零件!M39</f>
        <v>17401371</v>
      </c>
      <c r="F39" s="349">
        <f>VLOOKUP(A38,[21]進出口值表查詢結果!$A$2:$D$21,3,0)</f>
        <v>21723981</v>
      </c>
      <c r="G39" s="507">
        <f>(E39-F39)/F39</f>
        <v>-0.19897872309868067</v>
      </c>
    </row>
    <row r="40" spans="1:7">
      <c r="A40" s="327" t="s">
        <v>77</v>
      </c>
      <c r="B40" s="348"/>
      <c r="C40" s="348"/>
      <c r="D40" s="348"/>
      <c r="E40" s="352"/>
      <c r="F40" s="349"/>
      <c r="G40" s="352"/>
    </row>
    <row r="41" spans="1:7">
      <c r="A41" s="330">
        <v>73151100209</v>
      </c>
      <c r="B41" s="353"/>
      <c r="C41" s="353"/>
      <c r="D41" s="357"/>
      <c r="E41" s="358"/>
      <c r="F41" s="358"/>
      <c r="G41" s="358"/>
    </row>
    <row r="42" spans="1:7">
      <c r="A42" s="327" t="s">
        <v>83</v>
      </c>
      <c r="B42" s="348">
        <f>零件!L42</f>
        <v>451757</v>
      </c>
      <c r="C42" s="349">
        <v>1200603</v>
      </c>
      <c r="D42" s="507">
        <f>(B42-C42)/C42</f>
        <v>-0.62372491156527177</v>
      </c>
      <c r="E42" s="348">
        <f>零件!M42</f>
        <v>5837090</v>
      </c>
      <c r="F42" s="349">
        <v>9715203</v>
      </c>
      <c r="G42" s="507">
        <f>(E42-F42)/F42</f>
        <v>-0.39917982156420201</v>
      </c>
    </row>
    <row r="43" spans="1:7">
      <c r="A43" s="327" t="s">
        <v>84</v>
      </c>
      <c r="B43" s="348"/>
      <c r="C43" s="350"/>
      <c r="D43" s="348"/>
      <c r="E43" s="352"/>
      <c r="F43" s="349"/>
      <c r="G43" s="352"/>
    </row>
    <row r="44" spans="1:7">
      <c r="A44" s="330">
        <v>87149990111</v>
      </c>
      <c r="B44" s="353"/>
      <c r="C44" s="356"/>
      <c r="D44" s="357"/>
      <c r="E44" s="358"/>
      <c r="F44" s="359"/>
      <c r="G44" s="358"/>
    </row>
    <row r="45" spans="1:7">
      <c r="A45" s="331" t="s">
        <v>85</v>
      </c>
      <c r="B45" s="348">
        <f>零件!L45</f>
        <v>267540</v>
      </c>
      <c r="C45" s="349">
        <f>VLOOKUP(A44,[21]進出口值表查詢結果!$A$2:$D$21,4,0)</f>
        <v>689648</v>
      </c>
      <c r="D45" s="506">
        <f>(B45-C45)/C45</f>
        <v>-0.61206296545484074</v>
      </c>
      <c r="E45" s="348">
        <f>零件!M45</f>
        <v>26394493</v>
      </c>
      <c r="F45" s="349">
        <f>VLOOKUP(A44,[21]進出口值表查詢結果!$A$2:$D$21,3,0)</f>
        <v>32420637</v>
      </c>
      <c r="G45" s="506">
        <f>(E45-F45)/F45</f>
        <v>-0.18587370754004617</v>
      </c>
    </row>
    <row r="46" spans="1:7">
      <c r="A46" s="327" t="s">
        <v>86</v>
      </c>
      <c r="B46" s="348"/>
      <c r="C46" s="350"/>
      <c r="D46" s="348"/>
      <c r="E46" s="352"/>
      <c r="F46" s="349"/>
      <c r="G46" s="352"/>
    </row>
    <row r="47" spans="1:7">
      <c r="A47" s="330">
        <v>87149320906</v>
      </c>
      <c r="B47" s="353"/>
      <c r="C47" s="356"/>
      <c r="D47" s="357"/>
      <c r="E47" s="358"/>
      <c r="F47" s="359"/>
      <c r="G47" s="358"/>
    </row>
    <row r="48" spans="1:7">
      <c r="A48" s="327" t="s">
        <v>407</v>
      </c>
      <c r="B48" s="348">
        <f>零件!L48</f>
        <v>240631</v>
      </c>
      <c r="C48" s="349">
        <f>VLOOKUP(A47,[21]進出口值表查詢結果!$A$2:$D$21,4,0)</f>
        <v>135347</v>
      </c>
      <c r="D48" s="506">
        <f>(B48-C48)/C48</f>
        <v>0.77788203654310772</v>
      </c>
      <c r="E48" s="348">
        <f>零件!M48</f>
        <v>7942746</v>
      </c>
      <c r="F48" s="349">
        <f>VLOOKUP(A47,[21]進出口值表查詢結果!$A$2:$D$21,3,0)</f>
        <v>2571311</v>
      </c>
      <c r="G48" s="506">
        <f>(E48-F48)/F48</f>
        <v>2.088986902012242</v>
      </c>
    </row>
    <row r="49" spans="1:7">
      <c r="A49" s="330">
        <v>87149990139</v>
      </c>
      <c r="B49" s="353"/>
      <c r="C49" s="356"/>
      <c r="D49" s="357"/>
      <c r="E49" s="358"/>
      <c r="F49" s="359"/>
      <c r="G49" s="358"/>
    </row>
    <row r="50" spans="1:7">
      <c r="A50" s="327" t="s">
        <v>87</v>
      </c>
      <c r="B50" s="348">
        <f>零件!L50</f>
        <v>48563</v>
      </c>
      <c r="C50" s="349">
        <f>VLOOKUP(A49,[21]進出口值表查詢結果!$A$2:$D$21,4,0)</f>
        <v>118260</v>
      </c>
      <c r="D50" s="507">
        <f>(B50-C50)/C50</f>
        <v>-0.58935396583798405</v>
      </c>
      <c r="E50" s="348">
        <f>零件!M50</f>
        <v>682674</v>
      </c>
      <c r="F50" s="349">
        <f>VLOOKUP(A49,[21]進出口值表查詢結果!$A$2:$D$21,3,0)</f>
        <v>976744</v>
      </c>
      <c r="G50" s="507">
        <f>(E50-F50)/F50</f>
        <v>-0.30107172401366172</v>
      </c>
    </row>
    <row r="51" spans="1:7">
      <c r="A51" s="330">
        <v>87149990148</v>
      </c>
      <c r="B51" s="353"/>
      <c r="C51" s="356"/>
      <c r="D51" s="357"/>
      <c r="E51" s="358"/>
      <c r="F51" s="359"/>
      <c r="G51" s="358"/>
    </row>
    <row r="52" spans="1:7">
      <c r="A52" s="332" t="s">
        <v>88</v>
      </c>
      <c r="B52" s="348">
        <f>零件!L52</f>
        <v>84337</v>
      </c>
      <c r="C52" s="349">
        <f>VLOOKUP(A51,[21]進出口值表查詢結果!$A$2:$D$21,4,0)</f>
        <v>213131</v>
      </c>
      <c r="D52" s="506">
        <f>(B52-C52)/C52</f>
        <v>-0.60429501104954231</v>
      </c>
      <c r="E52" s="348">
        <f>零件!M52</f>
        <v>2172664</v>
      </c>
      <c r="F52" s="349">
        <f>VLOOKUP(A51,[21]進出口值表查詢結果!$A$2:$D$21,3,0)</f>
        <v>3744966</v>
      </c>
      <c r="G52" s="506">
        <f>(E52-F52)/F52</f>
        <v>-0.41984413209625937</v>
      </c>
    </row>
    <row r="53" spans="1:7">
      <c r="A53" s="327" t="s">
        <v>89</v>
      </c>
      <c r="B53" s="348"/>
      <c r="C53" s="350"/>
      <c r="D53" s="348"/>
      <c r="E53" s="352"/>
      <c r="F53" s="349"/>
      <c r="G53" s="352"/>
    </row>
    <row r="54" spans="1:7">
      <c r="A54" s="330">
        <v>87149990157</v>
      </c>
      <c r="B54" s="353"/>
      <c r="C54" s="356"/>
      <c r="D54" s="357"/>
      <c r="E54" s="358"/>
      <c r="F54" s="359"/>
      <c r="G54" s="358"/>
    </row>
    <row r="55" spans="1:7">
      <c r="A55" s="327" t="s">
        <v>90</v>
      </c>
      <c r="B55" s="348">
        <f>零件!L55</f>
        <v>176321</v>
      </c>
      <c r="C55" s="349">
        <f>VLOOKUP(A54,[21]進出口值表查詢結果!$A$2:$D$21,4,0)</f>
        <v>366737</v>
      </c>
      <c r="D55" s="507">
        <f>(B55-C55)/C55</f>
        <v>-0.51921676841987585</v>
      </c>
      <c r="E55" s="348">
        <f>零件!M55</f>
        <v>5428109</v>
      </c>
      <c r="F55" s="349">
        <f>VLOOKUP(A54,[21]進出口值表查詢結果!$A$2:$D$21,3,0)</f>
        <v>7351970</v>
      </c>
      <c r="G55" s="507">
        <f>(E55-F55)/F55</f>
        <v>-0.26167965864931442</v>
      </c>
    </row>
    <row r="56" spans="1:7">
      <c r="A56" s="327" t="s">
        <v>91</v>
      </c>
      <c r="B56" s="348"/>
      <c r="C56" s="350"/>
      <c r="D56" s="348"/>
      <c r="E56" s="352"/>
      <c r="F56" s="349"/>
      <c r="G56" s="352"/>
    </row>
    <row r="57" spans="1:7">
      <c r="A57" s="330">
        <v>87149990166</v>
      </c>
      <c r="B57" s="353"/>
      <c r="C57" s="356"/>
      <c r="D57" s="357"/>
      <c r="E57" s="358"/>
      <c r="F57" s="359"/>
      <c r="G57" s="358"/>
    </row>
    <row r="58" spans="1:7">
      <c r="A58" s="327" t="s">
        <v>88</v>
      </c>
      <c r="B58" s="348">
        <f>零件!L58</f>
        <v>205175</v>
      </c>
      <c r="C58" s="349">
        <f>VLOOKUP(A57,[21]進出口值表查詢結果!$A$2:$D$21,4,0)</f>
        <v>363752</v>
      </c>
      <c r="D58" s="506">
        <f>(B58-C58)/C58</f>
        <v>-0.43594811849831755</v>
      </c>
      <c r="E58" s="348">
        <f>零件!M58</f>
        <v>9756294</v>
      </c>
      <c r="F58" s="349">
        <f>VLOOKUP(A57,[21]進出口值表查詢結果!$A$2:$D$21,3,0)</f>
        <v>13017864</v>
      </c>
      <c r="G58" s="506">
        <f>(E58-F58)/F58</f>
        <v>-0.25054571164670331</v>
      </c>
    </row>
    <row r="59" spans="1:7">
      <c r="A59" s="330">
        <v>40115000008</v>
      </c>
      <c r="B59" s="357"/>
      <c r="C59" s="357"/>
      <c r="D59" s="360"/>
      <c r="E59" s="358"/>
      <c r="F59" s="358"/>
      <c r="G59" s="358"/>
    </row>
    <row r="60" spans="1:7">
      <c r="A60" s="327" t="s">
        <v>92</v>
      </c>
      <c r="B60" s="348">
        <f>零件!L60</f>
        <v>1021514</v>
      </c>
      <c r="C60" s="349">
        <v>1603905</v>
      </c>
      <c r="D60" s="506">
        <f>(B60-C60)/C60</f>
        <v>-0.36310816413690339</v>
      </c>
      <c r="E60" s="348">
        <f>零件!M60</f>
        <v>10429363</v>
      </c>
      <c r="F60" s="349">
        <v>16094048</v>
      </c>
      <c r="G60" s="506">
        <f>(E60-F60)/F60</f>
        <v>-0.35197390985785554</v>
      </c>
    </row>
    <row r="61" spans="1:7">
      <c r="A61" s="327" t="s">
        <v>93</v>
      </c>
      <c r="B61" s="348"/>
      <c r="C61" s="349"/>
      <c r="D61" s="351"/>
      <c r="E61" s="352"/>
      <c r="F61" s="349"/>
      <c r="G61" s="509"/>
    </row>
    <row r="62" spans="1:7">
      <c r="A62" s="330">
        <v>40132000003</v>
      </c>
      <c r="B62" s="357"/>
      <c r="C62" s="357"/>
      <c r="D62" s="357"/>
      <c r="E62" s="358"/>
      <c r="F62" s="358"/>
      <c r="G62" s="358"/>
    </row>
    <row r="63" spans="1:7">
      <c r="A63" s="327" t="s">
        <v>94</v>
      </c>
      <c r="B63" s="348">
        <f>零件!L63</f>
        <v>181211</v>
      </c>
      <c r="C63" s="349">
        <v>314137</v>
      </c>
      <c r="D63" s="507">
        <f>(B63-C63)/C63</f>
        <v>-0.42314658890866086</v>
      </c>
      <c r="E63" s="348">
        <f>零件!M63</f>
        <v>1177017</v>
      </c>
      <c r="F63" s="349">
        <v>1902117</v>
      </c>
      <c r="G63" s="506">
        <f>(E63-F63)/F63</f>
        <v>-0.3812068342799102</v>
      </c>
    </row>
    <row r="64" spans="1:7">
      <c r="A64" s="327" t="s">
        <v>95</v>
      </c>
      <c r="B64" s="348"/>
      <c r="C64" s="350"/>
      <c r="D64" s="351"/>
      <c r="E64" s="352"/>
      <c r="F64" s="349"/>
      <c r="G64" s="352"/>
    </row>
    <row r="65" spans="1:7">
      <c r="A65" s="361" t="s">
        <v>96</v>
      </c>
      <c r="B65" s="362">
        <f>SUM(B6:B64)-B64-B61-B20-B17-B11-B8</f>
        <v>8876450</v>
      </c>
      <c r="C65" s="448">
        <f>SUM(C6:C64)</f>
        <v>16472918</v>
      </c>
      <c r="D65" s="505">
        <f>(B65-C65)/C65</f>
        <v>-0.46114889905965656</v>
      </c>
      <c r="E65" s="563">
        <f>SUM(E7:E64)</f>
        <v>395981210</v>
      </c>
      <c r="F65" s="212">
        <f>SUM(F6:F64)</f>
        <v>483591606</v>
      </c>
      <c r="G65" s="505">
        <f>(E65-F65)/F65</f>
        <v>-0.1811660808686576</v>
      </c>
    </row>
    <row r="66" spans="1:7" ht="6" customHeight="1">
      <c r="E66" s="5"/>
      <c r="G66" s="320"/>
    </row>
    <row r="67" spans="1:7">
      <c r="A67" s="55" t="s">
        <v>32</v>
      </c>
    </row>
  </sheetData>
  <phoneticPr fontId="3" type="noConversion"/>
  <conditionalFormatting sqref="C9">
    <cfRule type="cellIs" dxfId="13" priority="9" operator="greaterThanOrEqual">
      <formula>0</formula>
    </cfRule>
    <cfRule type="cellIs" dxfId="12" priority="10" operator="lessThan">
      <formula>0</formula>
    </cfRule>
  </conditionalFormatting>
  <conditionalFormatting sqref="C12">
    <cfRule type="cellIs" dxfId="11" priority="7" operator="greaterThanOrEqual">
      <formula>0</formula>
    </cfRule>
    <cfRule type="cellIs" dxfId="10" priority="8" operator="lessThan">
      <formula>0</formula>
    </cfRule>
  </conditionalFormatting>
  <conditionalFormatting sqref="D1:D3 D6:D1048576">
    <cfRule type="cellIs" dxfId="9" priority="13" operator="greaterThanOrEqual">
      <formula>0</formula>
    </cfRule>
    <cfRule type="cellIs" dxfId="8" priority="14" operator="lessThan">
      <formula>0</formula>
    </cfRule>
  </conditionalFormatting>
  <conditionalFormatting sqref="F41">
    <cfRule type="cellIs" dxfId="7" priority="5" operator="greaterThanOrEqual">
      <formula>0</formula>
    </cfRule>
    <cfRule type="cellIs" dxfId="6" priority="6" operator="lessThan">
      <formula>0</formula>
    </cfRule>
  </conditionalFormatting>
  <conditionalFormatting sqref="F59">
    <cfRule type="cellIs" dxfId="5" priority="3" operator="greaterThanOrEqual">
      <formula>0</formula>
    </cfRule>
    <cfRule type="cellIs" dxfId="4" priority="4" operator="lessThan">
      <formula>0</formula>
    </cfRule>
  </conditionalFormatting>
  <conditionalFormatting sqref="F62">
    <cfRule type="cellIs" dxfId="3" priority="1" operator="greaterThanOrEqual">
      <formula>0</formula>
    </cfRule>
    <cfRule type="cellIs" dxfId="2" priority="2" operator="lessThan">
      <formula>0</formula>
    </cfRule>
  </conditionalFormatting>
  <conditionalFormatting sqref="G1:G3 G6:G1048576">
    <cfRule type="cellIs" dxfId="1" priority="11" operator="greaterThanOrEqual">
      <formula>0</formula>
    </cfRule>
    <cfRule type="cellIs" dxfId="0" priority="12" operator="lessThan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scale="7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79"/>
  <sheetViews>
    <sheetView zoomScale="73" zoomScaleNormal="73" workbookViewId="0">
      <selection activeCell="C84" sqref="C84"/>
    </sheetView>
  </sheetViews>
  <sheetFormatPr defaultColWidth="10" defaultRowHeight="16.5"/>
  <cols>
    <col min="1" max="1" width="3.75" style="13" customWidth="1"/>
    <col min="2" max="2" width="17.5" style="13" customWidth="1"/>
    <col min="3" max="3" width="17.75" style="320" customWidth="1"/>
    <col min="4" max="4" width="12.875" style="13" bestFit="1" customWidth="1"/>
    <col min="5" max="5" width="17.875" style="320" customWidth="1"/>
    <col min="6" max="6" width="2.125" style="13" customWidth="1"/>
    <col min="7" max="7" width="14.125" style="13" customWidth="1"/>
    <col min="8" max="8" width="15.75" style="320" customWidth="1"/>
    <col min="9" max="9" width="12.875" style="13" bestFit="1" customWidth="1"/>
    <col min="10" max="10" width="17.875" style="320" customWidth="1"/>
    <col min="11" max="258" width="10" style="13"/>
    <col min="259" max="259" width="23.25" style="13" customWidth="1"/>
    <col min="260" max="260" width="10" style="13"/>
    <col min="261" max="261" width="17.875" style="13" customWidth="1"/>
    <col min="262" max="262" width="2.125" style="13" customWidth="1"/>
    <col min="263" max="263" width="10" style="13"/>
    <col min="264" max="264" width="15.75" style="13" customWidth="1"/>
    <col min="265" max="265" width="10" style="13"/>
    <col min="266" max="266" width="17.875" style="13" customWidth="1"/>
    <col min="267" max="514" width="10" style="13"/>
    <col min="515" max="515" width="23.25" style="13" customWidth="1"/>
    <col min="516" max="516" width="10" style="13"/>
    <col min="517" max="517" width="17.875" style="13" customWidth="1"/>
    <col min="518" max="518" width="2.125" style="13" customWidth="1"/>
    <col min="519" max="519" width="10" style="13"/>
    <col min="520" max="520" width="15.75" style="13" customWidth="1"/>
    <col min="521" max="521" width="10" style="13"/>
    <col min="522" max="522" width="17.875" style="13" customWidth="1"/>
    <col min="523" max="770" width="10" style="13"/>
    <col min="771" max="771" width="23.25" style="13" customWidth="1"/>
    <col min="772" max="772" width="10" style="13"/>
    <col min="773" max="773" width="17.875" style="13" customWidth="1"/>
    <col min="774" max="774" width="2.125" style="13" customWidth="1"/>
    <col min="775" max="775" width="10" style="13"/>
    <col min="776" max="776" width="15.75" style="13" customWidth="1"/>
    <col min="777" max="777" width="10" style="13"/>
    <col min="778" max="778" width="17.875" style="13" customWidth="1"/>
    <col min="779" max="1026" width="10" style="13"/>
    <col min="1027" max="1027" width="23.25" style="13" customWidth="1"/>
    <col min="1028" max="1028" width="10" style="13"/>
    <col min="1029" max="1029" width="17.875" style="13" customWidth="1"/>
    <col min="1030" max="1030" width="2.125" style="13" customWidth="1"/>
    <col min="1031" max="1031" width="10" style="13"/>
    <col min="1032" max="1032" width="15.75" style="13" customWidth="1"/>
    <col min="1033" max="1033" width="10" style="13"/>
    <col min="1034" max="1034" width="17.875" style="13" customWidth="1"/>
    <col min="1035" max="1282" width="10" style="13"/>
    <col min="1283" max="1283" width="23.25" style="13" customWidth="1"/>
    <col min="1284" max="1284" width="10" style="13"/>
    <col min="1285" max="1285" width="17.875" style="13" customWidth="1"/>
    <col min="1286" max="1286" width="2.125" style="13" customWidth="1"/>
    <col min="1287" max="1287" width="10" style="13"/>
    <col min="1288" max="1288" width="15.75" style="13" customWidth="1"/>
    <col min="1289" max="1289" width="10" style="13"/>
    <col min="1290" max="1290" width="17.875" style="13" customWidth="1"/>
    <col min="1291" max="1538" width="10" style="13"/>
    <col min="1539" max="1539" width="23.25" style="13" customWidth="1"/>
    <col min="1540" max="1540" width="10" style="13"/>
    <col min="1541" max="1541" width="17.875" style="13" customWidth="1"/>
    <col min="1542" max="1542" width="2.125" style="13" customWidth="1"/>
    <col min="1543" max="1543" width="10" style="13"/>
    <col min="1544" max="1544" width="15.75" style="13" customWidth="1"/>
    <col min="1545" max="1545" width="10" style="13"/>
    <col min="1546" max="1546" width="17.875" style="13" customWidth="1"/>
    <col min="1547" max="1794" width="10" style="13"/>
    <col min="1795" max="1795" width="23.25" style="13" customWidth="1"/>
    <col min="1796" max="1796" width="10" style="13"/>
    <col min="1797" max="1797" width="17.875" style="13" customWidth="1"/>
    <col min="1798" max="1798" width="2.125" style="13" customWidth="1"/>
    <col min="1799" max="1799" width="10" style="13"/>
    <col min="1800" max="1800" width="15.75" style="13" customWidth="1"/>
    <col min="1801" max="1801" width="10" style="13"/>
    <col min="1802" max="1802" width="17.875" style="13" customWidth="1"/>
    <col min="1803" max="2050" width="10" style="13"/>
    <col min="2051" max="2051" width="23.25" style="13" customWidth="1"/>
    <col min="2052" max="2052" width="10" style="13"/>
    <col min="2053" max="2053" width="17.875" style="13" customWidth="1"/>
    <col min="2054" max="2054" width="2.125" style="13" customWidth="1"/>
    <col min="2055" max="2055" width="10" style="13"/>
    <col min="2056" max="2056" width="15.75" style="13" customWidth="1"/>
    <col min="2057" max="2057" width="10" style="13"/>
    <col min="2058" max="2058" width="17.875" style="13" customWidth="1"/>
    <col min="2059" max="2306" width="10" style="13"/>
    <col min="2307" max="2307" width="23.25" style="13" customWidth="1"/>
    <col min="2308" max="2308" width="10" style="13"/>
    <col min="2309" max="2309" width="17.875" style="13" customWidth="1"/>
    <col min="2310" max="2310" width="2.125" style="13" customWidth="1"/>
    <col min="2311" max="2311" width="10" style="13"/>
    <col min="2312" max="2312" width="15.75" style="13" customWidth="1"/>
    <col min="2313" max="2313" width="10" style="13"/>
    <col min="2314" max="2314" width="17.875" style="13" customWidth="1"/>
    <col min="2315" max="2562" width="10" style="13"/>
    <col min="2563" max="2563" width="23.25" style="13" customWidth="1"/>
    <col min="2564" max="2564" width="10" style="13"/>
    <col min="2565" max="2565" width="17.875" style="13" customWidth="1"/>
    <col min="2566" max="2566" width="2.125" style="13" customWidth="1"/>
    <col min="2567" max="2567" width="10" style="13"/>
    <col min="2568" max="2568" width="15.75" style="13" customWidth="1"/>
    <col min="2569" max="2569" width="10" style="13"/>
    <col min="2570" max="2570" width="17.875" style="13" customWidth="1"/>
    <col min="2571" max="2818" width="10" style="13"/>
    <col min="2819" max="2819" width="23.25" style="13" customWidth="1"/>
    <col min="2820" max="2820" width="10" style="13"/>
    <col min="2821" max="2821" width="17.875" style="13" customWidth="1"/>
    <col min="2822" max="2822" width="2.125" style="13" customWidth="1"/>
    <col min="2823" max="2823" width="10" style="13"/>
    <col min="2824" max="2824" width="15.75" style="13" customWidth="1"/>
    <col min="2825" max="2825" width="10" style="13"/>
    <col min="2826" max="2826" width="17.875" style="13" customWidth="1"/>
    <col min="2827" max="3074" width="10" style="13"/>
    <col min="3075" max="3075" width="23.25" style="13" customWidth="1"/>
    <col min="3076" max="3076" width="10" style="13"/>
    <col min="3077" max="3077" width="17.875" style="13" customWidth="1"/>
    <col min="3078" max="3078" width="2.125" style="13" customWidth="1"/>
    <col min="3079" max="3079" width="10" style="13"/>
    <col min="3080" max="3080" width="15.75" style="13" customWidth="1"/>
    <col min="3081" max="3081" width="10" style="13"/>
    <col min="3082" max="3082" width="17.875" style="13" customWidth="1"/>
    <col min="3083" max="3330" width="10" style="13"/>
    <col min="3331" max="3331" width="23.25" style="13" customWidth="1"/>
    <col min="3332" max="3332" width="10" style="13"/>
    <col min="3333" max="3333" width="17.875" style="13" customWidth="1"/>
    <col min="3334" max="3334" width="2.125" style="13" customWidth="1"/>
    <col min="3335" max="3335" width="10" style="13"/>
    <col min="3336" max="3336" width="15.75" style="13" customWidth="1"/>
    <col min="3337" max="3337" width="10" style="13"/>
    <col min="3338" max="3338" width="17.875" style="13" customWidth="1"/>
    <col min="3339" max="3586" width="10" style="13"/>
    <col min="3587" max="3587" width="23.25" style="13" customWidth="1"/>
    <col min="3588" max="3588" width="10" style="13"/>
    <col min="3589" max="3589" width="17.875" style="13" customWidth="1"/>
    <col min="3590" max="3590" width="2.125" style="13" customWidth="1"/>
    <col min="3591" max="3591" width="10" style="13"/>
    <col min="3592" max="3592" width="15.75" style="13" customWidth="1"/>
    <col min="3593" max="3593" width="10" style="13"/>
    <col min="3594" max="3594" width="17.875" style="13" customWidth="1"/>
    <col min="3595" max="3842" width="10" style="13"/>
    <col min="3843" max="3843" width="23.25" style="13" customWidth="1"/>
    <col min="3844" max="3844" width="10" style="13"/>
    <col min="3845" max="3845" width="17.875" style="13" customWidth="1"/>
    <col min="3846" max="3846" width="2.125" style="13" customWidth="1"/>
    <col min="3847" max="3847" width="10" style="13"/>
    <col min="3848" max="3848" width="15.75" style="13" customWidth="1"/>
    <col min="3849" max="3849" width="10" style="13"/>
    <col min="3850" max="3850" width="17.875" style="13" customWidth="1"/>
    <col min="3851" max="4098" width="10" style="13"/>
    <col min="4099" max="4099" width="23.25" style="13" customWidth="1"/>
    <col min="4100" max="4100" width="10" style="13"/>
    <col min="4101" max="4101" width="17.875" style="13" customWidth="1"/>
    <col min="4102" max="4102" width="2.125" style="13" customWidth="1"/>
    <col min="4103" max="4103" width="10" style="13"/>
    <col min="4104" max="4104" width="15.75" style="13" customWidth="1"/>
    <col min="4105" max="4105" width="10" style="13"/>
    <col min="4106" max="4106" width="17.875" style="13" customWidth="1"/>
    <col min="4107" max="4354" width="10" style="13"/>
    <col min="4355" max="4355" width="23.25" style="13" customWidth="1"/>
    <col min="4356" max="4356" width="10" style="13"/>
    <col min="4357" max="4357" width="17.875" style="13" customWidth="1"/>
    <col min="4358" max="4358" width="2.125" style="13" customWidth="1"/>
    <col min="4359" max="4359" width="10" style="13"/>
    <col min="4360" max="4360" width="15.75" style="13" customWidth="1"/>
    <col min="4361" max="4361" width="10" style="13"/>
    <col min="4362" max="4362" width="17.875" style="13" customWidth="1"/>
    <col min="4363" max="4610" width="10" style="13"/>
    <col min="4611" max="4611" width="23.25" style="13" customWidth="1"/>
    <col min="4612" max="4612" width="10" style="13"/>
    <col min="4613" max="4613" width="17.875" style="13" customWidth="1"/>
    <col min="4614" max="4614" width="2.125" style="13" customWidth="1"/>
    <col min="4615" max="4615" width="10" style="13"/>
    <col min="4616" max="4616" width="15.75" style="13" customWidth="1"/>
    <col min="4617" max="4617" width="10" style="13"/>
    <col min="4618" max="4618" width="17.875" style="13" customWidth="1"/>
    <col min="4619" max="4866" width="10" style="13"/>
    <col min="4867" max="4867" width="23.25" style="13" customWidth="1"/>
    <col min="4868" max="4868" width="10" style="13"/>
    <col min="4869" max="4869" width="17.875" style="13" customWidth="1"/>
    <col min="4870" max="4870" width="2.125" style="13" customWidth="1"/>
    <col min="4871" max="4871" width="10" style="13"/>
    <col min="4872" max="4872" width="15.75" style="13" customWidth="1"/>
    <col min="4873" max="4873" width="10" style="13"/>
    <col min="4874" max="4874" width="17.875" style="13" customWidth="1"/>
    <col min="4875" max="5122" width="10" style="13"/>
    <col min="5123" max="5123" width="23.25" style="13" customWidth="1"/>
    <col min="5124" max="5124" width="10" style="13"/>
    <col min="5125" max="5125" width="17.875" style="13" customWidth="1"/>
    <col min="5126" max="5126" width="2.125" style="13" customWidth="1"/>
    <col min="5127" max="5127" width="10" style="13"/>
    <col min="5128" max="5128" width="15.75" style="13" customWidth="1"/>
    <col min="5129" max="5129" width="10" style="13"/>
    <col min="5130" max="5130" width="17.875" style="13" customWidth="1"/>
    <col min="5131" max="5378" width="10" style="13"/>
    <col min="5379" max="5379" width="23.25" style="13" customWidth="1"/>
    <col min="5380" max="5380" width="10" style="13"/>
    <col min="5381" max="5381" width="17.875" style="13" customWidth="1"/>
    <col min="5382" max="5382" width="2.125" style="13" customWidth="1"/>
    <col min="5383" max="5383" width="10" style="13"/>
    <col min="5384" max="5384" width="15.75" style="13" customWidth="1"/>
    <col min="5385" max="5385" width="10" style="13"/>
    <col min="5386" max="5386" width="17.875" style="13" customWidth="1"/>
    <col min="5387" max="5634" width="10" style="13"/>
    <col min="5635" max="5635" width="23.25" style="13" customWidth="1"/>
    <col min="5636" max="5636" width="10" style="13"/>
    <col min="5637" max="5637" width="17.875" style="13" customWidth="1"/>
    <col min="5638" max="5638" width="2.125" style="13" customWidth="1"/>
    <col min="5639" max="5639" width="10" style="13"/>
    <col min="5640" max="5640" width="15.75" style="13" customWidth="1"/>
    <col min="5641" max="5641" width="10" style="13"/>
    <col min="5642" max="5642" width="17.875" style="13" customWidth="1"/>
    <col min="5643" max="5890" width="10" style="13"/>
    <col min="5891" max="5891" width="23.25" style="13" customWidth="1"/>
    <col min="5892" max="5892" width="10" style="13"/>
    <col min="5893" max="5893" width="17.875" style="13" customWidth="1"/>
    <col min="5894" max="5894" width="2.125" style="13" customWidth="1"/>
    <col min="5895" max="5895" width="10" style="13"/>
    <col min="5896" max="5896" width="15.75" style="13" customWidth="1"/>
    <col min="5897" max="5897" width="10" style="13"/>
    <col min="5898" max="5898" width="17.875" style="13" customWidth="1"/>
    <col min="5899" max="6146" width="10" style="13"/>
    <col min="6147" max="6147" width="23.25" style="13" customWidth="1"/>
    <col min="6148" max="6148" width="10" style="13"/>
    <col min="6149" max="6149" width="17.875" style="13" customWidth="1"/>
    <col min="6150" max="6150" width="2.125" style="13" customWidth="1"/>
    <col min="6151" max="6151" width="10" style="13"/>
    <col min="6152" max="6152" width="15.75" style="13" customWidth="1"/>
    <col min="6153" max="6153" width="10" style="13"/>
    <col min="6154" max="6154" width="17.875" style="13" customWidth="1"/>
    <col min="6155" max="6402" width="10" style="13"/>
    <col min="6403" max="6403" width="23.25" style="13" customWidth="1"/>
    <col min="6404" max="6404" width="10" style="13"/>
    <col min="6405" max="6405" width="17.875" style="13" customWidth="1"/>
    <col min="6406" max="6406" width="2.125" style="13" customWidth="1"/>
    <col min="6407" max="6407" width="10" style="13"/>
    <col min="6408" max="6408" width="15.75" style="13" customWidth="1"/>
    <col min="6409" max="6409" width="10" style="13"/>
    <col min="6410" max="6410" width="17.875" style="13" customWidth="1"/>
    <col min="6411" max="6658" width="10" style="13"/>
    <col min="6659" max="6659" width="23.25" style="13" customWidth="1"/>
    <col min="6660" max="6660" width="10" style="13"/>
    <col min="6661" max="6661" width="17.875" style="13" customWidth="1"/>
    <col min="6662" max="6662" width="2.125" style="13" customWidth="1"/>
    <col min="6663" max="6663" width="10" style="13"/>
    <col min="6664" max="6664" width="15.75" style="13" customWidth="1"/>
    <col min="6665" max="6665" width="10" style="13"/>
    <col min="6666" max="6666" width="17.875" style="13" customWidth="1"/>
    <col min="6667" max="6914" width="10" style="13"/>
    <col min="6915" max="6915" width="23.25" style="13" customWidth="1"/>
    <col min="6916" max="6916" width="10" style="13"/>
    <col min="6917" max="6917" width="17.875" style="13" customWidth="1"/>
    <col min="6918" max="6918" width="2.125" style="13" customWidth="1"/>
    <col min="6919" max="6919" width="10" style="13"/>
    <col min="6920" max="6920" width="15.75" style="13" customWidth="1"/>
    <col min="6921" max="6921" width="10" style="13"/>
    <col min="6922" max="6922" width="17.875" style="13" customWidth="1"/>
    <col min="6923" max="7170" width="10" style="13"/>
    <col min="7171" max="7171" width="23.25" style="13" customWidth="1"/>
    <col min="7172" max="7172" width="10" style="13"/>
    <col min="7173" max="7173" width="17.875" style="13" customWidth="1"/>
    <col min="7174" max="7174" width="2.125" style="13" customWidth="1"/>
    <col min="7175" max="7175" width="10" style="13"/>
    <col min="7176" max="7176" width="15.75" style="13" customWidth="1"/>
    <col min="7177" max="7177" width="10" style="13"/>
    <col min="7178" max="7178" width="17.875" style="13" customWidth="1"/>
    <col min="7179" max="7426" width="10" style="13"/>
    <col min="7427" max="7427" width="23.25" style="13" customWidth="1"/>
    <col min="7428" max="7428" width="10" style="13"/>
    <col min="7429" max="7429" width="17.875" style="13" customWidth="1"/>
    <col min="7430" max="7430" width="2.125" style="13" customWidth="1"/>
    <col min="7431" max="7431" width="10" style="13"/>
    <col min="7432" max="7432" width="15.75" style="13" customWidth="1"/>
    <col min="7433" max="7433" width="10" style="13"/>
    <col min="7434" max="7434" width="17.875" style="13" customWidth="1"/>
    <col min="7435" max="7682" width="10" style="13"/>
    <col min="7683" max="7683" width="23.25" style="13" customWidth="1"/>
    <col min="7684" max="7684" width="10" style="13"/>
    <col min="7685" max="7685" width="17.875" style="13" customWidth="1"/>
    <col min="7686" max="7686" width="2.125" style="13" customWidth="1"/>
    <col min="7687" max="7687" width="10" style="13"/>
    <col min="7688" max="7688" width="15.75" style="13" customWidth="1"/>
    <col min="7689" max="7689" width="10" style="13"/>
    <col min="7690" max="7690" width="17.875" style="13" customWidth="1"/>
    <col min="7691" max="7938" width="10" style="13"/>
    <col min="7939" max="7939" width="23.25" style="13" customWidth="1"/>
    <col min="7940" max="7940" width="10" style="13"/>
    <col min="7941" max="7941" width="17.875" style="13" customWidth="1"/>
    <col min="7942" max="7942" width="2.125" style="13" customWidth="1"/>
    <col min="7943" max="7943" width="10" style="13"/>
    <col min="7944" max="7944" width="15.75" style="13" customWidth="1"/>
    <col min="7945" max="7945" width="10" style="13"/>
    <col min="7946" max="7946" width="17.875" style="13" customWidth="1"/>
    <col min="7947" max="8194" width="10" style="13"/>
    <col min="8195" max="8195" width="23.25" style="13" customWidth="1"/>
    <col min="8196" max="8196" width="10" style="13"/>
    <col min="8197" max="8197" width="17.875" style="13" customWidth="1"/>
    <col min="8198" max="8198" width="2.125" style="13" customWidth="1"/>
    <col min="8199" max="8199" width="10" style="13"/>
    <col min="8200" max="8200" width="15.75" style="13" customWidth="1"/>
    <col min="8201" max="8201" width="10" style="13"/>
    <col min="8202" max="8202" width="17.875" style="13" customWidth="1"/>
    <col min="8203" max="8450" width="10" style="13"/>
    <col min="8451" max="8451" width="23.25" style="13" customWidth="1"/>
    <col min="8452" max="8452" width="10" style="13"/>
    <col min="8453" max="8453" width="17.875" style="13" customWidth="1"/>
    <col min="8454" max="8454" width="2.125" style="13" customWidth="1"/>
    <col min="8455" max="8455" width="10" style="13"/>
    <col min="8456" max="8456" width="15.75" style="13" customWidth="1"/>
    <col min="8457" max="8457" width="10" style="13"/>
    <col min="8458" max="8458" width="17.875" style="13" customWidth="1"/>
    <col min="8459" max="8706" width="10" style="13"/>
    <col min="8707" max="8707" width="23.25" style="13" customWidth="1"/>
    <col min="8708" max="8708" width="10" style="13"/>
    <col min="8709" max="8709" width="17.875" style="13" customWidth="1"/>
    <col min="8710" max="8710" width="2.125" style="13" customWidth="1"/>
    <col min="8711" max="8711" width="10" style="13"/>
    <col min="8712" max="8712" width="15.75" style="13" customWidth="1"/>
    <col min="8713" max="8713" width="10" style="13"/>
    <col min="8714" max="8714" width="17.875" style="13" customWidth="1"/>
    <col min="8715" max="8962" width="10" style="13"/>
    <col min="8963" max="8963" width="23.25" style="13" customWidth="1"/>
    <col min="8964" max="8964" width="10" style="13"/>
    <col min="8965" max="8965" width="17.875" style="13" customWidth="1"/>
    <col min="8966" max="8966" width="2.125" style="13" customWidth="1"/>
    <col min="8967" max="8967" width="10" style="13"/>
    <col min="8968" max="8968" width="15.75" style="13" customWidth="1"/>
    <col min="8969" max="8969" width="10" style="13"/>
    <col min="8970" max="8970" width="17.875" style="13" customWidth="1"/>
    <col min="8971" max="9218" width="10" style="13"/>
    <col min="9219" max="9219" width="23.25" style="13" customWidth="1"/>
    <col min="9220" max="9220" width="10" style="13"/>
    <col min="9221" max="9221" width="17.875" style="13" customWidth="1"/>
    <col min="9222" max="9222" width="2.125" style="13" customWidth="1"/>
    <col min="9223" max="9223" width="10" style="13"/>
    <col min="9224" max="9224" width="15.75" style="13" customWidth="1"/>
    <col min="9225" max="9225" width="10" style="13"/>
    <col min="9226" max="9226" width="17.875" style="13" customWidth="1"/>
    <col min="9227" max="9474" width="10" style="13"/>
    <col min="9475" max="9475" width="23.25" style="13" customWidth="1"/>
    <col min="9476" max="9476" width="10" style="13"/>
    <col min="9477" max="9477" width="17.875" style="13" customWidth="1"/>
    <col min="9478" max="9478" width="2.125" style="13" customWidth="1"/>
    <col min="9479" max="9479" width="10" style="13"/>
    <col min="9480" max="9480" width="15.75" style="13" customWidth="1"/>
    <col min="9481" max="9481" width="10" style="13"/>
    <col min="9482" max="9482" width="17.875" style="13" customWidth="1"/>
    <col min="9483" max="9730" width="10" style="13"/>
    <col min="9731" max="9731" width="23.25" style="13" customWidth="1"/>
    <col min="9732" max="9732" width="10" style="13"/>
    <col min="9733" max="9733" width="17.875" style="13" customWidth="1"/>
    <col min="9734" max="9734" width="2.125" style="13" customWidth="1"/>
    <col min="9735" max="9735" width="10" style="13"/>
    <col min="9736" max="9736" width="15.75" style="13" customWidth="1"/>
    <col min="9737" max="9737" width="10" style="13"/>
    <col min="9738" max="9738" width="17.875" style="13" customWidth="1"/>
    <col min="9739" max="9986" width="10" style="13"/>
    <col min="9987" max="9987" width="23.25" style="13" customWidth="1"/>
    <col min="9988" max="9988" width="10" style="13"/>
    <col min="9989" max="9989" width="17.875" style="13" customWidth="1"/>
    <col min="9990" max="9990" width="2.125" style="13" customWidth="1"/>
    <col min="9991" max="9991" width="10" style="13"/>
    <col min="9992" max="9992" width="15.75" style="13" customWidth="1"/>
    <col min="9993" max="9993" width="10" style="13"/>
    <col min="9994" max="9994" width="17.875" style="13" customWidth="1"/>
    <col min="9995" max="10242" width="10" style="13"/>
    <col min="10243" max="10243" width="23.25" style="13" customWidth="1"/>
    <col min="10244" max="10244" width="10" style="13"/>
    <col min="10245" max="10245" width="17.875" style="13" customWidth="1"/>
    <col min="10246" max="10246" width="2.125" style="13" customWidth="1"/>
    <col min="10247" max="10247" width="10" style="13"/>
    <col min="10248" max="10248" width="15.75" style="13" customWidth="1"/>
    <col min="10249" max="10249" width="10" style="13"/>
    <col min="10250" max="10250" width="17.875" style="13" customWidth="1"/>
    <col min="10251" max="10498" width="10" style="13"/>
    <col min="10499" max="10499" width="23.25" style="13" customWidth="1"/>
    <col min="10500" max="10500" width="10" style="13"/>
    <col min="10501" max="10501" width="17.875" style="13" customWidth="1"/>
    <col min="10502" max="10502" width="2.125" style="13" customWidth="1"/>
    <col min="10503" max="10503" width="10" style="13"/>
    <col min="10504" max="10504" width="15.75" style="13" customWidth="1"/>
    <col min="10505" max="10505" width="10" style="13"/>
    <col min="10506" max="10506" width="17.875" style="13" customWidth="1"/>
    <col min="10507" max="10754" width="10" style="13"/>
    <col min="10755" max="10755" width="23.25" style="13" customWidth="1"/>
    <col min="10756" max="10756" width="10" style="13"/>
    <col min="10757" max="10757" width="17.875" style="13" customWidth="1"/>
    <col min="10758" max="10758" width="2.125" style="13" customWidth="1"/>
    <col min="10759" max="10759" width="10" style="13"/>
    <col min="10760" max="10760" width="15.75" style="13" customWidth="1"/>
    <col min="10761" max="10761" width="10" style="13"/>
    <col min="10762" max="10762" width="17.875" style="13" customWidth="1"/>
    <col min="10763" max="11010" width="10" style="13"/>
    <col min="11011" max="11011" width="23.25" style="13" customWidth="1"/>
    <col min="11012" max="11012" width="10" style="13"/>
    <col min="11013" max="11013" width="17.875" style="13" customWidth="1"/>
    <col min="11014" max="11014" width="2.125" style="13" customWidth="1"/>
    <col min="11015" max="11015" width="10" style="13"/>
    <col min="11016" max="11016" width="15.75" style="13" customWidth="1"/>
    <col min="11017" max="11017" width="10" style="13"/>
    <col min="11018" max="11018" width="17.875" style="13" customWidth="1"/>
    <col min="11019" max="11266" width="10" style="13"/>
    <col min="11267" max="11267" width="23.25" style="13" customWidth="1"/>
    <col min="11268" max="11268" width="10" style="13"/>
    <col min="11269" max="11269" width="17.875" style="13" customWidth="1"/>
    <col min="11270" max="11270" width="2.125" style="13" customWidth="1"/>
    <col min="11271" max="11271" width="10" style="13"/>
    <col min="11272" max="11272" width="15.75" style="13" customWidth="1"/>
    <col min="11273" max="11273" width="10" style="13"/>
    <col min="11274" max="11274" width="17.875" style="13" customWidth="1"/>
    <col min="11275" max="11522" width="10" style="13"/>
    <col min="11523" max="11523" width="23.25" style="13" customWidth="1"/>
    <col min="11524" max="11524" width="10" style="13"/>
    <col min="11525" max="11525" width="17.875" style="13" customWidth="1"/>
    <col min="11526" max="11526" width="2.125" style="13" customWidth="1"/>
    <col min="11527" max="11527" width="10" style="13"/>
    <col min="11528" max="11528" width="15.75" style="13" customWidth="1"/>
    <col min="11529" max="11529" width="10" style="13"/>
    <col min="11530" max="11530" width="17.875" style="13" customWidth="1"/>
    <col min="11531" max="11778" width="10" style="13"/>
    <col min="11779" max="11779" width="23.25" style="13" customWidth="1"/>
    <col min="11780" max="11780" width="10" style="13"/>
    <col min="11781" max="11781" width="17.875" style="13" customWidth="1"/>
    <col min="11782" max="11782" width="2.125" style="13" customWidth="1"/>
    <col min="11783" max="11783" width="10" style="13"/>
    <col min="11784" max="11784" width="15.75" style="13" customWidth="1"/>
    <col min="11785" max="11785" width="10" style="13"/>
    <col min="11786" max="11786" width="17.875" style="13" customWidth="1"/>
    <col min="11787" max="12034" width="10" style="13"/>
    <col min="12035" max="12035" width="23.25" style="13" customWidth="1"/>
    <col min="12036" max="12036" width="10" style="13"/>
    <col min="12037" max="12037" width="17.875" style="13" customWidth="1"/>
    <col min="12038" max="12038" width="2.125" style="13" customWidth="1"/>
    <col min="12039" max="12039" width="10" style="13"/>
    <col min="12040" max="12040" width="15.75" style="13" customWidth="1"/>
    <col min="12041" max="12041" width="10" style="13"/>
    <col min="12042" max="12042" width="17.875" style="13" customWidth="1"/>
    <col min="12043" max="12290" width="10" style="13"/>
    <col min="12291" max="12291" width="23.25" style="13" customWidth="1"/>
    <col min="12292" max="12292" width="10" style="13"/>
    <col min="12293" max="12293" width="17.875" style="13" customWidth="1"/>
    <col min="12294" max="12294" width="2.125" style="13" customWidth="1"/>
    <col min="12295" max="12295" width="10" style="13"/>
    <col min="12296" max="12296" width="15.75" style="13" customWidth="1"/>
    <col min="12297" max="12297" width="10" style="13"/>
    <col min="12298" max="12298" width="17.875" style="13" customWidth="1"/>
    <col min="12299" max="12546" width="10" style="13"/>
    <col min="12547" max="12547" width="23.25" style="13" customWidth="1"/>
    <col min="12548" max="12548" width="10" style="13"/>
    <col min="12549" max="12549" width="17.875" style="13" customWidth="1"/>
    <col min="12550" max="12550" width="2.125" style="13" customWidth="1"/>
    <col min="12551" max="12551" width="10" style="13"/>
    <col min="12552" max="12552" width="15.75" style="13" customWidth="1"/>
    <col min="12553" max="12553" width="10" style="13"/>
    <col min="12554" max="12554" width="17.875" style="13" customWidth="1"/>
    <col min="12555" max="12802" width="10" style="13"/>
    <col min="12803" max="12803" width="23.25" style="13" customWidth="1"/>
    <col min="12804" max="12804" width="10" style="13"/>
    <col min="12805" max="12805" width="17.875" style="13" customWidth="1"/>
    <col min="12806" max="12806" width="2.125" style="13" customWidth="1"/>
    <col min="12807" max="12807" width="10" style="13"/>
    <col min="12808" max="12808" width="15.75" style="13" customWidth="1"/>
    <col min="12809" max="12809" width="10" style="13"/>
    <col min="12810" max="12810" width="17.875" style="13" customWidth="1"/>
    <col min="12811" max="13058" width="10" style="13"/>
    <col min="13059" max="13059" width="23.25" style="13" customWidth="1"/>
    <col min="13060" max="13060" width="10" style="13"/>
    <col min="13061" max="13061" width="17.875" style="13" customWidth="1"/>
    <col min="13062" max="13062" width="2.125" style="13" customWidth="1"/>
    <col min="13063" max="13063" width="10" style="13"/>
    <col min="13064" max="13064" width="15.75" style="13" customWidth="1"/>
    <col min="13065" max="13065" width="10" style="13"/>
    <col min="13066" max="13066" width="17.875" style="13" customWidth="1"/>
    <col min="13067" max="13314" width="10" style="13"/>
    <col min="13315" max="13315" width="23.25" style="13" customWidth="1"/>
    <col min="13316" max="13316" width="10" style="13"/>
    <col min="13317" max="13317" width="17.875" style="13" customWidth="1"/>
    <col min="13318" max="13318" width="2.125" style="13" customWidth="1"/>
    <col min="13319" max="13319" width="10" style="13"/>
    <col min="13320" max="13320" width="15.75" style="13" customWidth="1"/>
    <col min="13321" max="13321" width="10" style="13"/>
    <col min="13322" max="13322" width="17.875" style="13" customWidth="1"/>
    <col min="13323" max="13570" width="10" style="13"/>
    <col min="13571" max="13571" width="23.25" style="13" customWidth="1"/>
    <col min="13572" max="13572" width="10" style="13"/>
    <col min="13573" max="13573" width="17.875" style="13" customWidth="1"/>
    <col min="13574" max="13574" width="2.125" style="13" customWidth="1"/>
    <col min="13575" max="13575" width="10" style="13"/>
    <col min="13576" max="13576" width="15.75" style="13" customWidth="1"/>
    <col min="13577" max="13577" width="10" style="13"/>
    <col min="13578" max="13578" width="17.875" style="13" customWidth="1"/>
    <col min="13579" max="13826" width="10" style="13"/>
    <col min="13827" max="13827" width="23.25" style="13" customWidth="1"/>
    <col min="13828" max="13828" width="10" style="13"/>
    <col min="13829" max="13829" width="17.875" style="13" customWidth="1"/>
    <col min="13830" max="13830" width="2.125" style="13" customWidth="1"/>
    <col min="13831" max="13831" width="10" style="13"/>
    <col min="13832" max="13832" width="15.75" style="13" customWidth="1"/>
    <col min="13833" max="13833" width="10" style="13"/>
    <col min="13834" max="13834" width="17.875" style="13" customWidth="1"/>
    <col min="13835" max="14082" width="10" style="13"/>
    <col min="14083" max="14083" width="23.25" style="13" customWidth="1"/>
    <col min="14084" max="14084" width="10" style="13"/>
    <col min="14085" max="14085" width="17.875" style="13" customWidth="1"/>
    <col min="14086" max="14086" width="2.125" style="13" customWidth="1"/>
    <col min="14087" max="14087" width="10" style="13"/>
    <col min="14088" max="14088" width="15.75" style="13" customWidth="1"/>
    <col min="14089" max="14089" width="10" style="13"/>
    <col min="14090" max="14090" width="17.875" style="13" customWidth="1"/>
    <col min="14091" max="14338" width="10" style="13"/>
    <col min="14339" max="14339" width="23.25" style="13" customWidth="1"/>
    <col min="14340" max="14340" width="10" style="13"/>
    <col min="14341" max="14341" width="17.875" style="13" customWidth="1"/>
    <col min="14342" max="14342" width="2.125" style="13" customWidth="1"/>
    <col min="14343" max="14343" width="10" style="13"/>
    <col min="14344" max="14344" width="15.75" style="13" customWidth="1"/>
    <col min="14345" max="14345" width="10" style="13"/>
    <col min="14346" max="14346" width="17.875" style="13" customWidth="1"/>
    <col min="14347" max="14594" width="10" style="13"/>
    <col min="14595" max="14595" width="23.25" style="13" customWidth="1"/>
    <col min="14596" max="14596" width="10" style="13"/>
    <col min="14597" max="14597" width="17.875" style="13" customWidth="1"/>
    <col min="14598" max="14598" width="2.125" style="13" customWidth="1"/>
    <col min="14599" max="14599" width="10" style="13"/>
    <col min="14600" max="14600" width="15.75" style="13" customWidth="1"/>
    <col min="14601" max="14601" width="10" style="13"/>
    <col min="14602" max="14602" width="17.875" style="13" customWidth="1"/>
    <col min="14603" max="14850" width="10" style="13"/>
    <col min="14851" max="14851" width="23.25" style="13" customWidth="1"/>
    <col min="14852" max="14852" width="10" style="13"/>
    <col min="14853" max="14853" width="17.875" style="13" customWidth="1"/>
    <col min="14854" max="14854" width="2.125" style="13" customWidth="1"/>
    <col min="14855" max="14855" width="10" style="13"/>
    <col min="14856" max="14856" width="15.75" style="13" customWidth="1"/>
    <col min="14857" max="14857" width="10" style="13"/>
    <col min="14858" max="14858" width="17.875" style="13" customWidth="1"/>
    <col min="14859" max="15106" width="10" style="13"/>
    <col min="15107" max="15107" width="23.25" style="13" customWidth="1"/>
    <col min="15108" max="15108" width="10" style="13"/>
    <col min="15109" max="15109" width="17.875" style="13" customWidth="1"/>
    <col min="15110" max="15110" width="2.125" style="13" customWidth="1"/>
    <col min="15111" max="15111" width="10" style="13"/>
    <col min="15112" max="15112" width="15.75" style="13" customWidth="1"/>
    <col min="15113" max="15113" width="10" style="13"/>
    <col min="15114" max="15114" width="17.875" style="13" customWidth="1"/>
    <col min="15115" max="15362" width="10" style="13"/>
    <col min="15363" max="15363" width="23.25" style="13" customWidth="1"/>
    <col min="15364" max="15364" width="10" style="13"/>
    <col min="15365" max="15365" width="17.875" style="13" customWidth="1"/>
    <col min="15366" max="15366" width="2.125" style="13" customWidth="1"/>
    <col min="15367" max="15367" width="10" style="13"/>
    <col min="15368" max="15368" width="15.75" style="13" customWidth="1"/>
    <col min="15369" max="15369" width="10" style="13"/>
    <col min="15370" max="15370" width="17.875" style="13" customWidth="1"/>
    <col min="15371" max="15618" width="10" style="13"/>
    <col min="15619" max="15619" width="23.25" style="13" customWidth="1"/>
    <col min="15620" max="15620" width="10" style="13"/>
    <col min="15621" max="15621" width="17.875" style="13" customWidth="1"/>
    <col min="15622" max="15622" width="2.125" style="13" customWidth="1"/>
    <col min="15623" max="15623" width="10" style="13"/>
    <col min="15624" max="15624" width="15.75" style="13" customWidth="1"/>
    <col min="15625" max="15625" width="10" style="13"/>
    <col min="15626" max="15626" width="17.875" style="13" customWidth="1"/>
    <col min="15627" max="15874" width="10" style="13"/>
    <col min="15875" max="15875" width="23.25" style="13" customWidth="1"/>
    <col min="15876" max="15876" width="10" style="13"/>
    <col min="15877" max="15877" width="17.875" style="13" customWidth="1"/>
    <col min="15878" max="15878" width="2.125" style="13" customWidth="1"/>
    <col min="15879" max="15879" width="10" style="13"/>
    <col min="15880" max="15880" width="15.75" style="13" customWidth="1"/>
    <col min="15881" max="15881" width="10" style="13"/>
    <col min="15882" max="15882" width="17.875" style="13" customWidth="1"/>
    <col min="15883" max="16130" width="10" style="13"/>
    <col min="16131" max="16131" width="23.25" style="13" customWidth="1"/>
    <col min="16132" max="16132" width="10" style="13"/>
    <col min="16133" max="16133" width="17.875" style="13" customWidth="1"/>
    <col min="16134" max="16134" width="2.125" style="13" customWidth="1"/>
    <col min="16135" max="16135" width="10" style="13"/>
    <col min="16136" max="16136" width="15.75" style="13" customWidth="1"/>
    <col min="16137" max="16137" width="10" style="13"/>
    <col min="16138" max="16138" width="17.875" style="13" customWidth="1"/>
    <col min="16139" max="16384" width="10" style="13"/>
  </cols>
  <sheetData>
    <row r="1" spans="1:10" ht="21">
      <c r="B1" s="365" t="s">
        <v>513</v>
      </c>
      <c r="C1" s="366"/>
      <c r="D1" s="367"/>
      <c r="E1" s="366"/>
      <c r="F1" s="367"/>
      <c r="G1" s="367"/>
      <c r="H1" s="366"/>
      <c r="I1" s="367"/>
      <c r="J1" s="366"/>
    </row>
    <row r="2" spans="1:10">
      <c r="B2" s="367"/>
      <c r="C2" s="366"/>
      <c r="D2" s="367"/>
      <c r="E2" s="366"/>
      <c r="F2" s="367"/>
      <c r="G2" s="367"/>
      <c r="H2" s="366"/>
      <c r="I2" s="367"/>
      <c r="J2" s="366"/>
    </row>
    <row r="3" spans="1:10">
      <c r="B3" s="478" t="s">
        <v>434</v>
      </c>
      <c r="G3" s="478" t="s">
        <v>435</v>
      </c>
    </row>
    <row r="4" spans="1:10">
      <c r="B4" s="30" t="s">
        <v>101</v>
      </c>
      <c r="C4" s="368" t="s">
        <v>102</v>
      </c>
      <c r="D4" s="30" t="s">
        <v>103</v>
      </c>
      <c r="E4" s="368" t="s">
        <v>104</v>
      </c>
      <c r="F4" s="369"/>
      <c r="G4" s="30" t="s">
        <v>101</v>
      </c>
      <c r="H4" s="368" t="s">
        <v>102</v>
      </c>
      <c r="I4" s="30" t="s">
        <v>103</v>
      </c>
      <c r="J4" s="368" t="s">
        <v>104</v>
      </c>
    </row>
    <row r="5" spans="1:10">
      <c r="A5" s="13">
        <v>1</v>
      </c>
      <c r="B5" s="370" t="s">
        <v>461</v>
      </c>
      <c r="C5" s="371">
        <v>804722</v>
      </c>
      <c r="D5" s="370" t="s">
        <v>240</v>
      </c>
      <c r="E5" s="371">
        <v>211780</v>
      </c>
      <c r="G5" s="370" t="s">
        <v>461</v>
      </c>
      <c r="H5" s="372">
        <v>37089</v>
      </c>
      <c r="I5" s="370" t="s">
        <v>240</v>
      </c>
      <c r="J5" s="372">
        <v>95693</v>
      </c>
    </row>
    <row r="6" spans="1:10">
      <c r="A6" s="13">
        <v>2</v>
      </c>
      <c r="B6" s="370" t="s">
        <v>240</v>
      </c>
      <c r="C6" s="371">
        <v>70987</v>
      </c>
      <c r="D6" s="370" t="s">
        <v>248</v>
      </c>
      <c r="E6" s="371">
        <v>66655</v>
      </c>
      <c r="G6" s="370" t="s">
        <v>385</v>
      </c>
      <c r="H6" s="372">
        <v>36242</v>
      </c>
      <c r="I6" s="370" t="s">
        <v>247</v>
      </c>
      <c r="J6" s="372">
        <v>51222</v>
      </c>
    </row>
    <row r="7" spans="1:10">
      <c r="A7" s="13">
        <v>3</v>
      </c>
      <c r="B7" s="370" t="s">
        <v>463</v>
      </c>
      <c r="C7" s="371">
        <v>68120</v>
      </c>
      <c r="D7" s="370" t="s">
        <v>256</v>
      </c>
      <c r="E7" s="371">
        <v>35396</v>
      </c>
      <c r="G7" s="370" t="s">
        <v>473</v>
      </c>
      <c r="H7" s="372">
        <v>28948</v>
      </c>
      <c r="I7" s="370" t="s">
        <v>471</v>
      </c>
      <c r="J7" s="372">
        <v>4461</v>
      </c>
    </row>
    <row r="8" spans="1:10">
      <c r="A8" s="13">
        <v>4</v>
      </c>
      <c r="B8" s="370" t="s">
        <v>464</v>
      </c>
      <c r="C8" s="371">
        <v>57994</v>
      </c>
      <c r="D8" s="370" t="s">
        <v>385</v>
      </c>
      <c r="E8" s="371">
        <v>29274</v>
      </c>
      <c r="G8" s="370" t="s">
        <v>386</v>
      </c>
      <c r="H8" s="372">
        <v>14262</v>
      </c>
      <c r="I8" s="370"/>
      <c r="J8" s="372"/>
    </row>
    <row r="9" spans="1:10">
      <c r="A9" s="13">
        <v>5</v>
      </c>
      <c r="B9" s="370" t="s">
        <v>386</v>
      </c>
      <c r="C9" s="371">
        <v>57701</v>
      </c>
      <c r="D9" s="370" t="s">
        <v>246</v>
      </c>
      <c r="E9" s="371">
        <v>12340</v>
      </c>
      <c r="G9" s="370" t="s">
        <v>518</v>
      </c>
      <c r="H9" s="372">
        <v>12569</v>
      </c>
      <c r="I9" s="370"/>
      <c r="J9" s="372"/>
    </row>
    <row r="10" spans="1:10">
      <c r="A10" s="13">
        <v>6</v>
      </c>
      <c r="B10" s="370" t="s">
        <v>12</v>
      </c>
      <c r="C10" s="371">
        <v>37740</v>
      </c>
      <c r="D10" s="370" t="s">
        <v>465</v>
      </c>
      <c r="E10" s="371">
        <v>5503</v>
      </c>
      <c r="G10" s="370" t="s">
        <v>13</v>
      </c>
      <c r="H10" s="372">
        <v>4201</v>
      </c>
      <c r="I10" s="370"/>
      <c r="J10" s="372"/>
    </row>
    <row r="11" spans="1:10">
      <c r="A11" s="13">
        <v>7</v>
      </c>
      <c r="B11" s="370" t="s">
        <v>466</v>
      </c>
      <c r="C11" s="371">
        <v>29632</v>
      </c>
      <c r="D11" s="370"/>
      <c r="E11" s="372"/>
      <c r="G11" s="370" t="s">
        <v>470</v>
      </c>
      <c r="H11" s="372">
        <v>3224</v>
      </c>
      <c r="I11" s="370"/>
      <c r="J11" s="372"/>
    </row>
    <row r="12" spans="1:10">
      <c r="A12" s="13">
        <v>8</v>
      </c>
      <c r="B12" s="370" t="s">
        <v>7</v>
      </c>
      <c r="C12" s="371">
        <v>25789</v>
      </c>
      <c r="D12" s="370"/>
      <c r="E12" s="372"/>
      <c r="G12" s="370" t="s">
        <v>247</v>
      </c>
      <c r="H12" s="372">
        <v>3093</v>
      </c>
      <c r="I12" s="370"/>
      <c r="J12" s="372"/>
    </row>
    <row r="13" spans="1:10">
      <c r="A13" s="13">
        <v>9</v>
      </c>
      <c r="B13" s="370" t="s">
        <v>246</v>
      </c>
      <c r="C13" s="371">
        <v>18529</v>
      </c>
      <c r="D13" s="370"/>
      <c r="E13" s="372"/>
      <c r="G13" s="370" t="s">
        <v>257</v>
      </c>
      <c r="H13" s="372">
        <v>2833</v>
      </c>
      <c r="I13" s="370"/>
      <c r="J13" s="372"/>
    </row>
    <row r="14" spans="1:10">
      <c r="A14" s="13">
        <v>10</v>
      </c>
      <c r="B14" s="373" t="s">
        <v>462</v>
      </c>
      <c r="C14" s="371">
        <v>17454</v>
      </c>
      <c r="D14" s="370"/>
      <c r="E14" s="372"/>
      <c r="G14" s="373" t="s">
        <v>459</v>
      </c>
      <c r="H14" s="372">
        <v>2605</v>
      </c>
      <c r="I14" s="370"/>
      <c r="J14" s="372"/>
    </row>
    <row r="15" spans="1:10">
      <c r="B15" s="479" t="s">
        <v>422</v>
      </c>
      <c r="C15" s="372">
        <f>C16-SUM(C5:C14)</f>
        <v>32823</v>
      </c>
      <c r="D15" s="370" t="s">
        <v>105</v>
      </c>
      <c r="E15" s="372">
        <f>E16-SUM(E5:E14)</f>
        <v>0</v>
      </c>
      <c r="G15" s="479" t="s">
        <v>422</v>
      </c>
      <c r="H15" s="372">
        <f>H16-SUM(H5:H14)</f>
        <v>3745</v>
      </c>
      <c r="I15" s="370" t="s">
        <v>105</v>
      </c>
      <c r="J15" s="372">
        <f>J16-SUM(J5:J14)</f>
        <v>0</v>
      </c>
    </row>
    <row r="16" spans="1:10">
      <c r="B16" s="370" t="s">
        <v>106</v>
      </c>
      <c r="C16" s="372">
        <v>1221491</v>
      </c>
      <c r="D16" s="370" t="s">
        <v>106</v>
      </c>
      <c r="E16" s="372">
        <v>360948</v>
      </c>
      <c r="G16" s="370" t="s">
        <v>106</v>
      </c>
      <c r="H16" s="372">
        <v>148811</v>
      </c>
      <c r="I16" s="370" t="s">
        <v>106</v>
      </c>
      <c r="J16" s="372">
        <v>151376</v>
      </c>
    </row>
    <row r="18" spans="1:10">
      <c r="B18" s="478" t="s">
        <v>423</v>
      </c>
      <c r="G18" s="55" t="s">
        <v>424</v>
      </c>
    </row>
    <row r="19" spans="1:10">
      <c r="B19" s="30" t="s">
        <v>101</v>
      </c>
      <c r="C19" s="368" t="s">
        <v>102</v>
      </c>
      <c r="D19" s="30" t="s">
        <v>103</v>
      </c>
      <c r="E19" s="368" t="s">
        <v>104</v>
      </c>
      <c r="G19" s="30" t="s">
        <v>101</v>
      </c>
      <c r="H19" s="368" t="s">
        <v>102</v>
      </c>
      <c r="I19" s="30" t="s">
        <v>103</v>
      </c>
      <c r="J19" s="368" t="s">
        <v>104</v>
      </c>
    </row>
    <row r="20" spans="1:10">
      <c r="A20" s="13">
        <v>1</v>
      </c>
      <c r="B20" s="480" t="s">
        <v>247</v>
      </c>
      <c r="C20" s="372">
        <v>13243382</v>
      </c>
      <c r="D20" s="373" t="s">
        <v>240</v>
      </c>
      <c r="E20" s="372">
        <v>32064670</v>
      </c>
      <c r="G20" s="370" t="s">
        <v>461</v>
      </c>
      <c r="H20" s="372">
        <v>484437</v>
      </c>
      <c r="I20" s="370" t="s">
        <v>240</v>
      </c>
      <c r="J20" s="372">
        <v>5881239</v>
      </c>
    </row>
    <row r="21" spans="1:10">
      <c r="A21" s="13">
        <v>2</v>
      </c>
      <c r="B21" s="480" t="s">
        <v>246</v>
      </c>
      <c r="C21" s="372">
        <v>7399805</v>
      </c>
      <c r="D21" s="370" t="s">
        <v>462</v>
      </c>
      <c r="E21" s="372">
        <v>8296712</v>
      </c>
      <c r="G21" s="370" t="s">
        <v>247</v>
      </c>
      <c r="H21" s="372">
        <v>419213</v>
      </c>
      <c r="I21" s="370" t="s">
        <v>467</v>
      </c>
      <c r="J21" s="372">
        <v>254021</v>
      </c>
    </row>
    <row r="22" spans="1:10">
      <c r="A22" s="13">
        <v>3</v>
      </c>
      <c r="B22" s="480" t="s">
        <v>461</v>
      </c>
      <c r="C22" s="372">
        <v>6887566</v>
      </c>
      <c r="D22" s="370" t="s">
        <v>464</v>
      </c>
      <c r="E22" s="372">
        <v>1044903</v>
      </c>
      <c r="G22" s="370" t="s">
        <v>257</v>
      </c>
      <c r="H22" s="372">
        <v>157506</v>
      </c>
      <c r="I22" s="370" t="s">
        <v>462</v>
      </c>
      <c r="J22" s="372">
        <v>163367</v>
      </c>
    </row>
    <row r="23" spans="1:10">
      <c r="A23" s="13">
        <v>4</v>
      </c>
      <c r="B23" s="480" t="s">
        <v>10</v>
      </c>
      <c r="C23" s="372">
        <v>4940151</v>
      </c>
      <c r="D23" s="370" t="s">
        <v>465</v>
      </c>
      <c r="E23" s="372">
        <v>621100</v>
      </c>
      <c r="G23" s="370" t="s">
        <v>246</v>
      </c>
      <c r="H23" s="372">
        <v>154023</v>
      </c>
      <c r="I23" s="370" t="s">
        <v>11</v>
      </c>
      <c r="J23" s="372">
        <v>73852</v>
      </c>
    </row>
    <row r="24" spans="1:10">
      <c r="A24" s="13">
        <v>5</v>
      </c>
      <c r="B24" s="480" t="s">
        <v>240</v>
      </c>
      <c r="C24" s="372">
        <v>3154775</v>
      </c>
      <c r="D24" s="370" t="s">
        <v>467</v>
      </c>
      <c r="E24" s="372">
        <v>371866</v>
      </c>
      <c r="G24" s="370" t="s">
        <v>240</v>
      </c>
      <c r="H24" s="372">
        <v>104365</v>
      </c>
      <c r="I24" s="370" t="s">
        <v>461</v>
      </c>
      <c r="J24" s="372">
        <v>2637</v>
      </c>
    </row>
    <row r="25" spans="1:10">
      <c r="A25" s="13">
        <v>6</v>
      </c>
      <c r="B25" s="480" t="s">
        <v>463</v>
      </c>
      <c r="C25" s="372">
        <v>2552457</v>
      </c>
      <c r="D25" s="370" t="s">
        <v>468</v>
      </c>
      <c r="E25" s="372">
        <v>220469</v>
      </c>
      <c r="G25" s="370" t="s">
        <v>11</v>
      </c>
      <c r="H25" s="372">
        <v>101888</v>
      </c>
      <c r="I25" s="370" t="s">
        <v>385</v>
      </c>
      <c r="J25" s="372">
        <v>1075</v>
      </c>
    </row>
    <row r="26" spans="1:10">
      <c r="A26" s="13">
        <v>7</v>
      </c>
      <c r="B26" s="480" t="s">
        <v>248</v>
      </c>
      <c r="C26" s="372">
        <v>2466429</v>
      </c>
      <c r="D26" s="370" t="s">
        <v>11</v>
      </c>
      <c r="E26" s="372">
        <v>96767</v>
      </c>
      <c r="G26" s="370" t="s">
        <v>248</v>
      </c>
      <c r="H26" s="372">
        <v>88960</v>
      </c>
      <c r="I26" s="370" t="s">
        <v>247</v>
      </c>
      <c r="J26" s="372">
        <v>522</v>
      </c>
    </row>
    <row r="27" spans="1:10">
      <c r="A27" s="13">
        <v>8</v>
      </c>
      <c r="B27" s="480" t="s">
        <v>466</v>
      </c>
      <c r="C27" s="372">
        <v>2063793</v>
      </c>
      <c r="D27" s="370" t="s">
        <v>264</v>
      </c>
      <c r="E27" s="372">
        <v>46076</v>
      </c>
      <c r="G27" s="370" t="s">
        <v>298</v>
      </c>
      <c r="H27" s="372">
        <v>86975</v>
      </c>
      <c r="I27" s="370" t="s">
        <v>465</v>
      </c>
      <c r="J27" s="372">
        <v>521</v>
      </c>
    </row>
    <row r="28" spans="1:10">
      <c r="A28" s="13">
        <v>9</v>
      </c>
      <c r="B28" s="480" t="s">
        <v>11</v>
      </c>
      <c r="C28" s="372">
        <v>2021391</v>
      </c>
      <c r="D28" s="370" t="s">
        <v>385</v>
      </c>
      <c r="E28" s="372">
        <v>6611</v>
      </c>
      <c r="G28" s="370" t="s">
        <v>462</v>
      </c>
      <c r="H28" s="372">
        <v>86714</v>
      </c>
      <c r="I28" s="370" t="s">
        <v>464</v>
      </c>
      <c r="J28" s="372">
        <v>228</v>
      </c>
    </row>
    <row r="29" spans="1:10">
      <c r="A29" s="13">
        <v>10</v>
      </c>
      <c r="B29" s="480" t="s">
        <v>259</v>
      </c>
      <c r="C29" s="372">
        <v>1947672</v>
      </c>
      <c r="D29" s="370" t="s">
        <v>463</v>
      </c>
      <c r="E29" s="372">
        <v>6448</v>
      </c>
      <c r="G29" s="370" t="s">
        <v>463</v>
      </c>
      <c r="H29" s="372">
        <v>85086</v>
      </c>
      <c r="I29" s="370"/>
      <c r="J29" s="372"/>
    </row>
    <row r="30" spans="1:10">
      <c r="B30" s="370" t="s">
        <v>105</v>
      </c>
      <c r="C30" s="372">
        <f>C31-SUM(C20:C29)</f>
        <v>16275942</v>
      </c>
      <c r="D30" s="370" t="s">
        <v>436</v>
      </c>
      <c r="E30" s="372">
        <f>E31-SUM(E20:E29)</f>
        <v>15727</v>
      </c>
      <c r="G30" s="370" t="s">
        <v>437</v>
      </c>
      <c r="H30" s="372">
        <f>H31-SUM(H20:H29)</f>
        <v>516804</v>
      </c>
      <c r="I30" s="370" t="s">
        <v>105</v>
      </c>
      <c r="J30" s="372">
        <f>J31-SUM(J20:J29)</f>
        <v>0</v>
      </c>
    </row>
    <row r="31" spans="1:10">
      <c r="B31" s="370" t="s">
        <v>106</v>
      </c>
      <c r="C31" s="372">
        <v>62953363</v>
      </c>
      <c r="D31" s="370" t="s">
        <v>106</v>
      </c>
      <c r="E31" s="372">
        <v>42791349</v>
      </c>
      <c r="G31" s="370" t="s">
        <v>106</v>
      </c>
      <c r="H31" s="372">
        <v>2285971</v>
      </c>
      <c r="I31" s="370" t="s">
        <v>106</v>
      </c>
      <c r="J31" s="372">
        <v>6377462</v>
      </c>
    </row>
    <row r="32" spans="1:10">
      <c r="B32" s="374"/>
      <c r="D32" s="374"/>
      <c r="G32" s="374"/>
      <c r="I32" s="374"/>
    </row>
    <row r="33" spans="1:10">
      <c r="B33" s="55" t="s">
        <v>426</v>
      </c>
      <c r="D33" s="374"/>
      <c r="G33" s="55" t="s">
        <v>427</v>
      </c>
      <c r="I33" s="374"/>
    </row>
    <row r="34" spans="1:10">
      <c r="B34" s="370" t="s">
        <v>101</v>
      </c>
      <c r="C34" s="372" t="s">
        <v>102</v>
      </c>
      <c r="D34" s="370" t="s">
        <v>103</v>
      </c>
      <c r="E34" s="368" t="s">
        <v>104</v>
      </c>
      <c r="G34" s="370" t="s">
        <v>101</v>
      </c>
      <c r="H34" s="372" t="s">
        <v>102</v>
      </c>
      <c r="I34" s="370" t="s">
        <v>103</v>
      </c>
      <c r="J34" s="368" t="s">
        <v>104</v>
      </c>
    </row>
    <row r="35" spans="1:10">
      <c r="A35" s="13">
        <v>1</v>
      </c>
      <c r="B35" s="370" t="s">
        <v>461</v>
      </c>
      <c r="C35" s="372">
        <v>253926</v>
      </c>
      <c r="D35" s="370" t="s">
        <v>466</v>
      </c>
      <c r="E35" s="372">
        <v>327223</v>
      </c>
      <c r="G35" s="370" t="s">
        <v>246</v>
      </c>
      <c r="H35" s="372">
        <v>1450700</v>
      </c>
      <c r="I35" s="370" t="s">
        <v>240</v>
      </c>
      <c r="J35" s="372">
        <v>468409</v>
      </c>
    </row>
    <row r="36" spans="1:10">
      <c r="A36" s="13">
        <v>2</v>
      </c>
      <c r="B36" s="370" t="s">
        <v>240</v>
      </c>
      <c r="C36" s="372">
        <v>199349</v>
      </c>
      <c r="D36" s="370" t="s">
        <v>240</v>
      </c>
      <c r="E36" s="372">
        <v>89159</v>
      </c>
      <c r="G36" s="370" t="s">
        <v>247</v>
      </c>
      <c r="H36" s="372">
        <v>1018984</v>
      </c>
      <c r="I36" s="370" t="s">
        <v>385</v>
      </c>
      <c r="J36" s="372">
        <v>52752</v>
      </c>
    </row>
    <row r="37" spans="1:10">
      <c r="A37" s="13">
        <v>3</v>
      </c>
      <c r="B37" s="370" t="s">
        <v>464</v>
      </c>
      <c r="C37" s="372">
        <v>84857</v>
      </c>
      <c r="D37" s="370" t="s">
        <v>12</v>
      </c>
      <c r="E37" s="372">
        <v>59980</v>
      </c>
      <c r="G37" s="370" t="s">
        <v>461</v>
      </c>
      <c r="H37" s="372">
        <v>974112</v>
      </c>
      <c r="I37" s="370" t="s">
        <v>467</v>
      </c>
      <c r="J37" s="372">
        <v>50570</v>
      </c>
    </row>
    <row r="38" spans="1:10">
      <c r="A38" s="13">
        <v>4</v>
      </c>
      <c r="B38" s="370" t="s">
        <v>247</v>
      </c>
      <c r="C38" s="372">
        <v>67600</v>
      </c>
      <c r="D38" s="370"/>
      <c r="E38" s="372"/>
      <c r="G38" s="370" t="s">
        <v>463</v>
      </c>
      <c r="H38" s="372">
        <v>890850</v>
      </c>
      <c r="I38" s="370" t="s">
        <v>247</v>
      </c>
      <c r="J38" s="372">
        <v>39304</v>
      </c>
    </row>
    <row r="39" spans="1:10">
      <c r="A39" s="13">
        <v>5</v>
      </c>
      <c r="B39" s="370" t="s">
        <v>7</v>
      </c>
      <c r="C39" s="372">
        <v>32954</v>
      </c>
      <c r="D39" s="370"/>
      <c r="E39" s="372"/>
      <c r="G39" s="370" t="s">
        <v>240</v>
      </c>
      <c r="H39" s="372">
        <v>479910</v>
      </c>
      <c r="I39" s="370" t="s">
        <v>461</v>
      </c>
      <c r="J39" s="372">
        <v>15630</v>
      </c>
    </row>
    <row r="40" spans="1:10">
      <c r="A40" s="13">
        <v>6</v>
      </c>
      <c r="B40" s="370" t="s">
        <v>462</v>
      </c>
      <c r="C40" s="372">
        <v>30316</v>
      </c>
      <c r="D40" s="370"/>
      <c r="E40" s="372"/>
      <c r="G40" s="370" t="s">
        <v>462</v>
      </c>
      <c r="H40" s="372">
        <v>369848</v>
      </c>
      <c r="I40" s="370" t="s">
        <v>12</v>
      </c>
      <c r="J40" s="372">
        <v>11625</v>
      </c>
    </row>
    <row r="41" spans="1:10">
      <c r="A41" s="13">
        <v>7</v>
      </c>
      <c r="B41" s="370" t="s">
        <v>246</v>
      </c>
      <c r="C41" s="372">
        <v>22110</v>
      </c>
      <c r="D41" s="370"/>
      <c r="E41" s="372"/>
      <c r="G41" s="370" t="s">
        <v>298</v>
      </c>
      <c r="H41" s="372">
        <v>290556</v>
      </c>
      <c r="I41" s="370" t="s">
        <v>11</v>
      </c>
      <c r="J41" s="372">
        <v>2475</v>
      </c>
    </row>
    <row r="42" spans="1:10">
      <c r="A42" s="13">
        <v>8</v>
      </c>
      <c r="B42" s="370" t="s">
        <v>386</v>
      </c>
      <c r="C42" s="372">
        <v>16379</v>
      </c>
      <c r="D42" s="370"/>
      <c r="E42" s="372"/>
      <c r="G42" s="370" t="s">
        <v>464</v>
      </c>
      <c r="H42" s="372">
        <v>284175</v>
      </c>
      <c r="I42" s="370" t="s">
        <v>475</v>
      </c>
      <c r="J42" s="372">
        <v>130</v>
      </c>
    </row>
    <row r="43" spans="1:10">
      <c r="A43" s="13">
        <v>9</v>
      </c>
      <c r="B43" s="370" t="s">
        <v>257</v>
      </c>
      <c r="C43" s="372">
        <v>15141</v>
      </c>
      <c r="D43" s="370"/>
      <c r="E43" s="372"/>
      <c r="G43" s="370" t="s">
        <v>11</v>
      </c>
      <c r="H43" s="372">
        <v>253143</v>
      </c>
      <c r="I43" s="370" t="s">
        <v>462</v>
      </c>
      <c r="J43" s="372">
        <v>33</v>
      </c>
    </row>
    <row r="44" spans="1:10">
      <c r="A44" s="13">
        <v>10</v>
      </c>
      <c r="B44" s="370" t="s">
        <v>270</v>
      </c>
      <c r="C44" s="372">
        <v>14328</v>
      </c>
      <c r="D44" s="370"/>
      <c r="E44" s="372"/>
      <c r="G44" s="370" t="s">
        <v>10</v>
      </c>
      <c r="H44" s="372">
        <v>198665</v>
      </c>
      <c r="I44" s="370"/>
      <c r="J44" s="372"/>
    </row>
    <row r="45" spans="1:10">
      <c r="B45" s="370" t="s">
        <v>105</v>
      </c>
      <c r="C45" s="372">
        <f>C46-SUM(C34:C44)</f>
        <v>26961</v>
      </c>
      <c r="D45" s="370" t="s">
        <v>425</v>
      </c>
      <c r="E45" s="372">
        <f>E46-SUM(E34:E44)</f>
        <v>0</v>
      </c>
      <c r="G45" s="370" t="s">
        <v>438</v>
      </c>
      <c r="H45" s="372">
        <f>H46-SUM(H34:H44)</f>
        <v>739790</v>
      </c>
      <c r="I45" s="370" t="s">
        <v>439</v>
      </c>
      <c r="J45" s="372">
        <f>J46-SUM(J34:J44)</f>
        <v>0</v>
      </c>
    </row>
    <row r="46" spans="1:10">
      <c r="B46" s="370" t="s">
        <v>106</v>
      </c>
      <c r="C46" s="372">
        <v>763921</v>
      </c>
      <c r="D46" s="370" t="s">
        <v>106</v>
      </c>
      <c r="E46" s="372">
        <v>476362</v>
      </c>
      <c r="G46" s="370" t="s">
        <v>106</v>
      </c>
      <c r="H46" s="372">
        <v>6950733</v>
      </c>
      <c r="I46" s="370" t="s">
        <v>106</v>
      </c>
      <c r="J46" s="372">
        <v>640928</v>
      </c>
    </row>
    <row r="47" spans="1:10">
      <c r="B47" s="374"/>
      <c r="D47" s="374"/>
      <c r="G47" s="374"/>
      <c r="I47" s="374"/>
    </row>
    <row r="48" spans="1:10">
      <c r="B48" s="55" t="s">
        <v>428</v>
      </c>
      <c r="G48" s="269" t="s">
        <v>440</v>
      </c>
    </row>
    <row r="49" spans="1:10">
      <c r="B49" s="30" t="s">
        <v>101</v>
      </c>
      <c r="C49" s="368" t="s">
        <v>102</v>
      </c>
      <c r="D49" s="30" t="s">
        <v>103</v>
      </c>
      <c r="E49" s="368" t="s">
        <v>104</v>
      </c>
      <c r="G49" s="30" t="s">
        <v>101</v>
      </c>
      <c r="H49" s="368" t="s">
        <v>102</v>
      </c>
      <c r="I49" s="30" t="s">
        <v>103</v>
      </c>
      <c r="J49" s="368" t="s">
        <v>104</v>
      </c>
    </row>
    <row r="50" spans="1:10">
      <c r="A50" s="13">
        <v>1</v>
      </c>
      <c r="B50" s="370" t="s">
        <v>466</v>
      </c>
      <c r="C50" s="372">
        <v>1082351</v>
      </c>
      <c r="D50" s="370" t="s">
        <v>240</v>
      </c>
      <c r="E50" s="372">
        <v>1991633</v>
      </c>
      <c r="G50" s="373" t="s">
        <v>240</v>
      </c>
      <c r="H50" s="372">
        <v>58939</v>
      </c>
      <c r="I50" s="373" t="s">
        <v>385</v>
      </c>
      <c r="J50" s="372">
        <v>297970</v>
      </c>
    </row>
    <row r="51" spans="1:10">
      <c r="A51" s="13">
        <v>2</v>
      </c>
      <c r="B51" s="370" t="s">
        <v>461</v>
      </c>
      <c r="C51" s="372">
        <v>1070858</v>
      </c>
      <c r="D51" s="370" t="s">
        <v>467</v>
      </c>
      <c r="E51" s="372">
        <v>592023</v>
      </c>
      <c r="G51" s="373" t="s">
        <v>246</v>
      </c>
      <c r="H51" s="372">
        <v>33995</v>
      </c>
      <c r="I51" s="373" t="s">
        <v>470</v>
      </c>
      <c r="J51" s="372">
        <v>34445</v>
      </c>
    </row>
    <row r="52" spans="1:10">
      <c r="A52" s="13">
        <v>3</v>
      </c>
      <c r="B52" s="370" t="s">
        <v>257</v>
      </c>
      <c r="C52" s="372">
        <v>514979</v>
      </c>
      <c r="D52" s="370" t="s">
        <v>469</v>
      </c>
      <c r="E52" s="372">
        <v>462911</v>
      </c>
      <c r="G52" s="373" t="s">
        <v>520</v>
      </c>
      <c r="H52" s="372">
        <v>15109</v>
      </c>
      <c r="I52" s="373" t="s">
        <v>240</v>
      </c>
      <c r="J52" s="372">
        <v>3321</v>
      </c>
    </row>
    <row r="53" spans="1:10">
      <c r="A53" s="13">
        <v>4</v>
      </c>
      <c r="B53" s="370" t="s">
        <v>271</v>
      </c>
      <c r="C53" s="372">
        <v>365061</v>
      </c>
      <c r="D53" s="370" t="s">
        <v>466</v>
      </c>
      <c r="E53" s="372">
        <v>328428</v>
      </c>
      <c r="G53" s="373" t="s">
        <v>461</v>
      </c>
      <c r="H53" s="372">
        <v>6480</v>
      </c>
      <c r="I53" s="373" t="s">
        <v>11</v>
      </c>
      <c r="J53" s="372">
        <v>1368</v>
      </c>
    </row>
    <row r="54" spans="1:10">
      <c r="A54" s="13">
        <v>5</v>
      </c>
      <c r="B54" s="370" t="s">
        <v>247</v>
      </c>
      <c r="C54" s="372">
        <v>337609</v>
      </c>
      <c r="D54" s="370" t="s">
        <v>385</v>
      </c>
      <c r="E54" s="372">
        <v>140573</v>
      </c>
      <c r="G54" s="373" t="s">
        <v>386</v>
      </c>
      <c r="H54" s="372">
        <v>6057</v>
      </c>
      <c r="I54" s="373" t="s">
        <v>467</v>
      </c>
      <c r="J54" s="372">
        <v>65</v>
      </c>
    </row>
    <row r="55" spans="1:10">
      <c r="A55" s="13">
        <v>6</v>
      </c>
      <c r="B55" s="370" t="s">
        <v>246</v>
      </c>
      <c r="C55" s="372">
        <v>247802</v>
      </c>
      <c r="D55" s="370" t="s">
        <v>470</v>
      </c>
      <c r="E55" s="372">
        <v>121948</v>
      </c>
      <c r="G55" s="373" t="s">
        <v>248</v>
      </c>
      <c r="H55" s="372">
        <v>4168</v>
      </c>
      <c r="I55" s="373"/>
      <c r="J55" s="372"/>
    </row>
    <row r="56" spans="1:10">
      <c r="A56" s="13">
        <v>7</v>
      </c>
      <c r="B56" s="370" t="s">
        <v>464</v>
      </c>
      <c r="C56" s="372">
        <v>178021</v>
      </c>
      <c r="D56" s="370" t="s">
        <v>461</v>
      </c>
      <c r="E56" s="372">
        <v>83360</v>
      </c>
      <c r="G56" s="373" t="s">
        <v>8</v>
      </c>
      <c r="H56" s="372">
        <v>3582</v>
      </c>
      <c r="I56" s="373"/>
      <c r="J56" s="372"/>
    </row>
    <row r="57" spans="1:10">
      <c r="A57" s="13">
        <v>8</v>
      </c>
      <c r="B57" s="370" t="s">
        <v>474</v>
      </c>
      <c r="C57" s="372">
        <v>139824</v>
      </c>
      <c r="D57" s="370" t="s">
        <v>246</v>
      </c>
      <c r="E57" s="372">
        <v>45848</v>
      </c>
      <c r="G57" s="373" t="s">
        <v>270</v>
      </c>
      <c r="H57" s="372">
        <v>2312</v>
      </c>
      <c r="I57" s="373"/>
      <c r="J57" s="372"/>
    </row>
    <row r="58" spans="1:10">
      <c r="A58" s="13">
        <v>9</v>
      </c>
      <c r="B58" s="370" t="s">
        <v>462</v>
      </c>
      <c r="C58" s="372">
        <v>136177</v>
      </c>
      <c r="D58" s="370" t="s">
        <v>477</v>
      </c>
      <c r="E58" s="372">
        <v>36275</v>
      </c>
      <c r="G58" s="373" t="s">
        <v>521</v>
      </c>
      <c r="H58" s="372">
        <v>651</v>
      </c>
      <c r="I58" s="373"/>
      <c r="J58" s="372"/>
    </row>
    <row r="59" spans="1:10">
      <c r="A59" s="13">
        <v>10</v>
      </c>
      <c r="B59" s="370" t="s">
        <v>240</v>
      </c>
      <c r="C59" s="372">
        <v>124813</v>
      </c>
      <c r="D59" s="370" t="s">
        <v>465</v>
      </c>
      <c r="E59" s="372">
        <v>29079</v>
      </c>
      <c r="G59" s="373" t="s">
        <v>464</v>
      </c>
      <c r="H59" s="372">
        <v>228</v>
      </c>
      <c r="I59" s="373"/>
      <c r="J59" s="372"/>
    </row>
    <row r="60" spans="1:10">
      <c r="B60" s="370" t="s">
        <v>438</v>
      </c>
      <c r="C60" s="372">
        <f>C61-SUM(C49:C59)</f>
        <v>787920</v>
      </c>
      <c r="D60" s="370" t="s">
        <v>105</v>
      </c>
      <c r="E60" s="372">
        <f>E61-SUM(E49:E59)</f>
        <v>6383</v>
      </c>
      <c r="G60" s="373" t="s">
        <v>438</v>
      </c>
      <c r="H60" s="372">
        <f>H61-SUM(H49:H59)</f>
        <v>0</v>
      </c>
      <c r="I60" s="370" t="s">
        <v>105</v>
      </c>
      <c r="J60" s="372">
        <f>J61-SUM(J49:J59)</f>
        <v>0</v>
      </c>
    </row>
    <row r="61" spans="1:10">
      <c r="B61" s="370" t="s">
        <v>106</v>
      </c>
      <c r="C61" s="372">
        <v>4985415</v>
      </c>
      <c r="D61" s="370" t="s">
        <v>106</v>
      </c>
      <c r="E61" s="372">
        <v>3838461</v>
      </c>
      <c r="G61" s="370" t="s">
        <v>106</v>
      </c>
      <c r="H61" s="372">
        <v>131521</v>
      </c>
      <c r="I61" s="370" t="s">
        <v>106</v>
      </c>
      <c r="J61" s="372">
        <v>337169</v>
      </c>
    </row>
    <row r="63" spans="1:10">
      <c r="B63" s="478" t="s">
        <v>441</v>
      </c>
      <c r="G63" s="478" t="s">
        <v>442</v>
      </c>
    </row>
    <row r="64" spans="1:10">
      <c r="B64" s="30" t="s">
        <v>101</v>
      </c>
      <c r="C64" s="368" t="s">
        <v>102</v>
      </c>
      <c r="D64" s="30" t="s">
        <v>103</v>
      </c>
      <c r="E64" s="368" t="s">
        <v>104</v>
      </c>
      <c r="G64" s="30" t="s">
        <v>101</v>
      </c>
      <c r="H64" s="368" t="s">
        <v>102</v>
      </c>
      <c r="I64" s="30" t="s">
        <v>103</v>
      </c>
      <c r="J64" s="368" t="s">
        <v>104</v>
      </c>
    </row>
    <row r="65" spans="1:10">
      <c r="A65" s="13">
        <v>1</v>
      </c>
      <c r="B65" s="370" t="s">
        <v>461</v>
      </c>
      <c r="C65" s="372">
        <v>335852</v>
      </c>
      <c r="D65" s="370" t="s">
        <v>385</v>
      </c>
      <c r="E65" s="372">
        <v>278561</v>
      </c>
      <c r="G65" s="370" t="s">
        <v>247</v>
      </c>
      <c r="H65" s="372">
        <v>4299673</v>
      </c>
      <c r="I65" s="373" t="s">
        <v>385</v>
      </c>
      <c r="J65" s="372">
        <v>4702920</v>
      </c>
    </row>
    <row r="66" spans="1:10">
      <c r="A66" s="13">
        <v>2</v>
      </c>
      <c r="B66" s="370" t="s">
        <v>8</v>
      </c>
      <c r="C66" s="372">
        <v>104330</v>
      </c>
      <c r="D66" s="370" t="s">
        <v>467</v>
      </c>
      <c r="E66" s="372">
        <v>66265</v>
      </c>
      <c r="G66" s="370" t="s">
        <v>461</v>
      </c>
      <c r="H66" s="372">
        <v>2100002</v>
      </c>
      <c r="I66" s="370" t="s">
        <v>467</v>
      </c>
      <c r="J66" s="372">
        <v>1832095</v>
      </c>
    </row>
    <row r="67" spans="1:10">
      <c r="A67" s="13">
        <v>3</v>
      </c>
      <c r="B67" s="370" t="s">
        <v>257</v>
      </c>
      <c r="C67" s="372">
        <v>88505</v>
      </c>
      <c r="D67" s="370" t="s">
        <v>240</v>
      </c>
      <c r="E67" s="372">
        <v>54022</v>
      </c>
      <c r="G67" s="370" t="s">
        <v>240</v>
      </c>
      <c r="H67" s="372">
        <v>2051873</v>
      </c>
      <c r="I67" s="370" t="s">
        <v>240</v>
      </c>
      <c r="J67" s="372">
        <v>795323</v>
      </c>
    </row>
    <row r="68" spans="1:10">
      <c r="A68" s="13">
        <v>4</v>
      </c>
      <c r="B68" s="370" t="s">
        <v>11</v>
      </c>
      <c r="C68" s="372">
        <v>29274</v>
      </c>
      <c r="D68" s="370" t="s">
        <v>11</v>
      </c>
      <c r="E68" s="372">
        <v>31651</v>
      </c>
      <c r="G68" s="370" t="s">
        <v>462</v>
      </c>
      <c r="H68" s="372">
        <v>1260503</v>
      </c>
      <c r="I68" s="370" t="s">
        <v>247</v>
      </c>
      <c r="J68" s="372">
        <v>531642</v>
      </c>
    </row>
    <row r="69" spans="1:10">
      <c r="A69" s="13">
        <v>5</v>
      </c>
      <c r="B69" s="370" t="s">
        <v>12</v>
      </c>
      <c r="C69" s="372">
        <v>20547</v>
      </c>
      <c r="D69" s="370" t="s">
        <v>463</v>
      </c>
      <c r="E69" s="372">
        <v>2149</v>
      </c>
      <c r="G69" s="370" t="s">
        <v>246</v>
      </c>
      <c r="H69" s="372">
        <v>744773</v>
      </c>
      <c r="I69" s="370" t="s">
        <v>463</v>
      </c>
      <c r="J69" s="372">
        <v>498046</v>
      </c>
    </row>
    <row r="70" spans="1:10">
      <c r="A70" s="13">
        <v>6</v>
      </c>
      <c r="B70" s="370" t="s">
        <v>463</v>
      </c>
      <c r="C70" s="372">
        <v>11787</v>
      </c>
      <c r="D70" s="370" t="s">
        <v>461</v>
      </c>
      <c r="E70" s="372">
        <v>1140</v>
      </c>
      <c r="G70" s="370" t="s">
        <v>12</v>
      </c>
      <c r="H70" s="372">
        <v>737249</v>
      </c>
      <c r="I70" s="370" t="s">
        <v>465</v>
      </c>
      <c r="J70" s="372">
        <v>102729</v>
      </c>
    </row>
    <row r="71" spans="1:10">
      <c r="A71" s="13">
        <v>7</v>
      </c>
      <c r="B71" s="370" t="s">
        <v>7</v>
      </c>
      <c r="C71" s="372">
        <v>7815</v>
      </c>
      <c r="D71" s="373" t="s">
        <v>459</v>
      </c>
      <c r="E71" s="372">
        <v>195</v>
      </c>
      <c r="G71" s="370" t="s">
        <v>271</v>
      </c>
      <c r="H71" s="372">
        <v>728557</v>
      </c>
      <c r="I71" s="370" t="s">
        <v>462</v>
      </c>
      <c r="J71" s="372">
        <v>82350</v>
      </c>
    </row>
    <row r="72" spans="1:10">
      <c r="A72" s="13">
        <v>8</v>
      </c>
      <c r="B72" s="370" t="s">
        <v>386</v>
      </c>
      <c r="C72" s="372">
        <v>6546</v>
      </c>
      <c r="D72" s="370"/>
      <c r="E72" s="372"/>
      <c r="G72" s="370" t="s">
        <v>464</v>
      </c>
      <c r="H72" s="372">
        <v>536535</v>
      </c>
      <c r="I72" s="370" t="s">
        <v>11</v>
      </c>
      <c r="J72" s="372">
        <v>55194</v>
      </c>
    </row>
    <row r="73" spans="1:10">
      <c r="A73" s="13">
        <v>9</v>
      </c>
      <c r="B73" s="370" t="s">
        <v>268</v>
      </c>
      <c r="C73" s="372">
        <v>3614</v>
      </c>
      <c r="D73" s="370"/>
      <c r="E73" s="372"/>
      <c r="G73" s="370" t="s">
        <v>11</v>
      </c>
      <c r="H73" s="372">
        <v>405796</v>
      </c>
      <c r="I73" s="370" t="s">
        <v>470</v>
      </c>
      <c r="J73" s="372">
        <v>13815</v>
      </c>
    </row>
    <row r="74" spans="1:10">
      <c r="A74" s="13">
        <v>10</v>
      </c>
      <c r="B74" s="370" t="s">
        <v>467</v>
      </c>
      <c r="C74" s="372">
        <v>163</v>
      </c>
      <c r="D74" s="370"/>
      <c r="E74" s="372"/>
      <c r="G74" s="370" t="s">
        <v>13</v>
      </c>
      <c r="H74" s="372">
        <v>401303</v>
      </c>
      <c r="I74" s="370" t="s">
        <v>477</v>
      </c>
      <c r="J74" s="372">
        <v>11202</v>
      </c>
    </row>
    <row r="75" spans="1:10">
      <c r="B75" s="370" t="s">
        <v>105</v>
      </c>
      <c r="C75" s="372">
        <f>C76-SUM(C64:C74)</f>
        <v>98</v>
      </c>
      <c r="D75" s="370" t="s">
        <v>105</v>
      </c>
      <c r="E75" s="372">
        <f>E76-SUM(E64:E74)</f>
        <v>0</v>
      </c>
      <c r="G75" s="370" t="s">
        <v>105</v>
      </c>
      <c r="H75" s="372">
        <f>H76-SUM(H64:H74)</f>
        <v>3111919</v>
      </c>
      <c r="I75" s="370" t="s">
        <v>425</v>
      </c>
      <c r="J75" s="372">
        <f>J76-SUM(J64:J74)</f>
        <v>20319</v>
      </c>
    </row>
    <row r="76" spans="1:10">
      <c r="B76" s="370" t="s">
        <v>106</v>
      </c>
      <c r="C76" s="372">
        <v>608531</v>
      </c>
      <c r="D76" s="370" t="s">
        <v>106</v>
      </c>
      <c r="E76" s="372">
        <v>433983</v>
      </c>
      <c r="G76" s="370" t="s">
        <v>106</v>
      </c>
      <c r="H76" s="372">
        <v>16378183</v>
      </c>
      <c r="I76" s="370" t="s">
        <v>106</v>
      </c>
      <c r="J76" s="372">
        <v>8645635</v>
      </c>
    </row>
    <row r="78" spans="1:10">
      <c r="B78" s="55" t="s">
        <v>443</v>
      </c>
      <c r="G78" s="478" t="s">
        <v>429</v>
      </c>
    </row>
    <row r="79" spans="1:10">
      <c r="B79" s="30" t="s">
        <v>101</v>
      </c>
      <c r="C79" s="368" t="s">
        <v>102</v>
      </c>
      <c r="D79" s="30" t="s">
        <v>103</v>
      </c>
      <c r="E79" s="368" t="s">
        <v>104</v>
      </c>
      <c r="G79" s="30" t="s">
        <v>101</v>
      </c>
      <c r="H79" s="368" t="s">
        <v>102</v>
      </c>
      <c r="I79" s="30" t="s">
        <v>103</v>
      </c>
      <c r="J79" s="368" t="s">
        <v>104</v>
      </c>
    </row>
    <row r="80" spans="1:10">
      <c r="A80" s="13">
        <v>1</v>
      </c>
      <c r="B80" s="370" t="s">
        <v>247</v>
      </c>
      <c r="C80" s="372">
        <v>872485</v>
      </c>
      <c r="D80" s="370" t="s">
        <v>11</v>
      </c>
      <c r="E80" s="372">
        <v>647428</v>
      </c>
      <c r="G80" s="370" t="s">
        <v>461</v>
      </c>
      <c r="H80" s="372">
        <v>883039</v>
      </c>
      <c r="I80" s="370" t="s">
        <v>462</v>
      </c>
      <c r="J80" s="372">
        <v>106057</v>
      </c>
    </row>
    <row r="81" spans="1:10">
      <c r="A81" s="13">
        <v>2</v>
      </c>
      <c r="B81" s="370" t="s">
        <v>461</v>
      </c>
      <c r="C81" s="372">
        <v>770627</v>
      </c>
      <c r="D81" s="370" t="s">
        <v>240</v>
      </c>
      <c r="E81" s="372">
        <v>600528</v>
      </c>
      <c r="G81" s="370" t="s">
        <v>247</v>
      </c>
      <c r="H81" s="372">
        <v>707818</v>
      </c>
      <c r="I81" s="370" t="s">
        <v>385</v>
      </c>
      <c r="J81" s="372">
        <v>43340</v>
      </c>
    </row>
    <row r="82" spans="1:10">
      <c r="A82" s="13">
        <v>3</v>
      </c>
      <c r="B82" s="370" t="s">
        <v>463</v>
      </c>
      <c r="C82" s="372">
        <v>326927</v>
      </c>
      <c r="D82" s="370" t="s">
        <v>462</v>
      </c>
      <c r="E82" s="372">
        <v>31196</v>
      </c>
      <c r="G82" s="370" t="s">
        <v>463</v>
      </c>
      <c r="H82" s="372">
        <v>319834</v>
      </c>
      <c r="I82" s="370" t="s">
        <v>240</v>
      </c>
      <c r="J82" s="372">
        <v>37844</v>
      </c>
    </row>
    <row r="83" spans="1:10">
      <c r="A83" s="13">
        <v>4</v>
      </c>
      <c r="B83" s="370" t="s">
        <v>12</v>
      </c>
      <c r="C83" s="372">
        <v>159621</v>
      </c>
      <c r="D83" s="370" t="s">
        <v>270</v>
      </c>
      <c r="E83" s="372">
        <v>12080</v>
      </c>
      <c r="G83" s="370" t="s">
        <v>240</v>
      </c>
      <c r="H83" s="372">
        <v>245295</v>
      </c>
      <c r="I83" s="370" t="s">
        <v>467</v>
      </c>
      <c r="J83" s="372">
        <v>34581</v>
      </c>
    </row>
    <row r="84" spans="1:10">
      <c r="A84" s="13">
        <v>5</v>
      </c>
      <c r="B84" s="370" t="s">
        <v>240</v>
      </c>
      <c r="C84" s="372">
        <v>129013</v>
      </c>
      <c r="D84" s="370" t="s">
        <v>465</v>
      </c>
      <c r="E84" s="372">
        <v>4071</v>
      </c>
      <c r="G84" s="370" t="s">
        <v>248</v>
      </c>
      <c r="H84" s="372">
        <v>214230</v>
      </c>
      <c r="I84" s="370" t="s">
        <v>248</v>
      </c>
      <c r="J84" s="372">
        <v>16411</v>
      </c>
    </row>
    <row r="85" spans="1:10">
      <c r="A85" s="13">
        <v>6</v>
      </c>
      <c r="B85" s="370" t="s">
        <v>11</v>
      </c>
      <c r="C85" s="372">
        <v>111887</v>
      </c>
      <c r="D85" s="370" t="s">
        <v>385</v>
      </c>
      <c r="E85" s="372">
        <v>847</v>
      </c>
      <c r="G85" s="370" t="s">
        <v>16</v>
      </c>
      <c r="H85" s="372">
        <v>177531</v>
      </c>
      <c r="I85" s="370" t="s">
        <v>465</v>
      </c>
      <c r="J85" s="372">
        <v>4202</v>
      </c>
    </row>
    <row r="86" spans="1:10">
      <c r="A86" s="13">
        <v>7</v>
      </c>
      <c r="B86" s="370" t="s">
        <v>246</v>
      </c>
      <c r="C86" s="372">
        <v>86877</v>
      </c>
      <c r="D86" s="370"/>
      <c r="E86" s="372"/>
      <c r="G86" s="370" t="s">
        <v>12</v>
      </c>
      <c r="H86" s="372">
        <v>153047</v>
      </c>
      <c r="I86" s="373" t="s">
        <v>12</v>
      </c>
      <c r="J86" s="372">
        <v>2084</v>
      </c>
    </row>
    <row r="87" spans="1:10">
      <c r="A87" s="13">
        <v>8</v>
      </c>
      <c r="B87" s="370" t="s">
        <v>462</v>
      </c>
      <c r="C87" s="372">
        <v>86355</v>
      </c>
      <c r="D87" s="370"/>
      <c r="E87" s="372"/>
      <c r="G87" s="370" t="s">
        <v>246</v>
      </c>
      <c r="H87" s="372">
        <v>126668</v>
      </c>
      <c r="I87" s="370" t="s">
        <v>247</v>
      </c>
      <c r="J87" s="372">
        <v>927</v>
      </c>
    </row>
    <row r="88" spans="1:10">
      <c r="A88" s="13">
        <v>9</v>
      </c>
      <c r="B88" s="373" t="s">
        <v>459</v>
      </c>
      <c r="C88" s="372">
        <v>64605</v>
      </c>
      <c r="D88" s="370"/>
      <c r="E88" s="372"/>
      <c r="G88" s="370" t="s">
        <v>385</v>
      </c>
      <c r="H88" s="372">
        <v>124032</v>
      </c>
      <c r="I88" s="370" t="s">
        <v>10</v>
      </c>
      <c r="J88" s="372">
        <v>130</v>
      </c>
    </row>
    <row r="89" spans="1:10">
      <c r="A89" s="13">
        <v>10</v>
      </c>
      <c r="B89" s="370" t="s">
        <v>13</v>
      </c>
      <c r="C89" s="372">
        <v>62521</v>
      </c>
      <c r="D89" s="370"/>
      <c r="E89" s="372"/>
      <c r="G89" s="370" t="s">
        <v>7</v>
      </c>
      <c r="H89" s="372">
        <v>117647</v>
      </c>
      <c r="I89" s="370" t="s">
        <v>461</v>
      </c>
      <c r="J89" s="372">
        <v>130</v>
      </c>
    </row>
    <row r="90" spans="1:10">
      <c r="B90" s="370" t="s">
        <v>105</v>
      </c>
      <c r="C90" s="372">
        <f>C91-SUM(C80:C89)</f>
        <v>513455</v>
      </c>
      <c r="D90" s="370" t="s">
        <v>105</v>
      </c>
      <c r="E90" s="372">
        <f>E91-SUM(E79:E89)</f>
        <v>0</v>
      </c>
      <c r="G90" s="370" t="s">
        <v>444</v>
      </c>
      <c r="H90" s="372">
        <f>H91-SUM(H79:H89)</f>
        <v>664867</v>
      </c>
      <c r="I90" s="370" t="s">
        <v>105</v>
      </c>
      <c r="J90" s="372">
        <f>J91-SUM(J79:J89)</f>
        <v>0</v>
      </c>
    </row>
    <row r="91" spans="1:10">
      <c r="B91" s="370" t="s">
        <v>106</v>
      </c>
      <c r="C91" s="372">
        <v>3184373</v>
      </c>
      <c r="D91" s="370" t="s">
        <v>106</v>
      </c>
      <c r="E91" s="372">
        <v>1296150</v>
      </c>
      <c r="G91" s="370" t="s">
        <v>106</v>
      </c>
      <c r="H91" s="372">
        <v>3734008</v>
      </c>
      <c r="I91" s="370" t="s">
        <v>106</v>
      </c>
      <c r="J91" s="372">
        <v>245706</v>
      </c>
    </row>
    <row r="93" spans="1:10">
      <c r="B93" s="478" t="s">
        <v>445</v>
      </c>
      <c r="G93" s="55" t="s">
        <v>402</v>
      </c>
    </row>
    <row r="94" spans="1:10">
      <c r="B94" s="30" t="s">
        <v>101</v>
      </c>
      <c r="C94" s="368" t="s">
        <v>102</v>
      </c>
      <c r="D94" s="30" t="s">
        <v>103</v>
      </c>
      <c r="E94" s="368" t="s">
        <v>104</v>
      </c>
      <c r="G94" s="30" t="s">
        <v>101</v>
      </c>
      <c r="H94" s="368" t="s">
        <v>102</v>
      </c>
      <c r="I94" s="30" t="s">
        <v>103</v>
      </c>
      <c r="J94" s="368" t="s">
        <v>104</v>
      </c>
    </row>
    <row r="95" spans="1:10">
      <c r="A95" s="13">
        <v>1</v>
      </c>
      <c r="B95" s="370" t="s">
        <v>247</v>
      </c>
      <c r="C95" s="372">
        <v>2416152</v>
      </c>
      <c r="D95" s="373" t="s">
        <v>385</v>
      </c>
      <c r="E95" s="372">
        <v>1639921</v>
      </c>
      <c r="G95" s="370" t="s">
        <v>246</v>
      </c>
      <c r="H95" s="372">
        <v>1428883</v>
      </c>
      <c r="I95" s="370" t="s">
        <v>385</v>
      </c>
      <c r="J95" s="372">
        <v>595079</v>
      </c>
    </row>
    <row r="96" spans="1:10">
      <c r="A96" s="13">
        <v>2</v>
      </c>
      <c r="B96" s="370" t="s">
        <v>461</v>
      </c>
      <c r="C96" s="372">
        <v>1254087</v>
      </c>
      <c r="D96" s="373" t="s">
        <v>467</v>
      </c>
      <c r="E96" s="372">
        <v>722210</v>
      </c>
      <c r="G96" s="370" t="s">
        <v>461</v>
      </c>
      <c r="H96" s="372">
        <v>731619</v>
      </c>
      <c r="I96" s="370" t="s">
        <v>13</v>
      </c>
      <c r="J96" s="372">
        <v>406383</v>
      </c>
    </row>
    <row r="97" spans="1:15">
      <c r="A97" s="13">
        <v>3</v>
      </c>
      <c r="B97" s="370" t="s">
        <v>240</v>
      </c>
      <c r="C97" s="372">
        <v>1081473</v>
      </c>
      <c r="D97" s="373" t="s">
        <v>240</v>
      </c>
      <c r="E97" s="372">
        <v>670009</v>
      </c>
      <c r="G97" s="370" t="s">
        <v>240</v>
      </c>
      <c r="H97" s="372">
        <v>168869</v>
      </c>
      <c r="I97" s="370" t="s">
        <v>240</v>
      </c>
      <c r="J97" s="372">
        <v>139043</v>
      </c>
    </row>
    <row r="98" spans="1:15">
      <c r="A98" s="13">
        <v>4</v>
      </c>
      <c r="B98" s="370" t="s">
        <v>464</v>
      </c>
      <c r="C98" s="372">
        <v>979618</v>
      </c>
      <c r="D98" s="373" t="s">
        <v>11</v>
      </c>
      <c r="E98" s="372">
        <v>106838</v>
      </c>
      <c r="G98" s="370" t="s">
        <v>464</v>
      </c>
      <c r="H98" s="372">
        <v>156038</v>
      </c>
      <c r="I98" s="370" t="s">
        <v>462</v>
      </c>
      <c r="J98" s="372">
        <v>11332</v>
      </c>
    </row>
    <row r="99" spans="1:15">
      <c r="A99" s="13">
        <v>5</v>
      </c>
      <c r="B99" s="370" t="s">
        <v>462</v>
      </c>
      <c r="C99" s="372">
        <v>800131</v>
      </c>
      <c r="D99" s="373" t="s">
        <v>250</v>
      </c>
      <c r="E99" s="372">
        <v>35331</v>
      </c>
      <c r="G99" s="370" t="s">
        <v>247</v>
      </c>
      <c r="H99" s="372">
        <v>114362</v>
      </c>
      <c r="I99" s="370" t="s">
        <v>11</v>
      </c>
      <c r="J99" s="372">
        <v>6512</v>
      </c>
    </row>
    <row r="100" spans="1:15">
      <c r="A100" s="13">
        <v>6</v>
      </c>
      <c r="B100" s="370" t="s">
        <v>12</v>
      </c>
      <c r="C100" s="372">
        <v>797687</v>
      </c>
      <c r="D100" s="373" t="s">
        <v>247</v>
      </c>
      <c r="E100" s="372">
        <v>28524</v>
      </c>
      <c r="G100" s="370" t="s">
        <v>298</v>
      </c>
      <c r="H100" s="372">
        <v>97688</v>
      </c>
      <c r="I100" s="370" t="s">
        <v>472</v>
      </c>
      <c r="J100" s="372">
        <v>26</v>
      </c>
    </row>
    <row r="101" spans="1:15">
      <c r="A101" s="13">
        <v>7</v>
      </c>
      <c r="B101" s="370" t="s">
        <v>246</v>
      </c>
      <c r="C101" s="372">
        <v>594985</v>
      </c>
      <c r="D101" s="373" t="s">
        <v>461</v>
      </c>
      <c r="E101" s="372">
        <v>24455</v>
      </c>
      <c r="G101" s="370" t="s">
        <v>462</v>
      </c>
      <c r="H101" s="372">
        <v>87887</v>
      </c>
      <c r="I101" s="370"/>
      <c r="J101" s="372"/>
    </row>
    <row r="102" spans="1:15">
      <c r="A102" s="13">
        <v>8</v>
      </c>
      <c r="B102" s="370" t="s">
        <v>10</v>
      </c>
      <c r="C102" s="372">
        <v>405730</v>
      </c>
      <c r="D102" s="373" t="s">
        <v>472</v>
      </c>
      <c r="E102" s="372">
        <v>16859</v>
      </c>
      <c r="G102" s="373" t="s">
        <v>459</v>
      </c>
      <c r="H102" s="372">
        <v>80494</v>
      </c>
      <c r="I102" s="370"/>
      <c r="J102" s="372"/>
    </row>
    <row r="103" spans="1:15">
      <c r="A103" s="13">
        <v>9</v>
      </c>
      <c r="B103" s="370" t="s">
        <v>466</v>
      </c>
      <c r="C103" s="372">
        <v>194725</v>
      </c>
      <c r="D103" s="373" t="s">
        <v>465</v>
      </c>
      <c r="E103" s="372">
        <v>1889</v>
      </c>
      <c r="G103" s="370" t="s">
        <v>472</v>
      </c>
      <c r="H103" s="372">
        <v>79876</v>
      </c>
      <c r="I103" s="370"/>
      <c r="J103" s="372"/>
    </row>
    <row r="104" spans="1:15">
      <c r="A104" s="13">
        <v>10</v>
      </c>
      <c r="B104" s="370" t="s">
        <v>248</v>
      </c>
      <c r="C104" s="372">
        <v>168218</v>
      </c>
      <c r="D104" s="373" t="s">
        <v>477</v>
      </c>
      <c r="E104" s="372">
        <v>619</v>
      </c>
      <c r="G104" s="370" t="s">
        <v>386</v>
      </c>
      <c r="H104" s="372">
        <v>79812</v>
      </c>
      <c r="I104" s="370"/>
      <c r="J104" s="372"/>
    </row>
    <row r="105" spans="1:15">
      <c r="B105" s="370" t="s">
        <v>105</v>
      </c>
      <c r="C105" s="372">
        <f>C106-SUM(C94:C104)</f>
        <v>1358844</v>
      </c>
      <c r="D105" s="370" t="s">
        <v>105</v>
      </c>
      <c r="E105" s="372">
        <f>E106-SUM(E94:E104)</f>
        <v>0</v>
      </c>
      <c r="G105" s="373" t="s">
        <v>422</v>
      </c>
      <c r="H105" s="372">
        <f>H106-SUM(H94:H104)</f>
        <v>485348</v>
      </c>
      <c r="I105" s="370" t="s">
        <v>105</v>
      </c>
      <c r="J105" s="372">
        <f>J106-SUM(J94:J104)</f>
        <v>0</v>
      </c>
    </row>
    <row r="106" spans="1:15">
      <c r="B106" s="370" t="s">
        <v>106</v>
      </c>
      <c r="C106" s="372">
        <v>10051650</v>
      </c>
      <c r="D106" s="370" t="s">
        <v>106</v>
      </c>
      <c r="E106" s="372">
        <v>3246655</v>
      </c>
      <c r="G106" s="370" t="s">
        <v>106</v>
      </c>
      <c r="H106" s="372">
        <v>3510876</v>
      </c>
      <c r="I106" s="370" t="s">
        <v>106</v>
      </c>
      <c r="J106" s="372">
        <v>1158375</v>
      </c>
    </row>
    <row r="108" spans="1:15">
      <c r="B108" s="478" t="s">
        <v>446</v>
      </c>
      <c r="G108" s="269" t="s">
        <v>447</v>
      </c>
      <c r="L108" s="5"/>
      <c r="M108" s="5"/>
      <c r="N108" s="5"/>
      <c r="O108" s="5"/>
    </row>
    <row r="109" spans="1:15">
      <c r="B109" s="30" t="s">
        <v>101</v>
      </c>
      <c r="C109" s="368" t="s">
        <v>102</v>
      </c>
      <c r="D109" s="30" t="s">
        <v>103</v>
      </c>
      <c r="E109" s="368" t="s">
        <v>104</v>
      </c>
      <c r="G109" s="30" t="s">
        <v>101</v>
      </c>
      <c r="H109" s="368" t="s">
        <v>102</v>
      </c>
      <c r="I109" s="30" t="s">
        <v>103</v>
      </c>
      <c r="J109" s="368" t="s">
        <v>104</v>
      </c>
      <c r="L109" s="5"/>
      <c r="M109" s="5"/>
      <c r="N109" s="5"/>
      <c r="O109" s="5"/>
    </row>
    <row r="110" spans="1:15">
      <c r="A110" s="13">
        <v>1</v>
      </c>
      <c r="B110" s="479" t="s">
        <v>240</v>
      </c>
      <c r="C110" s="372">
        <v>2055324</v>
      </c>
      <c r="D110" s="373" t="s">
        <v>385</v>
      </c>
      <c r="E110" s="372">
        <v>4674533</v>
      </c>
      <c r="G110" s="370" t="s">
        <v>247</v>
      </c>
      <c r="H110" s="372">
        <v>2411267</v>
      </c>
      <c r="I110" s="373" t="s">
        <v>385</v>
      </c>
      <c r="J110" s="372">
        <v>1343530</v>
      </c>
      <c r="L110" s="5"/>
      <c r="M110" s="5"/>
      <c r="N110" s="5"/>
      <c r="O110" s="5"/>
    </row>
    <row r="111" spans="1:15">
      <c r="A111" s="13">
        <v>2</v>
      </c>
      <c r="B111" s="479" t="s">
        <v>461</v>
      </c>
      <c r="C111" s="372">
        <v>1879258</v>
      </c>
      <c r="D111" s="373" t="s">
        <v>470</v>
      </c>
      <c r="E111" s="372">
        <v>713118</v>
      </c>
      <c r="G111" s="370" t="s">
        <v>461</v>
      </c>
      <c r="H111" s="372">
        <v>1148455</v>
      </c>
      <c r="I111" s="373" t="s">
        <v>240</v>
      </c>
      <c r="J111" s="372">
        <v>214882</v>
      </c>
      <c r="L111" s="5"/>
      <c r="M111" s="5"/>
      <c r="N111" s="5"/>
      <c r="O111" s="5"/>
    </row>
    <row r="112" spans="1:15">
      <c r="A112" s="13">
        <v>3</v>
      </c>
      <c r="B112" s="479" t="s">
        <v>247</v>
      </c>
      <c r="C112" s="372">
        <v>1838912</v>
      </c>
      <c r="D112" s="370" t="s">
        <v>240</v>
      </c>
      <c r="E112" s="372">
        <v>149512</v>
      </c>
      <c r="G112" s="370" t="s">
        <v>240</v>
      </c>
      <c r="H112" s="372">
        <v>930869</v>
      </c>
      <c r="I112" s="373" t="s">
        <v>470</v>
      </c>
      <c r="J112" s="372">
        <v>208336</v>
      </c>
      <c r="L112" s="5"/>
      <c r="M112" s="5"/>
      <c r="N112" s="5"/>
      <c r="O112" s="5"/>
    </row>
    <row r="113" spans="1:15">
      <c r="A113" s="13">
        <v>4</v>
      </c>
      <c r="B113" s="479" t="s">
        <v>464</v>
      </c>
      <c r="C113" s="372">
        <v>824974</v>
      </c>
      <c r="D113" s="370" t="s">
        <v>11</v>
      </c>
      <c r="E113" s="372">
        <v>127125</v>
      </c>
      <c r="G113" s="370" t="s">
        <v>246</v>
      </c>
      <c r="H113" s="372">
        <v>929794</v>
      </c>
      <c r="I113" s="373" t="s">
        <v>257</v>
      </c>
      <c r="J113" s="372">
        <v>40898</v>
      </c>
      <c r="L113" s="5"/>
      <c r="M113" s="5"/>
      <c r="N113" s="5"/>
      <c r="O113" s="5"/>
    </row>
    <row r="114" spans="1:15">
      <c r="A114" s="13">
        <v>5</v>
      </c>
      <c r="B114" s="479" t="s">
        <v>246</v>
      </c>
      <c r="C114" s="372">
        <v>505829</v>
      </c>
      <c r="D114" s="370" t="s">
        <v>477</v>
      </c>
      <c r="E114" s="372">
        <v>65028</v>
      </c>
      <c r="G114" s="370" t="s">
        <v>12</v>
      </c>
      <c r="H114" s="372">
        <v>537121</v>
      </c>
      <c r="I114" s="373" t="s">
        <v>11</v>
      </c>
      <c r="J114" s="372">
        <v>33312</v>
      </c>
      <c r="L114" s="5"/>
      <c r="M114" s="5"/>
      <c r="N114" s="5"/>
      <c r="O114" s="5"/>
    </row>
    <row r="115" spans="1:15">
      <c r="A115" s="13">
        <v>6</v>
      </c>
      <c r="B115" s="479" t="s">
        <v>462</v>
      </c>
      <c r="C115" s="372">
        <v>477727</v>
      </c>
      <c r="D115" s="370" t="s">
        <v>462</v>
      </c>
      <c r="E115" s="372">
        <v>32888</v>
      </c>
      <c r="G115" s="370" t="s">
        <v>464</v>
      </c>
      <c r="H115" s="372">
        <v>490199</v>
      </c>
      <c r="I115" s="373" t="s">
        <v>467</v>
      </c>
      <c r="J115" s="372">
        <v>25171</v>
      </c>
      <c r="L115" s="5"/>
      <c r="M115" s="5"/>
      <c r="N115" s="5"/>
      <c r="O115" s="5"/>
    </row>
    <row r="116" spans="1:15">
      <c r="A116" s="13">
        <v>7</v>
      </c>
      <c r="B116" s="479" t="s">
        <v>10</v>
      </c>
      <c r="C116" s="372">
        <v>392869</v>
      </c>
      <c r="D116" s="370" t="s">
        <v>465</v>
      </c>
      <c r="E116" s="372">
        <v>27482</v>
      </c>
      <c r="G116" s="370" t="s">
        <v>10</v>
      </c>
      <c r="H116" s="372">
        <v>402051</v>
      </c>
      <c r="I116" s="373" t="s">
        <v>12</v>
      </c>
      <c r="J116" s="372">
        <v>15923</v>
      </c>
      <c r="L116" s="5"/>
      <c r="M116" s="5"/>
      <c r="N116" s="5"/>
      <c r="O116" s="5"/>
    </row>
    <row r="117" spans="1:15">
      <c r="A117" s="13">
        <v>8</v>
      </c>
      <c r="B117" s="479" t="s">
        <v>11</v>
      </c>
      <c r="C117" s="372">
        <v>328493</v>
      </c>
      <c r="D117" s="370" t="s">
        <v>475</v>
      </c>
      <c r="E117" s="372">
        <v>14556</v>
      </c>
      <c r="G117" s="370" t="s">
        <v>462</v>
      </c>
      <c r="H117" s="372">
        <v>288929</v>
      </c>
      <c r="I117" s="373" t="s">
        <v>250</v>
      </c>
      <c r="J117" s="372">
        <v>2703</v>
      </c>
      <c r="L117" s="5"/>
      <c r="M117" s="5"/>
      <c r="N117" s="5"/>
      <c r="O117" s="5"/>
    </row>
    <row r="118" spans="1:15">
      <c r="A118" s="13">
        <v>9</v>
      </c>
      <c r="B118" s="479" t="s">
        <v>298</v>
      </c>
      <c r="C118" s="372">
        <v>228005</v>
      </c>
      <c r="D118" s="370"/>
      <c r="E118" s="372"/>
      <c r="G118" s="370" t="s">
        <v>248</v>
      </c>
      <c r="H118" s="372">
        <v>214719</v>
      </c>
      <c r="I118" s="373" t="s">
        <v>461</v>
      </c>
      <c r="J118" s="372">
        <v>1954</v>
      </c>
      <c r="L118" s="5"/>
      <c r="M118" s="5"/>
      <c r="N118" s="5"/>
      <c r="O118" s="5"/>
    </row>
    <row r="119" spans="1:15">
      <c r="A119" s="13">
        <v>10</v>
      </c>
      <c r="B119" s="479" t="s">
        <v>270</v>
      </c>
      <c r="C119" s="372">
        <v>219472</v>
      </c>
      <c r="D119" s="370"/>
      <c r="E119" s="372"/>
      <c r="G119" s="370" t="s">
        <v>463</v>
      </c>
      <c r="H119" s="372">
        <v>175187</v>
      </c>
      <c r="I119" s="373" t="s">
        <v>472</v>
      </c>
      <c r="J119" s="372">
        <v>1758</v>
      </c>
      <c r="L119" s="5"/>
      <c r="M119" s="5"/>
      <c r="N119" s="5"/>
      <c r="O119" s="5"/>
    </row>
    <row r="120" spans="1:15">
      <c r="B120" s="370" t="s">
        <v>105</v>
      </c>
      <c r="C120" s="372">
        <f>C121-SUM(C109:C119)</f>
        <v>1450022</v>
      </c>
      <c r="D120" s="370" t="s">
        <v>105</v>
      </c>
      <c r="E120" s="372">
        <f>E121-SUM(E109:E119)</f>
        <v>0</v>
      </c>
      <c r="G120" s="370" t="s">
        <v>422</v>
      </c>
      <c r="H120" s="372">
        <f>H121-SUM(H109:H119)</f>
        <v>1388997</v>
      </c>
      <c r="I120" s="375" t="s">
        <v>105</v>
      </c>
      <c r="J120" s="372">
        <f>J121-SUM(J109:J119)</f>
        <v>293</v>
      </c>
      <c r="L120" s="5"/>
      <c r="M120" s="5"/>
      <c r="N120" s="5"/>
      <c r="O120" s="5"/>
    </row>
    <row r="121" spans="1:15">
      <c r="B121" s="370" t="s">
        <v>106</v>
      </c>
      <c r="C121" s="372">
        <v>10200885</v>
      </c>
      <c r="D121" s="370" t="s">
        <v>106</v>
      </c>
      <c r="E121" s="372">
        <v>5804242</v>
      </c>
      <c r="G121" s="370" t="s">
        <v>106</v>
      </c>
      <c r="H121" s="372">
        <v>8917588</v>
      </c>
      <c r="I121" s="370" t="s">
        <v>106</v>
      </c>
      <c r="J121" s="372">
        <v>1888760</v>
      </c>
    </row>
    <row r="122" spans="1:15">
      <c r="G122" s="5"/>
      <c r="H122" s="97"/>
      <c r="I122" s="5"/>
      <c r="J122" s="97"/>
    </row>
    <row r="123" spans="1:15">
      <c r="B123" s="478" t="s">
        <v>448</v>
      </c>
      <c r="G123" s="55" t="s">
        <v>449</v>
      </c>
    </row>
    <row r="124" spans="1:15">
      <c r="B124" s="30" t="s">
        <v>101</v>
      </c>
      <c r="C124" s="368" t="s">
        <v>102</v>
      </c>
      <c r="D124" s="30" t="s">
        <v>103</v>
      </c>
      <c r="E124" s="368" t="s">
        <v>104</v>
      </c>
      <c r="G124" s="30" t="s">
        <v>101</v>
      </c>
      <c r="H124" s="368" t="s">
        <v>102</v>
      </c>
      <c r="I124" s="30" t="s">
        <v>103</v>
      </c>
      <c r="J124" s="368" t="s">
        <v>104</v>
      </c>
    </row>
    <row r="125" spans="1:15">
      <c r="A125" s="13">
        <v>1</v>
      </c>
      <c r="B125" s="370" t="s">
        <v>247</v>
      </c>
      <c r="C125" s="372">
        <v>195768</v>
      </c>
      <c r="D125" s="373" t="s">
        <v>462</v>
      </c>
      <c r="E125" s="372">
        <v>42526</v>
      </c>
      <c r="G125" s="370" t="s">
        <v>247</v>
      </c>
      <c r="H125" s="372">
        <v>599773</v>
      </c>
      <c r="I125" s="373" t="s">
        <v>240</v>
      </c>
      <c r="J125" s="372">
        <v>370142</v>
      </c>
    </row>
    <row r="126" spans="1:15">
      <c r="A126" s="13">
        <v>2</v>
      </c>
      <c r="B126" s="370" t="s">
        <v>476</v>
      </c>
      <c r="C126" s="372">
        <v>88929</v>
      </c>
      <c r="D126" s="370" t="s">
        <v>467</v>
      </c>
      <c r="E126" s="372">
        <v>42267</v>
      </c>
      <c r="G126" s="370" t="s">
        <v>271</v>
      </c>
      <c r="H126" s="372">
        <v>379291</v>
      </c>
      <c r="I126" s="370" t="s">
        <v>462</v>
      </c>
      <c r="J126" s="372">
        <v>31487</v>
      </c>
    </row>
    <row r="127" spans="1:15">
      <c r="A127" s="13">
        <v>3</v>
      </c>
      <c r="B127" s="370" t="s">
        <v>240</v>
      </c>
      <c r="C127" s="372">
        <v>26897</v>
      </c>
      <c r="D127" s="370" t="s">
        <v>240</v>
      </c>
      <c r="E127" s="372">
        <v>10844</v>
      </c>
      <c r="G127" s="370" t="s">
        <v>259</v>
      </c>
      <c r="H127" s="372">
        <v>303939</v>
      </c>
      <c r="I127" s="370" t="s">
        <v>463</v>
      </c>
      <c r="J127" s="372">
        <v>10387</v>
      </c>
    </row>
    <row r="128" spans="1:15">
      <c r="A128" s="13">
        <v>4</v>
      </c>
      <c r="B128" s="370" t="s">
        <v>246</v>
      </c>
      <c r="C128" s="372">
        <v>24259</v>
      </c>
      <c r="D128" s="370"/>
      <c r="E128" s="372"/>
      <c r="G128" s="370" t="s">
        <v>464</v>
      </c>
      <c r="H128" s="372">
        <v>170920</v>
      </c>
      <c r="I128" s="370"/>
      <c r="J128" s="372"/>
    </row>
    <row r="129" spans="1:15">
      <c r="A129" s="13">
        <v>5</v>
      </c>
      <c r="B129" s="370" t="s">
        <v>473</v>
      </c>
      <c r="C129" s="372">
        <v>21296</v>
      </c>
      <c r="D129" s="370"/>
      <c r="E129" s="372"/>
      <c r="G129" s="370" t="s">
        <v>461</v>
      </c>
      <c r="H129" s="372">
        <v>160077</v>
      </c>
      <c r="I129" s="370"/>
      <c r="J129" s="372"/>
    </row>
    <row r="130" spans="1:15">
      <c r="A130" s="13">
        <v>6</v>
      </c>
      <c r="B130" s="370" t="s">
        <v>520</v>
      </c>
      <c r="C130" s="372">
        <v>11006</v>
      </c>
      <c r="D130" s="370"/>
      <c r="E130" s="372"/>
      <c r="G130" s="370" t="s">
        <v>10</v>
      </c>
      <c r="H130" s="372">
        <v>146271</v>
      </c>
      <c r="I130" s="370"/>
      <c r="J130" s="372"/>
    </row>
    <row r="131" spans="1:15">
      <c r="A131" s="13">
        <v>7</v>
      </c>
      <c r="B131" s="373" t="s">
        <v>270</v>
      </c>
      <c r="C131" s="372">
        <v>8727</v>
      </c>
      <c r="D131" s="370"/>
      <c r="E131" s="372"/>
      <c r="G131" s="370" t="s">
        <v>462</v>
      </c>
      <c r="H131" s="372">
        <v>91601</v>
      </c>
      <c r="I131" s="370"/>
      <c r="J131" s="372"/>
    </row>
    <row r="132" spans="1:15">
      <c r="A132" s="13">
        <v>8</v>
      </c>
      <c r="B132" s="370" t="s">
        <v>462</v>
      </c>
      <c r="C132" s="372">
        <v>8466</v>
      </c>
      <c r="D132" s="370"/>
      <c r="E132" s="372"/>
      <c r="G132" s="370" t="s">
        <v>12</v>
      </c>
      <c r="H132" s="372">
        <v>89222</v>
      </c>
      <c r="I132" s="370"/>
      <c r="J132" s="372"/>
    </row>
    <row r="133" spans="1:15">
      <c r="A133" s="13">
        <v>9</v>
      </c>
      <c r="B133" s="370" t="s">
        <v>11</v>
      </c>
      <c r="C133" s="372">
        <v>7750</v>
      </c>
      <c r="D133" s="370"/>
      <c r="E133" s="372"/>
      <c r="G133" s="370" t="s">
        <v>240</v>
      </c>
      <c r="H133" s="372">
        <v>73494</v>
      </c>
      <c r="I133" s="370"/>
      <c r="J133" s="372"/>
    </row>
    <row r="134" spans="1:15">
      <c r="A134" s="13">
        <v>10</v>
      </c>
      <c r="B134" s="370" t="s">
        <v>467</v>
      </c>
      <c r="C134" s="372">
        <v>7555</v>
      </c>
      <c r="D134" s="94"/>
      <c r="E134" s="27"/>
      <c r="G134" s="370" t="s">
        <v>246</v>
      </c>
      <c r="H134" s="372">
        <v>66591</v>
      </c>
      <c r="I134" s="370"/>
      <c r="J134" s="372"/>
    </row>
    <row r="135" spans="1:15">
      <c r="B135" s="373" t="s">
        <v>422</v>
      </c>
      <c r="C135" s="372">
        <f>C136-SUM(C125:C134)</f>
        <v>41390</v>
      </c>
      <c r="D135" s="370" t="s">
        <v>105</v>
      </c>
      <c r="E135" s="372">
        <f>E136-SUM(E125:E134)</f>
        <v>0</v>
      </c>
      <c r="G135" s="370" t="s">
        <v>105</v>
      </c>
      <c r="H135" s="372">
        <f>H136-SUM(H125:H134)</f>
        <v>369880</v>
      </c>
      <c r="I135" s="370" t="s">
        <v>105</v>
      </c>
      <c r="J135" s="372">
        <f>J136-SUM(J125:J134)</f>
        <v>0</v>
      </c>
    </row>
    <row r="136" spans="1:15">
      <c r="B136" s="370" t="s">
        <v>106</v>
      </c>
      <c r="C136" s="372">
        <v>442043</v>
      </c>
      <c r="D136" s="370" t="s">
        <v>106</v>
      </c>
      <c r="E136" s="372">
        <v>95637</v>
      </c>
      <c r="G136" s="370" t="s">
        <v>106</v>
      </c>
      <c r="H136" s="372">
        <v>2451059</v>
      </c>
      <c r="I136" s="370" t="s">
        <v>106</v>
      </c>
      <c r="J136" s="372">
        <v>412016</v>
      </c>
    </row>
    <row r="138" spans="1:15">
      <c r="B138" s="55" t="s">
        <v>450</v>
      </c>
      <c r="G138" s="478" t="s">
        <v>430</v>
      </c>
      <c r="L138" s="5"/>
      <c r="M138" s="5"/>
      <c r="N138" s="5"/>
      <c r="O138" s="5"/>
    </row>
    <row r="139" spans="1:15">
      <c r="B139" s="30" t="s">
        <v>101</v>
      </c>
      <c r="C139" s="368" t="s">
        <v>102</v>
      </c>
      <c r="D139" s="30" t="s">
        <v>103</v>
      </c>
      <c r="E139" s="368" t="s">
        <v>104</v>
      </c>
      <c r="G139" s="30" t="s">
        <v>101</v>
      </c>
      <c r="H139" s="368" t="s">
        <v>102</v>
      </c>
      <c r="I139" s="30" t="s">
        <v>103</v>
      </c>
      <c r="J139" s="368" t="s">
        <v>104</v>
      </c>
      <c r="L139" s="5"/>
      <c r="M139" s="5"/>
      <c r="N139" s="5"/>
      <c r="O139" s="5"/>
    </row>
    <row r="140" spans="1:15">
      <c r="A140" s="13">
        <v>1</v>
      </c>
      <c r="B140" s="373" t="s">
        <v>461</v>
      </c>
      <c r="C140" s="372">
        <v>1171961</v>
      </c>
      <c r="D140" s="370" t="s">
        <v>240</v>
      </c>
      <c r="E140" s="372">
        <v>1006516</v>
      </c>
      <c r="G140" s="370" t="s">
        <v>247</v>
      </c>
      <c r="H140" s="372">
        <v>1008207</v>
      </c>
      <c r="I140" s="370" t="s">
        <v>240</v>
      </c>
      <c r="J140" s="372">
        <v>1526291</v>
      </c>
      <c r="L140" s="5"/>
      <c r="M140" s="5"/>
      <c r="N140" s="5"/>
      <c r="O140" s="5"/>
    </row>
    <row r="141" spans="1:15">
      <c r="A141" s="13">
        <v>2</v>
      </c>
      <c r="B141" s="373" t="s">
        <v>247</v>
      </c>
      <c r="C141" s="372">
        <v>796947</v>
      </c>
      <c r="D141" s="370" t="s">
        <v>465</v>
      </c>
      <c r="E141" s="372">
        <v>22533</v>
      </c>
      <c r="G141" s="370" t="s">
        <v>461</v>
      </c>
      <c r="H141" s="372">
        <v>678541</v>
      </c>
      <c r="I141" s="370" t="s">
        <v>462</v>
      </c>
      <c r="J141" s="372">
        <v>484858</v>
      </c>
      <c r="L141" s="5"/>
      <c r="M141" s="5"/>
      <c r="N141" s="5"/>
      <c r="O141" s="5"/>
    </row>
    <row r="142" spans="1:15">
      <c r="A142" s="13">
        <v>3</v>
      </c>
      <c r="B142" s="373" t="s">
        <v>246</v>
      </c>
      <c r="C142" s="372">
        <v>425141</v>
      </c>
      <c r="D142" s="370" t="s">
        <v>519</v>
      </c>
      <c r="E142" s="372">
        <v>5177</v>
      </c>
      <c r="G142" s="370" t="s">
        <v>246</v>
      </c>
      <c r="H142" s="372">
        <v>398828</v>
      </c>
      <c r="I142" s="370" t="s">
        <v>468</v>
      </c>
      <c r="J142" s="372">
        <v>10094</v>
      </c>
      <c r="L142" s="5"/>
      <c r="M142" s="5"/>
      <c r="N142" s="5"/>
      <c r="O142" s="5"/>
    </row>
    <row r="143" spans="1:15">
      <c r="A143" s="13">
        <v>4</v>
      </c>
      <c r="B143" s="373" t="s">
        <v>10</v>
      </c>
      <c r="C143" s="372">
        <v>350504</v>
      </c>
      <c r="D143" s="370" t="s">
        <v>470</v>
      </c>
      <c r="E143" s="372">
        <v>4494</v>
      </c>
      <c r="G143" s="370" t="s">
        <v>463</v>
      </c>
      <c r="H143" s="372">
        <v>347445</v>
      </c>
      <c r="I143" s="370" t="s">
        <v>465</v>
      </c>
      <c r="J143" s="372">
        <v>8010</v>
      </c>
      <c r="L143" s="5"/>
      <c r="M143" s="5"/>
      <c r="N143" s="5"/>
      <c r="O143" s="5"/>
    </row>
    <row r="144" spans="1:15">
      <c r="A144" s="13">
        <v>5</v>
      </c>
      <c r="B144" s="373" t="s">
        <v>16</v>
      </c>
      <c r="C144" s="372">
        <v>288961</v>
      </c>
      <c r="D144" s="370" t="s">
        <v>468</v>
      </c>
      <c r="E144" s="372">
        <v>1074</v>
      </c>
      <c r="G144" s="370" t="s">
        <v>240</v>
      </c>
      <c r="H144" s="372">
        <v>294694</v>
      </c>
      <c r="I144" s="370" t="s">
        <v>385</v>
      </c>
      <c r="J144" s="372">
        <v>1921</v>
      </c>
      <c r="L144" s="5"/>
      <c r="M144" s="5"/>
      <c r="N144" s="5"/>
      <c r="O144" s="5"/>
    </row>
    <row r="145" spans="1:15">
      <c r="A145" s="13">
        <v>6</v>
      </c>
      <c r="B145" s="373" t="s">
        <v>464</v>
      </c>
      <c r="C145" s="372">
        <v>230933</v>
      </c>
      <c r="D145" s="370" t="s">
        <v>462</v>
      </c>
      <c r="E145" s="372">
        <v>131</v>
      </c>
      <c r="G145" s="370" t="s">
        <v>464</v>
      </c>
      <c r="H145" s="372">
        <v>214360</v>
      </c>
      <c r="I145" s="370" t="s">
        <v>247</v>
      </c>
      <c r="J145" s="372">
        <v>716</v>
      </c>
      <c r="L145" s="5"/>
      <c r="M145" s="5"/>
      <c r="N145" s="5"/>
      <c r="O145" s="5"/>
    </row>
    <row r="146" spans="1:15">
      <c r="A146" s="13">
        <v>7</v>
      </c>
      <c r="B146" s="373" t="s">
        <v>271</v>
      </c>
      <c r="C146" s="372">
        <v>222208</v>
      </c>
      <c r="D146" s="370"/>
      <c r="E146" s="372"/>
      <c r="G146" s="370" t="s">
        <v>7</v>
      </c>
      <c r="H146" s="372">
        <v>171149</v>
      </c>
      <c r="I146" s="370"/>
      <c r="J146" s="372"/>
      <c r="L146" s="5"/>
      <c r="M146" s="5"/>
      <c r="N146" s="5"/>
      <c r="O146" s="5"/>
    </row>
    <row r="147" spans="1:15">
      <c r="A147" s="13">
        <v>8</v>
      </c>
      <c r="B147" s="373" t="s">
        <v>462</v>
      </c>
      <c r="C147" s="372">
        <v>185997</v>
      </c>
      <c r="D147" s="370"/>
      <c r="E147" s="372"/>
      <c r="G147" s="370" t="s">
        <v>16</v>
      </c>
      <c r="H147" s="372">
        <v>124683</v>
      </c>
      <c r="I147" s="370"/>
      <c r="J147" s="372"/>
      <c r="L147" s="5"/>
      <c r="M147" s="5"/>
      <c r="N147" s="5"/>
      <c r="O147" s="5"/>
    </row>
    <row r="148" spans="1:15">
      <c r="A148" s="13">
        <v>9</v>
      </c>
      <c r="B148" s="373" t="s">
        <v>248</v>
      </c>
      <c r="C148" s="372">
        <v>181635</v>
      </c>
      <c r="D148" s="370"/>
      <c r="E148" s="372"/>
      <c r="G148" s="370" t="s">
        <v>469</v>
      </c>
      <c r="H148" s="372">
        <v>110517</v>
      </c>
      <c r="I148" s="370"/>
      <c r="J148" s="372"/>
      <c r="L148" s="5"/>
      <c r="M148" s="5"/>
      <c r="N148" s="5"/>
      <c r="O148" s="5"/>
    </row>
    <row r="149" spans="1:15">
      <c r="A149" s="13">
        <v>10</v>
      </c>
      <c r="B149" s="373" t="s">
        <v>240</v>
      </c>
      <c r="C149" s="372">
        <v>106351</v>
      </c>
      <c r="D149" s="370"/>
      <c r="E149" s="372"/>
      <c r="G149" s="370" t="s">
        <v>11</v>
      </c>
      <c r="H149" s="372">
        <v>91436</v>
      </c>
      <c r="I149" s="370"/>
      <c r="J149" s="372"/>
      <c r="L149" s="5"/>
      <c r="M149" s="5"/>
      <c r="N149" s="5"/>
      <c r="O149" s="5"/>
    </row>
    <row r="150" spans="1:15">
      <c r="B150" s="370" t="s">
        <v>444</v>
      </c>
      <c r="C150" s="372">
        <f>C151-SUM(C139:C149)</f>
        <v>842046</v>
      </c>
      <c r="D150" s="370" t="s">
        <v>105</v>
      </c>
      <c r="E150" s="372">
        <f>E151-SUM(E140:E149)</f>
        <v>0</v>
      </c>
      <c r="G150" s="370" t="s">
        <v>451</v>
      </c>
      <c r="H150" s="372">
        <f>H151-SUM(H140:H149)</f>
        <v>910285</v>
      </c>
      <c r="I150" s="370" t="s">
        <v>105</v>
      </c>
      <c r="J150" s="372">
        <f>J151-SUM(J140:J149)</f>
        <v>0</v>
      </c>
      <c r="L150" s="5"/>
      <c r="M150" s="5"/>
      <c r="N150" s="5"/>
      <c r="O150" s="5"/>
    </row>
    <row r="151" spans="1:15">
      <c r="B151" s="370" t="s">
        <v>106</v>
      </c>
      <c r="C151" s="372">
        <v>4802684</v>
      </c>
      <c r="D151" s="370" t="s">
        <v>106</v>
      </c>
      <c r="E151" s="372">
        <v>1039925</v>
      </c>
      <c r="G151" s="370" t="s">
        <v>106</v>
      </c>
      <c r="H151" s="372">
        <v>4350145</v>
      </c>
      <c r="I151" s="370" t="s">
        <v>106</v>
      </c>
      <c r="J151" s="372">
        <v>2031890</v>
      </c>
      <c r="L151" s="5"/>
      <c r="M151" s="5"/>
      <c r="N151" s="5"/>
      <c r="O151" s="5"/>
    </row>
    <row r="153" spans="1:15">
      <c r="B153" s="478" t="s">
        <v>452</v>
      </c>
      <c r="G153" s="478" t="s">
        <v>431</v>
      </c>
    </row>
    <row r="154" spans="1:15">
      <c r="B154" s="30" t="s">
        <v>101</v>
      </c>
      <c r="C154" s="368" t="s">
        <v>102</v>
      </c>
      <c r="D154" s="30" t="s">
        <v>103</v>
      </c>
      <c r="E154" s="368" t="s">
        <v>104</v>
      </c>
      <c r="G154" s="30" t="s">
        <v>101</v>
      </c>
      <c r="H154" s="368" t="s">
        <v>102</v>
      </c>
      <c r="I154" s="30" t="s">
        <v>103</v>
      </c>
      <c r="J154" s="368" t="s">
        <v>104</v>
      </c>
    </row>
    <row r="155" spans="1:15">
      <c r="A155" s="13">
        <v>1</v>
      </c>
      <c r="B155" s="373" t="s">
        <v>461</v>
      </c>
      <c r="C155" s="372">
        <v>1414623</v>
      </c>
      <c r="D155" s="479" t="s">
        <v>240</v>
      </c>
      <c r="E155" s="372">
        <v>413779</v>
      </c>
      <c r="G155" s="370" t="s">
        <v>461</v>
      </c>
      <c r="H155" s="372">
        <v>177402</v>
      </c>
      <c r="I155" s="370" t="s">
        <v>240</v>
      </c>
      <c r="J155" s="372">
        <v>94098</v>
      </c>
    </row>
    <row r="156" spans="1:15">
      <c r="A156" s="13">
        <v>2</v>
      </c>
      <c r="B156" s="370" t="s">
        <v>240</v>
      </c>
      <c r="C156" s="372">
        <v>940317</v>
      </c>
      <c r="D156" s="479" t="s">
        <v>469</v>
      </c>
      <c r="E156" s="372">
        <v>381976</v>
      </c>
      <c r="G156" s="370" t="s">
        <v>304</v>
      </c>
      <c r="H156" s="372">
        <v>117682</v>
      </c>
      <c r="I156" s="370" t="s">
        <v>462</v>
      </c>
      <c r="J156" s="372">
        <v>63370</v>
      </c>
    </row>
    <row r="157" spans="1:15">
      <c r="A157" s="13">
        <v>3</v>
      </c>
      <c r="B157" s="370" t="s">
        <v>247</v>
      </c>
      <c r="C157" s="372">
        <v>565548</v>
      </c>
      <c r="D157" s="479" t="s">
        <v>462</v>
      </c>
      <c r="E157" s="372">
        <v>377629</v>
      </c>
      <c r="G157" s="370" t="s">
        <v>16</v>
      </c>
      <c r="H157" s="372">
        <v>82350</v>
      </c>
      <c r="I157" s="370" t="s">
        <v>247</v>
      </c>
      <c r="J157" s="372">
        <v>25724</v>
      </c>
    </row>
    <row r="158" spans="1:15">
      <c r="A158" s="13">
        <v>4</v>
      </c>
      <c r="B158" s="370" t="s">
        <v>246</v>
      </c>
      <c r="C158" s="372">
        <v>340248</v>
      </c>
      <c r="D158" s="479" t="s">
        <v>470</v>
      </c>
      <c r="E158" s="372">
        <v>279943</v>
      </c>
      <c r="G158" s="370" t="s">
        <v>278</v>
      </c>
      <c r="H158" s="372">
        <v>28232</v>
      </c>
      <c r="I158" s="370" t="s">
        <v>469</v>
      </c>
      <c r="J158" s="372">
        <v>9756</v>
      </c>
    </row>
    <row r="159" spans="1:15">
      <c r="A159" s="13">
        <v>5</v>
      </c>
      <c r="B159" s="370" t="s">
        <v>386</v>
      </c>
      <c r="C159" s="372">
        <v>327353</v>
      </c>
      <c r="D159" s="479" t="s">
        <v>247</v>
      </c>
      <c r="E159" s="372">
        <v>230023</v>
      </c>
      <c r="G159" s="370" t="s">
        <v>11</v>
      </c>
      <c r="H159" s="372">
        <v>22826</v>
      </c>
      <c r="I159" s="370" t="s">
        <v>470</v>
      </c>
      <c r="J159" s="372">
        <v>2149</v>
      </c>
    </row>
    <row r="160" spans="1:15">
      <c r="A160" s="13">
        <v>6</v>
      </c>
      <c r="B160" s="370" t="s">
        <v>298</v>
      </c>
      <c r="C160" s="372">
        <v>285640</v>
      </c>
      <c r="D160" s="479" t="s">
        <v>385</v>
      </c>
      <c r="E160" s="372">
        <v>28590</v>
      </c>
      <c r="G160" s="370" t="s">
        <v>521</v>
      </c>
      <c r="H160" s="372">
        <v>22631</v>
      </c>
      <c r="I160" s="370" t="s">
        <v>465</v>
      </c>
      <c r="J160" s="372">
        <v>287</v>
      </c>
    </row>
    <row r="161" spans="1:10">
      <c r="A161" s="13">
        <v>7</v>
      </c>
      <c r="B161" s="370" t="s">
        <v>16</v>
      </c>
      <c r="C161" s="372">
        <v>259915</v>
      </c>
      <c r="D161" s="479" t="s">
        <v>475</v>
      </c>
      <c r="E161" s="372">
        <v>12602</v>
      </c>
      <c r="G161" s="370" t="s">
        <v>385</v>
      </c>
      <c r="H161" s="372">
        <v>19927</v>
      </c>
      <c r="I161" s="370"/>
      <c r="J161" s="372"/>
    </row>
    <row r="162" spans="1:10">
      <c r="A162" s="13">
        <v>8</v>
      </c>
      <c r="B162" s="370" t="s">
        <v>464</v>
      </c>
      <c r="C162" s="372">
        <v>203028</v>
      </c>
      <c r="D162" s="479" t="s">
        <v>11</v>
      </c>
      <c r="E162" s="372">
        <v>4689</v>
      </c>
      <c r="G162" s="370" t="s">
        <v>240</v>
      </c>
      <c r="H162" s="372">
        <v>18692</v>
      </c>
      <c r="I162" s="370"/>
      <c r="J162" s="372"/>
    </row>
    <row r="163" spans="1:10">
      <c r="A163" s="13">
        <v>9</v>
      </c>
      <c r="B163" s="370" t="s">
        <v>466</v>
      </c>
      <c r="C163" s="372">
        <v>192836</v>
      </c>
      <c r="D163" s="479" t="s">
        <v>465</v>
      </c>
      <c r="E163" s="372">
        <v>2410</v>
      </c>
      <c r="G163" s="370" t="s">
        <v>386</v>
      </c>
      <c r="H163" s="372">
        <v>18561</v>
      </c>
      <c r="I163" s="370"/>
      <c r="J163" s="372"/>
    </row>
    <row r="164" spans="1:10">
      <c r="A164" s="13">
        <v>10</v>
      </c>
      <c r="B164" s="370" t="s">
        <v>13</v>
      </c>
      <c r="C164" s="372">
        <v>189971</v>
      </c>
      <c r="D164" s="479" t="s">
        <v>248</v>
      </c>
      <c r="E164" s="372">
        <v>33</v>
      </c>
      <c r="G164" s="373" t="s">
        <v>459</v>
      </c>
      <c r="H164" s="372">
        <v>13807</v>
      </c>
      <c r="I164" s="370"/>
      <c r="J164" s="372"/>
    </row>
    <row r="165" spans="1:10">
      <c r="B165" s="370" t="s">
        <v>453</v>
      </c>
      <c r="C165" s="372">
        <f>C166-SUM(C155:C164)</f>
        <v>1718721</v>
      </c>
      <c r="D165" s="370" t="s">
        <v>105</v>
      </c>
      <c r="E165" s="372">
        <f>E166-SUM(E155:E164)</f>
        <v>0</v>
      </c>
      <c r="G165" s="370" t="s">
        <v>105</v>
      </c>
      <c r="H165" s="372">
        <f>H166-SUM(H155:H164)</f>
        <v>77337</v>
      </c>
      <c r="I165" s="370" t="s">
        <v>105</v>
      </c>
      <c r="J165" s="372">
        <f>J166-SUM(J155:J164)</f>
        <v>0</v>
      </c>
    </row>
    <row r="166" spans="1:10">
      <c r="B166" s="370" t="s">
        <v>106</v>
      </c>
      <c r="C166" s="372">
        <v>6438200</v>
      </c>
      <c r="D166" s="370" t="s">
        <v>106</v>
      </c>
      <c r="E166" s="372">
        <v>1731674</v>
      </c>
      <c r="G166" s="370" t="s">
        <v>106</v>
      </c>
      <c r="H166" s="372">
        <v>599447</v>
      </c>
      <c r="I166" s="370" t="s">
        <v>106</v>
      </c>
      <c r="J166" s="372">
        <v>195384</v>
      </c>
    </row>
    <row r="167" spans="1:10" ht="9.75" customHeight="1">
      <c r="B167" s="374"/>
    </row>
    <row r="168" spans="1:10">
      <c r="B168" s="54" t="s">
        <v>414</v>
      </c>
      <c r="C168" s="97"/>
      <c r="D168" s="5"/>
      <c r="E168" s="97"/>
      <c r="F168" s="5"/>
      <c r="G168" s="5"/>
      <c r="H168" s="97"/>
      <c r="I168" s="5"/>
      <c r="J168" s="97"/>
    </row>
    <row r="169" spans="1:10">
      <c r="B169" s="5"/>
      <c r="C169" s="97"/>
      <c r="D169" s="5"/>
      <c r="E169" s="97"/>
      <c r="F169" s="5"/>
      <c r="G169" s="5"/>
      <c r="H169" s="97"/>
      <c r="I169" s="5"/>
      <c r="J169" s="97"/>
    </row>
    <row r="170" spans="1:10">
      <c r="B170" s="5"/>
      <c r="C170" s="97"/>
      <c r="D170" s="5"/>
      <c r="E170" s="97"/>
      <c r="F170" s="5"/>
      <c r="G170" s="5"/>
      <c r="H170" s="97"/>
      <c r="I170" s="5"/>
      <c r="J170" s="97"/>
    </row>
    <row r="171" spans="1:10">
      <c r="B171" s="5"/>
      <c r="C171" s="97"/>
      <c r="D171" s="5"/>
      <c r="E171" s="97"/>
      <c r="F171" s="5"/>
      <c r="G171" s="5"/>
      <c r="H171" s="97"/>
      <c r="I171" s="5"/>
      <c r="J171" s="97"/>
    </row>
    <row r="172" spans="1:10">
      <c r="B172" s="5"/>
      <c r="C172" s="97"/>
      <c r="D172" s="5"/>
      <c r="E172" s="97"/>
      <c r="F172" s="5"/>
      <c r="G172" s="5"/>
      <c r="H172" s="97"/>
      <c r="I172" s="5"/>
      <c r="J172" s="97"/>
    </row>
    <row r="173" spans="1:10">
      <c r="B173" s="5"/>
      <c r="C173" s="97"/>
      <c r="D173" s="5"/>
      <c r="E173" s="97"/>
      <c r="F173" s="5"/>
      <c r="G173" s="5"/>
      <c r="H173" s="97"/>
      <c r="I173" s="5"/>
      <c r="J173" s="97"/>
    </row>
    <row r="174" spans="1:10">
      <c r="B174" s="5"/>
      <c r="C174" s="97"/>
      <c r="D174" s="5"/>
      <c r="E174" s="97"/>
      <c r="F174" s="5"/>
      <c r="G174" s="5"/>
      <c r="H174" s="97"/>
      <c r="I174" s="5"/>
      <c r="J174" s="97"/>
    </row>
    <row r="175" spans="1:10">
      <c r="B175" s="5"/>
      <c r="C175" s="97"/>
      <c r="D175" s="5"/>
      <c r="E175" s="97"/>
      <c r="F175" s="5"/>
      <c r="G175" s="5"/>
      <c r="H175" s="97"/>
      <c r="I175" s="5"/>
      <c r="J175" s="97"/>
    </row>
    <row r="176" spans="1:10">
      <c r="B176" s="5"/>
      <c r="C176" s="97"/>
      <c r="D176" s="5"/>
      <c r="E176" s="97"/>
      <c r="F176" s="5"/>
      <c r="G176" s="5"/>
      <c r="H176" s="97"/>
      <c r="I176" s="5"/>
      <c r="J176" s="97"/>
    </row>
    <row r="177" spans="2:10">
      <c r="B177" s="5"/>
      <c r="C177" s="97"/>
      <c r="D177" s="5"/>
      <c r="E177" s="97"/>
      <c r="F177" s="5"/>
      <c r="G177" s="5"/>
      <c r="H177" s="97"/>
      <c r="I177" s="5"/>
      <c r="J177" s="97"/>
    </row>
    <row r="178" spans="2:10">
      <c r="B178" s="5"/>
      <c r="C178" s="97"/>
      <c r="D178" s="5"/>
      <c r="E178" s="97"/>
      <c r="F178" s="5"/>
      <c r="G178" s="5"/>
      <c r="H178" s="97"/>
      <c r="I178" s="5"/>
      <c r="J178" s="97"/>
    </row>
    <row r="179" spans="2:10">
      <c r="B179" s="5"/>
      <c r="C179" s="97"/>
      <c r="D179" s="5"/>
      <c r="E179" s="97"/>
      <c r="F179" s="5"/>
      <c r="G179" s="5"/>
      <c r="H179" s="97"/>
      <c r="I179" s="5"/>
      <c r="J179" s="97"/>
    </row>
  </sheetData>
  <phoneticPr fontId="3" type="noConversion"/>
  <pageMargins left="0.31496062992125984" right="0.31496062992125984" top="0.35433070866141736" bottom="0.15748031496062992" header="0.31496062992125984" footer="0.31496062992125984"/>
  <pageSetup paperSize="9" scale="70" orientation="portrait" r:id="rId1"/>
  <rowBreaks count="2" manualBreakCount="2">
    <brk id="62" max="16383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zoomScaleNormal="100" workbookViewId="0">
      <selection activeCell="A2" sqref="A2"/>
    </sheetView>
  </sheetViews>
  <sheetFormatPr defaultRowHeight="16.5"/>
  <cols>
    <col min="1" max="1" width="7.125" style="5" customWidth="1"/>
    <col min="2" max="2" width="11.25" style="5" customWidth="1"/>
    <col min="3" max="3" width="12.375" style="59" customWidth="1"/>
    <col min="4" max="4" width="10" style="109" customWidth="1"/>
    <col min="5" max="5" width="15.625" style="5" customWidth="1"/>
    <col min="6" max="6" width="15.125" style="59" customWidth="1"/>
    <col min="7" max="7" width="11.125" style="109" customWidth="1"/>
    <col min="8" max="8" width="8.875" style="5"/>
    <col min="9" max="10" width="10.125" style="5" customWidth="1"/>
    <col min="11" max="256" width="8.875" style="5"/>
    <col min="257" max="257" width="7.125" style="5" customWidth="1"/>
    <col min="258" max="258" width="11.25" style="5" customWidth="1"/>
    <col min="259" max="259" width="12.375" style="5" customWidth="1"/>
    <col min="260" max="260" width="10" style="5" customWidth="1"/>
    <col min="261" max="261" width="15.625" style="5" customWidth="1"/>
    <col min="262" max="262" width="15.125" style="5" customWidth="1"/>
    <col min="263" max="263" width="11.125" style="5" customWidth="1"/>
    <col min="264" max="512" width="8.875" style="5"/>
    <col min="513" max="513" width="7.125" style="5" customWidth="1"/>
    <col min="514" max="514" width="11.25" style="5" customWidth="1"/>
    <col min="515" max="515" width="12.375" style="5" customWidth="1"/>
    <col min="516" max="516" width="10" style="5" customWidth="1"/>
    <col min="517" max="517" width="15.625" style="5" customWidth="1"/>
    <col min="518" max="518" width="15.125" style="5" customWidth="1"/>
    <col min="519" max="519" width="11.125" style="5" customWidth="1"/>
    <col min="520" max="768" width="8.875" style="5"/>
    <col min="769" max="769" width="7.125" style="5" customWidth="1"/>
    <col min="770" max="770" width="11.25" style="5" customWidth="1"/>
    <col min="771" max="771" width="12.375" style="5" customWidth="1"/>
    <col min="772" max="772" width="10" style="5" customWidth="1"/>
    <col min="773" max="773" width="15.625" style="5" customWidth="1"/>
    <col min="774" max="774" width="15.125" style="5" customWidth="1"/>
    <col min="775" max="775" width="11.125" style="5" customWidth="1"/>
    <col min="776" max="1024" width="8.875" style="5"/>
    <col min="1025" max="1025" width="7.125" style="5" customWidth="1"/>
    <col min="1026" max="1026" width="11.25" style="5" customWidth="1"/>
    <col min="1027" max="1027" width="12.375" style="5" customWidth="1"/>
    <col min="1028" max="1028" width="10" style="5" customWidth="1"/>
    <col min="1029" max="1029" width="15.625" style="5" customWidth="1"/>
    <col min="1030" max="1030" width="15.125" style="5" customWidth="1"/>
    <col min="1031" max="1031" width="11.125" style="5" customWidth="1"/>
    <col min="1032" max="1280" width="8.875" style="5"/>
    <col min="1281" max="1281" width="7.125" style="5" customWidth="1"/>
    <col min="1282" max="1282" width="11.25" style="5" customWidth="1"/>
    <col min="1283" max="1283" width="12.375" style="5" customWidth="1"/>
    <col min="1284" max="1284" width="10" style="5" customWidth="1"/>
    <col min="1285" max="1285" width="15.625" style="5" customWidth="1"/>
    <col min="1286" max="1286" width="15.125" style="5" customWidth="1"/>
    <col min="1287" max="1287" width="11.125" style="5" customWidth="1"/>
    <col min="1288" max="1536" width="8.875" style="5"/>
    <col min="1537" max="1537" width="7.125" style="5" customWidth="1"/>
    <col min="1538" max="1538" width="11.25" style="5" customWidth="1"/>
    <col min="1539" max="1539" width="12.375" style="5" customWidth="1"/>
    <col min="1540" max="1540" width="10" style="5" customWidth="1"/>
    <col min="1541" max="1541" width="15.625" style="5" customWidth="1"/>
    <col min="1542" max="1542" width="15.125" style="5" customWidth="1"/>
    <col min="1543" max="1543" width="11.125" style="5" customWidth="1"/>
    <col min="1544" max="1792" width="8.875" style="5"/>
    <col min="1793" max="1793" width="7.125" style="5" customWidth="1"/>
    <col min="1794" max="1794" width="11.25" style="5" customWidth="1"/>
    <col min="1795" max="1795" width="12.375" style="5" customWidth="1"/>
    <col min="1796" max="1796" width="10" style="5" customWidth="1"/>
    <col min="1797" max="1797" width="15.625" style="5" customWidth="1"/>
    <col min="1798" max="1798" width="15.125" style="5" customWidth="1"/>
    <col min="1799" max="1799" width="11.125" style="5" customWidth="1"/>
    <col min="1800" max="2048" width="8.875" style="5"/>
    <col min="2049" max="2049" width="7.125" style="5" customWidth="1"/>
    <col min="2050" max="2050" width="11.25" style="5" customWidth="1"/>
    <col min="2051" max="2051" width="12.375" style="5" customWidth="1"/>
    <col min="2052" max="2052" width="10" style="5" customWidth="1"/>
    <col min="2053" max="2053" width="15.625" style="5" customWidth="1"/>
    <col min="2054" max="2054" width="15.125" style="5" customWidth="1"/>
    <col min="2055" max="2055" width="11.125" style="5" customWidth="1"/>
    <col min="2056" max="2304" width="8.875" style="5"/>
    <col min="2305" max="2305" width="7.125" style="5" customWidth="1"/>
    <col min="2306" max="2306" width="11.25" style="5" customWidth="1"/>
    <col min="2307" max="2307" width="12.375" style="5" customWidth="1"/>
    <col min="2308" max="2308" width="10" style="5" customWidth="1"/>
    <col min="2309" max="2309" width="15.625" style="5" customWidth="1"/>
    <col min="2310" max="2310" width="15.125" style="5" customWidth="1"/>
    <col min="2311" max="2311" width="11.125" style="5" customWidth="1"/>
    <col min="2312" max="2560" width="8.875" style="5"/>
    <col min="2561" max="2561" width="7.125" style="5" customWidth="1"/>
    <col min="2562" max="2562" width="11.25" style="5" customWidth="1"/>
    <col min="2563" max="2563" width="12.375" style="5" customWidth="1"/>
    <col min="2564" max="2564" width="10" style="5" customWidth="1"/>
    <col min="2565" max="2565" width="15.625" style="5" customWidth="1"/>
    <col min="2566" max="2566" width="15.125" style="5" customWidth="1"/>
    <col min="2567" max="2567" width="11.125" style="5" customWidth="1"/>
    <col min="2568" max="2816" width="8.875" style="5"/>
    <col min="2817" max="2817" width="7.125" style="5" customWidth="1"/>
    <col min="2818" max="2818" width="11.25" style="5" customWidth="1"/>
    <col min="2819" max="2819" width="12.375" style="5" customWidth="1"/>
    <col min="2820" max="2820" width="10" style="5" customWidth="1"/>
    <col min="2821" max="2821" width="15.625" style="5" customWidth="1"/>
    <col min="2822" max="2822" width="15.125" style="5" customWidth="1"/>
    <col min="2823" max="2823" width="11.125" style="5" customWidth="1"/>
    <col min="2824" max="3072" width="8.875" style="5"/>
    <col min="3073" max="3073" width="7.125" style="5" customWidth="1"/>
    <col min="3074" max="3074" width="11.25" style="5" customWidth="1"/>
    <col min="3075" max="3075" width="12.375" style="5" customWidth="1"/>
    <col min="3076" max="3076" width="10" style="5" customWidth="1"/>
    <col min="3077" max="3077" width="15.625" style="5" customWidth="1"/>
    <col min="3078" max="3078" width="15.125" style="5" customWidth="1"/>
    <col min="3079" max="3079" width="11.125" style="5" customWidth="1"/>
    <col min="3080" max="3328" width="8.875" style="5"/>
    <col min="3329" max="3329" width="7.125" style="5" customWidth="1"/>
    <col min="3330" max="3330" width="11.25" style="5" customWidth="1"/>
    <col min="3331" max="3331" width="12.375" style="5" customWidth="1"/>
    <col min="3332" max="3332" width="10" style="5" customWidth="1"/>
    <col min="3333" max="3333" width="15.625" style="5" customWidth="1"/>
    <col min="3334" max="3334" width="15.125" style="5" customWidth="1"/>
    <col min="3335" max="3335" width="11.125" style="5" customWidth="1"/>
    <col min="3336" max="3584" width="8.875" style="5"/>
    <col min="3585" max="3585" width="7.125" style="5" customWidth="1"/>
    <col min="3586" max="3586" width="11.25" style="5" customWidth="1"/>
    <col min="3587" max="3587" width="12.375" style="5" customWidth="1"/>
    <col min="3588" max="3588" width="10" style="5" customWidth="1"/>
    <col min="3589" max="3589" width="15.625" style="5" customWidth="1"/>
    <col min="3590" max="3590" width="15.125" style="5" customWidth="1"/>
    <col min="3591" max="3591" width="11.125" style="5" customWidth="1"/>
    <col min="3592" max="3840" width="8.875" style="5"/>
    <col min="3841" max="3841" width="7.125" style="5" customWidth="1"/>
    <col min="3842" max="3842" width="11.25" style="5" customWidth="1"/>
    <col min="3843" max="3843" width="12.375" style="5" customWidth="1"/>
    <col min="3844" max="3844" width="10" style="5" customWidth="1"/>
    <col min="3845" max="3845" width="15.625" style="5" customWidth="1"/>
    <col min="3846" max="3846" width="15.125" style="5" customWidth="1"/>
    <col min="3847" max="3847" width="11.125" style="5" customWidth="1"/>
    <col min="3848" max="4096" width="8.875" style="5"/>
    <col min="4097" max="4097" width="7.125" style="5" customWidth="1"/>
    <col min="4098" max="4098" width="11.25" style="5" customWidth="1"/>
    <col min="4099" max="4099" width="12.375" style="5" customWidth="1"/>
    <col min="4100" max="4100" width="10" style="5" customWidth="1"/>
    <col min="4101" max="4101" width="15.625" style="5" customWidth="1"/>
    <col min="4102" max="4102" width="15.125" style="5" customWidth="1"/>
    <col min="4103" max="4103" width="11.125" style="5" customWidth="1"/>
    <col min="4104" max="4352" width="8.875" style="5"/>
    <col min="4353" max="4353" width="7.125" style="5" customWidth="1"/>
    <col min="4354" max="4354" width="11.25" style="5" customWidth="1"/>
    <col min="4355" max="4355" width="12.375" style="5" customWidth="1"/>
    <col min="4356" max="4356" width="10" style="5" customWidth="1"/>
    <col min="4357" max="4357" width="15.625" style="5" customWidth="1"/>
    <col min="4358" max="4358" width="15.125" style="5" customWidth="1"/>
    <col min="4359" max="4359" width="11.125" style="5" customWidth="1"/>
    <col min="4360" max="4608" width="8.875" style="5"/>
    <col min="4609" max="4609" width="7.125" style="5" customWidth="1"/>
    <col min="4610" max="4610" width="11.25" style="5" customWidth="1"/>
    <col min="4611" max="4611" width="12.375" style="5" customWidth="1"/>
    <col min="4612" max="4612" width="10" style="5" customWidth="1"/>
    <col min="4613" max="4613" width="15.625" style="5" customWidth="1"/>
    <col min="4614" max="4614" width="15.125" style="5" customWidth="1"/>
    <col min="4615" max="4615" width="11.125" style="5" customWidth="1"/>
    <col min="4616" max="4864" width="8.875" style="5"/>
    <col min="4865" max="4865" width="7.125" style="5" customWidth="1"/>
    <col min="4866" max="4866" width="11.25" style="5" customWidth="1"/>
    <col min="4867" max="4867" width="12.375" style="5" customWidth="1"/>
    <col min="4868" max="4868" width="10" style="5" customWidth="1"/>
    <col min="4869" max="4869" width="15.625" style="5" customWidth="1"/>
    <col min="4870" max="4870" width="15.125" style="5" customWidth="1"/>
    <col min="4871" max="4871" width="11.125" style="5" customWidth="1"/>
    <col min="4872" max="5120" width="8.875" style="5"/>
    <col min="5121" max="5121" width="7.125" style="5" customWidth="1"/>
    <col min="5122" max="5122" width="11.25" style="5" customWidth="1"/>
    <col min="5123" max="5123" width="12.375" style="5" customWidth="1"/>
    <col min="5124" max="5124" width="10" style="5" customWidth="1"/>
    <col min="5125" max="5125" width="15.625" style="5" customWidth="1"/>
    <col min="5126" max="5126" width="15.125" style="5" customWidth="1"/>
    <col min="5127" max="5127" width="11.125" style="5" customWidth="1"/>
    <col min="5128" max="5376" width="8.875" style="5"/>
    <col min="5377" max="5377" width="7.125" style="5" customWidth="1"/>
    <col min="5378" max="5378" width="11.25" style="5" customWidth="1"/>
    <col min="5379" max="5379" width="12.375" style="5" customWidth="1"/>
    <col min="5380" max="5380" width="10" style="5" customWidth="1"/>
    <col min="5381" max="5381" width="15.625" style="5" customWidth="1"/>
    <col min="5382" max="5382" width="15.125" style="5" customWidth="1"/>
    <col min="5383" max="5383" width="11.125" style="5" customWidth="1"/>
    <col min="5384" max="5632" width="8.875" style="5"/>
    <col min="5633" max="5633" width="7.125" style="5" customWidth="1"/>
    <col min="5634" max="5634" width="11.25" style="5" customWidth="1"/>
    <col min="5635" max="5635" width="12.375" style="5" customWidth="1"/>
    <col min="5636" max="5636" width="10" style="5" customWidth="1"/>
    <col min="5637" max="5637" width="15.625" style="5" customWidth="1"/>
    <col min="5638" max="5638" width="15.125" style="5" customWidth="1"/>
    <col min="5639" max="5639" width="11.125" style="5" customWidth="1"/>
    <col min="5640" max="5888" width="8.875" style="5"/>
    <col min="5889" max="5889" width="7.125" style="5" customWidth="1"/>
    <col min="5890" max="5890" width="11.25" style="5" customWidth="1"/>
    <col min="5891" max="5891" width="12.375" style="5" customWidth="1"/>
    <col min="5892" max="5892" width="10" style="5" customWidth="1"/>
    <col min="5893" max="5893" width="15.625" style="5" customWidth="1"/>
    <col min="5894" max="5894" width="15.125" style="5" customWidth="1"/>
    <col min="5895" max="5895" width="11.125" style="5" customWidth="1"/>
    <col min="5896" max="6144" width="8.875" style="5"/>
    <col min="6145" max="6145" width="7.125" style="5" customWidth="1"/>
    <col min="6146" max="6146" width="11.25" style="5" customWidth="1"/>
    <col min="6147" max="6147" width="12.375" style="5" customWidth="1"/>
    <col min="6148" max="6148" width="10" style="5" customWidth="1"/>
    <col min="6149" max="6149" width="15.625" style="5" customWidth="1"/>
    <col min="6150" max="6150" width="15.125" style="5" customWidth="1"/>
    <col min="6151" max="6151" width="11.125" style="5" customWidth="1"/>
    <col min="6152" max="6400" width="8.875" style="5"/>
    <col min="6401" max="6401" width="7.125" style="5" customWidth="1"/>
    <col min="6402" max="6402" width="11.25" style="5" customWidth="1"/>
    <col min="6403" max="6403" width="12.375" style="5" customWidth="1"/>
    <col min="6404" max="6404" width="10" style="5" customWidth="1"/>
    <col min="6405" max="6405" width="15.625" style="5" customWidth="1"/>
    <col min="6406" max="6406" width="15.125" style="5" customWidth="1"/>
    <col min="6407" max="6407" width="11.125" style="5" customWidth="1"/>
    <col min="6408" max="6656" width="8.875" style="5"/>
    <col min="6657" max="6657" width="7.125" style="5" customWidth="1"/>
    <col min="6658" max="6658" width="11.25" style="5" customWidth="1"/>
    <col min="6659" max="6659" width="12.375" style="5" customWidth="1"/>
    <col min="6660" max="6660" width="10" style="5" customWidth="1"/>
    <col min="6661" max="6661" width="15.625" style="5" customWidth="1"/>
    <col min="6662" max="6662" width="15.125" style="5" customWidth="1"/>
    <col min="6663" max="6663" width="11.125" style="5" customWidth="1"/>
    <col min="6664" max="6912" width="8.875" style="5"/>
    <col min="6913" max="6913" width="7.125" style="5" customWidth="1"/>
    <col min="6914" max="6914" width="11.25" style="5" customWidth="1"/>
    <col min="6915" max="6915" width="12.375" style="5" customWidth="1"/>
    <col min="6916" max="6916" width="10" style="5" customWidth="1"/>
    <col min="6917" max="6917" width="15.625" style="5" customWidth="1"/>
    <col min="6918" max="6918" width="15.125" style="5" customWidth="1"/>
    <col min="6919" max="6919" width="11.125" style="5" customWidth="1"/>
    <col min="6920" max="7168" width="8.875" style="5"/>
    <col min="7169" max="7169" width="7.125" style="5" customWidth="1"/>
    <col min="7170" max="7170" width="11.25" style="5" customWidth="1"/>
    <col min="7171" max="7171" width="12.375" style="5" customWidth="1"/>
    <col min="7172" max="7172" width="10" style="5" customWidth="1"/>
    <col min="7173" max="7173" width="15.625" style="5" customWidth="1"/>
    <col min="7174" max="7174" width="15.125" style="5" customWidth="1"/>
    <col min="7175" max="7175" width="11.125" style="5" customWidth="1"/>
    <col min="7176" max="7424" width="8.875" style="5"/>
    <col min="7425" max="7425" width="7.125" style="5" customWidth="1"/>
    <col min="7426" max="7426" width="11.25" style="5" customWidth="1"/>
    <col min="7427" max="7427" width="12.375" style="5" customWidth="1"/>
    <col min="7428" max="7428" width="10" style="5" customWidth="1"/>
    <col min="7429" max="7429" width="15.625" style="5" customWidth="1"/>
    <col min="7430" max="7430" width="15.125" style="5" customWidth="1"/>
    <col min="7431" max="7431" width="11.125" style="5" customWidth="1"/>
    <col min="7432" max="7680" width="8.875" style="5"/>
    <col min="7681" max="7681" width="7.125" style="5" customWidth="1"/>
    <col min="7682" max="7682" width="11.25" style="5" customWidth="1"/>
    <col min="7683" max="7683" width="12.375" style="5" customWidth="1"/>
    <col min="7684" max="7684" width="10" style="5" customWidth="1"/>
    <col min="7685" max="7685" width="15.625" style="5" customWidth="1"/>
    <col min="7686" max="7686" width="15.125" style="5" customWidth="1"/>
    <col min="7687" max="7687" width="11.125" style="5" customWidth="1"/>
    <col min="7688" max="7936" width="8.875" style="5"/>
    <col min="7937" max="7937" width="7.125" style="5" customWidth="1"/>
    <col min="7938" max="7938" width="11.25" style="5" customWidth="1"/>
    <col min="7939" max="7939" width="12.375" style="5" customWidth="1"/>
    <col min="7940" max="7940" width="10" style="5" customWidth="1"/>
    <col min="7941" max="7941" width="15.625" style="5" customWidth="1"/>
    <col min="7942" max="7942" width="15.125" style="5" customWidth="1"/>
    <col min="7943" max="7943" width="11.125" style="5" customWidth="1"/>
    <col min="7944" max="8192" width="8.875" style="5"/>
    <col min="8193" max="8193" width="7.125" style="5" customWidth="1"/>
    <col min="8194" max="8194" width="11.25" style="5" customWidth="1"/>
    <col min="8195" max="8195" width="12.375" style="5" customWidth="1"/>
    <col min="8196" max="8196" width="10" style="5" customWidth="1"/>
    <col min="8197" max="8197" width="15.625" style="5" customWidth="1"/>
    <col min="8198" max="8198" width="15.125" style="5" customWidth="1"/>
    <col min="8199" max="8199" width="11.125" style="5" customWidth="1"/>
    <col min="8200" max="8448" width="8.875" style="5"/>
    <col min="8449" max="8449" width="7.125" style="5" customWidth="1"/>
    <col min="8450" max="8450" width="11.25" style="5" customWidth="1"/>
    <col min="8451" max="8451" width="12.375" style="5" customWidth="1"/>
    <col min="8452" max="8452" width="10" style="5" customWidth="1"/>
    <col min="8453" max="8453" width="15.625" style="5" customWidth="1"/>
    <col min="8454" max="8454" width="15.125" style="5" customWidth="1"/>
    <col min="8455" max="8455" width="11.125" style="5" customWidth="1"/>
    <col min="8456" max="8704" width="8.875" style="5"/>
    <col min="8705" max="8705" width="7.125" style="5" customWidth="1"/>
    <col min="8706" max="8706" width="11.25" style="5" customWidth="1"/>
    <col min="8707" max="8707" width="12.375" style="5" customWidth="1"/>
    <col min="8708" max="8708" width="10" style="5" customWidth="1"/>
    <col min="8709" max="8709" width="15.625" style="5" customWidth="1"/>
    <col min="8710" max="8710" width="15.125" style="5" customWidth="1"/>
    <col min="8711" max="8711" width="11.125" style="5" customWidth="1"/>
    <col min="8712" max="8960" width="8.875" style="5"/>
    <col min="8961" max="8961" width="7.125" style="5" customWidth="1"/>
    <col min="8962" max="8962" width="11.25" style="5" customWidth="1"/>
    <col min="8963" max="8963" width="12.375" style="5" customWidth="1"/>
    <col min="8964" max="8964" width="10" style="5" customWidth="1"/>
    <col min="8965" max="8965" width="15.625" style="5" customWidth="1"/>
    <col min="8966" max="8966" width="15.125" style="5" customWidth="1"/>
    <col min="8967" max="8967" width="11.125" style="5" customWidth="1"/>
    <col min="8968" max="9216" width="8.875" style="5"/>
    <col min="9217" max="9217" width="7.125" style="5" customWidth="1"/>
    <col min="9218" max="9218" width="11.25" style="5" customWidth="1"/>
    <col min="9219" max="9219" width="12.375" style="5" customWidth="1"/>
    <col min="9220" max="9220" width="10" style="5" customWidth="1"/>
    <col min="9221" max="9221" width="15.625" style="5" customWidth="1"/>
    <col min="9222" max="9222" width="15.125" style="5" customWidth="1"/>
    <col min="9223" max="9223" width="11.125" style="5" customWidth="1"/>
    <col min="9224" max="9472" width="8.875" style="5"/>
    <col min="9473" max="9473" width="7.125" style="5" customWidth="1"/>
    <col min="9474" max="9474" width="11.25" style="5" customWidth="1"/>
    <col min="9475" max="9475" width="12.375" style="5" customWidth="1"/>
    <col min="9476" max="9476" width="10" style="5" customWidth="1"/>
    <col min="9477" max="9477" width="15.625" style="5" customWidth="1"/>
    <col min="9478" max="9478" width="15.125" style="5" customWidth="1"/>
    <col min="9479" max="9479" width="11.125" style="5" customWidth="1"/>
    <col min="9480" max="9728" width="8.875" style="5"/>
    <col min="9729" max="9729" width="7.125" style="5" customWidth="1"/>
    <col min="9730" max="9730" width="11.25" style="5" customWidth="1"/>
    <col min="9731" max="9731" width="12.375" style="5" customWidth="1"/>
    <col min="9732" max="9732" width="10" style="5" customWidth="1"/>
    <col min="9733" max="9733" width="15.625" style="5" customWidth="1"/>
    <col min="9734" max="9734" width="15.125" style="5" customWidth="1"/>
    <col min="9735" max="9735" width="11.125" style="5" customWidth="1"/>
    <col min="9736" max="9984" width="8.875" style="5"/>
    <col min="9985" max="9985" width="7.125" style="5" customWidth="1"/>
    <col min="9986" max="9986" width="11.25" style="5" customWidth="1"/>
    <col min="9987" max="9987" width="12.375" style="5" customWidth="1"/>
    <col min="9988" max="9988" width="10" style="5" customWidth="1"/>
    <col min="9989" max="9989" width="15.625" style="5" customWidth="1"/>
    <col min="9990" max="9990" width="15.125" style="5" customWidth="1"/>
    <col min="9991" max="9991" width="11.125" style="5" customWidth="1"/>
    <col min="9992" max="10240" width="8.875" style="5"/>
    <col min="10241" max="10241" width="7.125" style="5" customWidth="1"/>
    <col min="10242" max="10242" width="11.25" style="5" customWidth="1"/>
    <col min="10243" max="10243" width="12.375" style="5" customWidth="1"/>
    <col min="10244" max="10244" width="10" style="5" customWidth="1"/>
    <col min="10245" max="10245" width="15.625" style="5" customWidth="1"/>
    <col min="10246" max="10246" width="15.125" style="5" customWidth="1"/>
    <col min="10247" max="10247" width="11.125" style="5" customWidth="1"/>
    <col min="10248" max="10496" width="8.875" style="5"/>
    <col min="10497" max="10497" width="7.125" style="5" customWidth="1"/>
    <col min="10498" max="10498" width="11.25" style="5" customWidth="1"/>
    <col min="10499" max="10499" width="12.375" style="5" customWidth="1"/>
    <col min="10500" max="10500" width="10" style="5" customWidth="1"/>
    <col min="10501" max="10501" width="15.625" style="5" customWidth="1"/>
    <col min="10502" max="10502" width="15.125" style="5" customWidth="1"/>
    <col min="10503" max="10503" width="11.125" style="5" customWidth="1"/>
    <col min="10504" max="10752" width="8.875" style="5"/>
    <col min="10753" max="10753" width="7.125" style="5" customWidth="1"/>
    <col min="10754" max="10754" width="11.25" style="5" customWidth="1"/>
    <col min="10755" max="10755" width="12.375" style="5" customWidth="1"/>
    <col min="10756" max="10756" width="10" style="5" customWidth="1"/>
    <col min="10757" max="10757" width="15.625" style="5" customWidth="1"/>
    <col min="10758" max="10758" width="15.125" style="5" customWidth="1"/>
    <col min="10759" max="10759" width="11.125" style="5" customWidth="1"/>
    <col min="10760" max="11008" width="8.875" style="5"/>
    <col min="11009" max="11009" width="7.125" style="5" customWidth="1"/>
    <col min="11010" max="11010" width="11.25" style="5" customWidth="1"/>
    <col min="11011" max="11011" width="12.375" style="5" customWidth="1"/>
    <col min="11012" max="11012" width="10" style="5" customWidth="1"/>
    <col min="11013" max="11013" width="15.625" style="5" customWidth="1"/>
    <col min="11014" max="11014" width="15.125" style="5" customWidth="1"/>
    <col min="11015" max="11015" width="11.125" style="5" customWidth="1"/>
    <col min="11016" max="11264" width="8.875" style="5"/>
    <col min="11265" max="11265" width="7.125" style="5" customWidth="1"/>
    <col min="11266" max="11266" width="11.25" style="5" customWidth="1"/>
    <col min="11267" max="11267" width="12.375" style="5" customWidth="1"/>
    <col min="11268" max="11268" width="10" style="5" customWidth="1"/>
    <col min="11269" max="11269" width="15.625" style="5" customWidth="1"/>
    <col min="11270" max="11270" width="15.125" style="5" customWidth="1"/>
    <col min="11271" max="11271" width="11.125" style="5" customWidth="1"/>
    <col min="11272" max="11520" width="8.875" style="5"/>
    <col min="11521" max="11521" width="7.125" style="5" customWidth="1"/>
    <col min="11522" max="11522" width="11.25" style="5" customWidth="1"/>
    <col min="11523" max="11523" width="12.375" style="5" customWidth="1"/>
    <col min="11524" max="11524" width="10" style="5" customWidth="1"/>
    <col min="11525" max="11525" width="15.625" style="5" customWidth="1"/>
    <col min="11526" max="11526" width="15.125" style="5" customWidth="1"/>
    <col min="11527" max="11527" width="11.125" style="5" customWidth="1"/>
    <col min="11528" max="11776" width="8.875" style="5"/>
    <col min="11777" max="11777" width="7.125" style="5" customWidth="1"/>
    <col min="11778" max="11778" width="11.25" style="5" customWidth="1"/>
    <col min="11779" max="11779" width="12.375" style="5" customWidth="1"/>
    <col min="11780" max="11780" width="10" style="5" customWidth="1"/>
    <col min="11781" max="11781" width="15.625" style="5" customWidth="1"/>
    <col min="11782" max="11782" width="15.125" style="5" customWidth="1"/>
    <col min="11783" max="11783" width="11.125" style="5" customWidth="1"/>
    <col min="11784" max="12032" width="8.875" style="5"/>
    <col min="12033" max="12033" width="7.125" style="5" customWidth="1"/>
    <col min="12034" max="12034" width="11.25" style="5" customWidth="1"/>
    <col min="12035" max="12035" width="12.375" style="5" customWidth="1"/>
    <col min="12036" max="12036" width="10" style="5" customWidth="1"/>
    <col min="12037" max="12037" width="15.625" style="5" customWidth="1"/>
    <col min="12038" max="12038" width="15.125" style="5" customWidth="1"/>
    <col min="12039" max="12039" width="11.125" style="5" customWidth="1"/>
    <col min="12040" max="12288" width="8.875" style="5"/>
    <col min="12289" max="12289" width="7.125" style="5" customWidth="1"/>
    <col min="12290" max="12290" width="11.25" style="5" customWidth="1"/>
    <col min="12291" max="12291" width="12.375" style="5" customWidth="1"/>
    <col min="12292" max="12292" width="10" style="5" customWidth="1"/>
    <col min="12293" max="12293" width="15.625" style="5" customWidth="1"/>
    <col min="12294" max="12294" width="15.125" style="5" customWidth="1"/>
    <col min="12295" max="12295" width="11.125" style="5" customWidth="1"/>
    <col min="12296" max="12544" width="8.875" style="5"/>
    <col min="12545" max="12545" width="7.125" style="5" customWidth="1"/>
    <col min="12546" max="12546" width="11.25" style="5" customWidth="1"/>
    <col min="12547" max="12547" width="12.375" style="5" customWidth="1"/>
    <col min="12548" max="12548" width="10" style="5" customWidth="1"/>
    <col min="12549" max="12549" width="15.625" style="5" customWidth="1"/>
    <col min="12550" max="12550" width="15.125" style="5" customWidth="1"/>
    <col min="12551" max="12551" width="11.125" style="5" customWidth="1"/>
    <col min="12552" max="12800" width="8.875" style="5"/>
    <col min="12801" max="12801" width="7.125" style="5" customWidth="1"/>
    <col min="12802" max="12802" width="11.25" style="5" customWidth="1"/>
    <col min="12803" max="12803" width="12.375" style="5" customWidth="1"/>
    <col min="12804" max="12804" width="10" style="5" customWidth="1"/>
    <col min="12805" max="12805" width="15.625" style="5" customWidth="1"/>
    <col min="12806" max="12806" width="15.125" style="5" customWidth="1"/>
    <col min="12807" max="12807" width="11.125" style="5" customWidth="1"/>
    <col min="12808" max="13056" width="8.875" style="5"/>
    <col min="13057" max="13057" width="7.125" style="5" customWidth="1"/>
    <col min="13058" max="13058" width="11.25" style="5" customWidth="1"/>
    <col min="13059" max="13059" width="12.375" style="5" customWidth="1"/>
    <col min="13060" max="13060" width="10" style="5" customWidth="1"/>
    <col min="13061" max="13061" width="15.625" style="5" customWidth="1"/>
    <col min="13062" max="13062" width="15.125" style="5" customWidth="1"/>
    <col min="13063" max="13063" width="11.125" style="5" customWidth="1"/>
    <col min="13064" max="13312" width="8.875" style="5"/>
    <col min="13313" max="13313" width="7.125" style="5" customWidth="1"/>
    <col min="13314" max="13314" width="11.25" style="5" customWidth="1"/>
    <col min="13315" max="13315" width="12.375" style="5" customWidth="1"/>
    <col min="13316" max="13316" width="10" style="5" customWidth="1"/>
    <col min="13317" max="13317" width="15.625" style="5" customWidth="1"/>
    <col min="13318" max="13318" width="15.125" style="5" customWidth="1"/>
    <col min="13319" max="13319" width="11.125" style="5" customWidth="1"/>
    <col min="13320" max="13568" width="8.875" style="5"/>
    <col min="13569" max="13569" width="7.125" style="5" customWidth="1"/>
    <col min="13570" max="13570" width="11.25" style="5" customWidth="1"/>
    <col min="13571" max="13571" width="12.375" style="5" customWidth="1"/>
    <col min="13572" max="13572" width="10" style="5" customWidth="1"/>
    <col min="13573" max="13573" width="15.625" style="5" customWidth="1"/>
    <col min="13574" max="13574" width="15.125" style="5" customWidth="1"/>
    <col min="13575" max="13575" width="11.125" style="5" customWidth="1"/>
    <col min="13576" max="13824" width="8.875" style="5"/>
    <col min="13825" max="13825" width="7.125" style="5" customWidth="1"/>
    <col min="13826" max="13826" width="11.25" style="5" customWidth="1"/>
    <col min="13827" max="13827" width="12.375" style="5" customWidth="1"/>
    <col min="13828" max="13828" width="10" style="5" customWidth="1"/>
    <col min="13829" max="13829" width="15.625" style="5" customWidth="1"/>
    <col min="13830" max="13830" width="15.125" style="5" customWidth="1"/>
    <col min="13831" max="13831" width="11.125" style="5" customWidth="1"/>
    <col min="13832" max="14080" width="8.875" style="5"/>
    <col min="14081" max="14081" width="7.125" style="5" customWidth="1"/>
    <col min="14082" max="14082" width="11.25" style="5" customWidth="1"/>
    <col min="14083" max="14083" width="12.375" style="5" customWidth="1"/>
    <col min="14084" max="14084" width="10" style="5" customWidth="1"/>
    <col min="14085" max="14085" width="15.625" style="5" customWidth="1"/>
    <col min="14086" max="14086" width="15.125" style="5" customWidth="1"/>
    <col min="14087" max="14087" width="11.125" style="5" customWidth="1"/>
    <col min="14088" max="14336" width="8.875" style="5"/>
    <col min="14337" max="14337" width="7.125" style="5" customWidth="1"/>
    <col min="14338" max="14338" width="11.25" style="5" customWidth="1"/>
    <col min="14339" max="14339" width="12.375" style="5" customWidth="1"/>
    <col min="14340" max="14340" width="10" style="5" customWidth="1"/>
    <col min="14341" max="14341" width="15.625" style="5" customWidth="1"/>
    <col min="14342" max="14342" width="15.125" style="5" customWidth="1"/>
    <col min="14343" max="14343" width="11.125" style="5" customWidth="1"/>
    <col min="14344" max="14592" width="8.875" style="5"/>
    <col min="14593" max="14593" width="7.125" style="5" customWidth="1"/>
    <col min="14594" max="14594" width="11.25" style="5" customWidth="1"/>
    <col min="14595" max="14595" width="12.375" style="5" customWidth="1"/>
    <col min="14596" max="14596" width="10" style="5" customWidth="1"/>
    <col min="14597" max="14597" width="15.625" style="5" customWidth="1"/>
    <col min="14598" max="14598" width="15.125" style="5" customWidth="1"/>
    <col min="14599" max="14599" width="11.125" style="5" customWidth="1"/>
    <col min="14600" max="14848" width="8.875" style="5"/>
    <col min="14849" max="14849" width="7.125" style="5" customWidth="1"/>
    <col min="14850" max="14850" width="11.25" style="5" customWidth="1"/>
    <col min="14851" max="14851" width="12.375" style="5" customWidth="1"/>
    <col min="14852" max="14852" width="10" style="5" customWidth="1"/>
    <col min="14853" max="14853" width="15.625" style="5" customWidth="1"/>
    <col min="14854" max="14854" width="15.125" style="5" customWidth="1"/>
    <col min="14855" max="14855" width="11.125" style="5" customWidth="1"/>
    <col min="14856" max="15104" width="8.875" style="5"/>
    <col min="15105" max="15105" width="7.125" style="5" customWidth="1"/>
    <col min="15106" max="15106" width="11.25" style="5" customWidth="1"/>
    <col min="15107" max="15107" width="12.375" style="5" customWidth="1"/>
    <col min="15108" max="15108" width="10" style="5" customWidth="1"/>
    <col min="15109" max="15109" width="15.625" style="5" customWidth="1"/>
    <col min="15110" max="15110" width="15.125" style="5" customWidth="1"/>
    <col min="15111" max="15111" width="11.125" style="5" customWidth="1"/>
    <col min="15112" max="15360" width="8.875" style="5"/>
    <col min="15361" max="15361" width="7.125" style="5" customWidth="1"/>
    <col min="15362" max="15362" width="11.25" style="5" customWidth="1"/>
    <col min="15363" max="15363" width="12.375" style="5" customWidth="1"/>
    <col min="15364" max="15364" width="10" style="5" customWidth="1"/>
    <col min="15365" max="15365" width="15.625" style="5" customWidth="1"/>
    <col min="15366" max="15366" width="15.125" style="5" customWidth="1"/>
    <col min="15367" max="15367" width="11.125" style="5" customWidth="1"/>
    <col min="15368" max="15616" width="8.875" style="5"/>
    <col min="15617" max="15617" width="7.125" style="5" customWidth="1"/>
    <col min="15618" max="15618" width="11.25" style="5" customWidth="1"/>
    <col min="15619" max="15619" width="12.375" style="5" customWidth="1"/>
    <col min="15620" max="15620" width="10" style="5" customWidth="1"/>
    <col min="15621" max="15621" width="15.625" style="5" customWidth="1"/>
    <col min="15622" max="15622" width="15.125" style="5" customWidth="1"/>
    <col min="15623" max="15623" width="11.125" style="5" customWidth="1"/>
    <col min="15624" max="15872" width="8.875" style="5"/>
    <col min="15873" max="15873" width="7.125" style="5" customWidth="1"/>
    <col min="15874" max="15874" width="11.25" style="5" customWidth="1"/>
    <col min="15875" max="15875" width="12.375" style="5" customWidth="1"/>
    <col min="15876" max="15876" width="10" style="5" customWidth="1"/>
    <col min="15877" max="15877" width="15.625" style="5" customWidth="1"/>
    <col min="15878" max="15878" width="15.125" style="5" customWidth="1"/>
    <col min="15879" max="15879" width="11.125" style="5" customWidth="1"/>
    <col min="15880" max="16128" width="8.875" style="5"/>
    <col min="16129" max="16129" width="7.125" style="5" customWidth="1"/>
    <col min="16130" max="16130" width="11.25" style="5" customWidth="1"/>
    <col min="16131" max="16131" width="12.375" style="5" customWidth="1"/>
    <col min="16132" max="16132" width="10" style="5" customWidth="1"/>
    <col min="16133" max="16133" width="15.625" style="5" customWidth="1"/>
    <col min="16134" max="16134" width="15.125" style="5" customWidth="1"/>
    <col min="16135" max="16135" width="11.125" style="5" customWidth="1"/>
    <col min="16136" max="16384" width="8.875" style="5"/>
  </cols>
  <sheetData>
    <row r="1" spans="1:7" ht="19.5">
      <c r="A1" s="493" t="s">
        <v>486</v>
      </c>
      <c r="B1" s="129"/>
      <c r="C1" s="130"/>
      <c r="D1" s="131"/>
      <c r="E1" s="129"/>
      <c r="F1" s="130"/>
      <c r="G1" s="131"/>
    </row>
    <row r="3" spans="1:7" s="122" customFormat="1">
      <c r="A3" s="132" t="s">
        <v>412</v>
      </c>
      <c r="B3" s="133"/>
      <c r="C3" s="134"/>
      <c r="D3" s="135"/>
      <c r="E3" s="133"/>
      <c r="F3" s="136"/>
      <c r="G3" s="137"/>
    </row>
    <row r="4" spans="1:7">
      <c r="A4" s="138" t="s">
        <v>456</v>
      </c>
      <c r="B4" s="68"/>
      <c r="C4" s="139"/>
      <c r="D4" s="140"/>
      <c r="E4" s="68"/>
      <c r="F4" s="141"/>
      <c r="G4" s="142"/>
    </row>
    <row r="5" spans="1:7">
      <c r="A5" s="557" t="s">
        <v>52</v>
      </c>
      <c r="B5" s="143" t="s">
        <v>53</v>
      </c>
      <c r="C5" s="144"/>
      <c r="D5" s="145"/>
      <c r="E5" s="146" t="s">
        <v>54</v>
      </c>
      <c r="F5" s="144"/>
      <c r="G5" s="145"/>
    </row>
    <row r="6" spans="1:7">
      <c r="A6" s="558"/>
      <c r="B6" s="30" t="s">
        <v>432</v>
      </c>
      <c r="C6" s="147" t="s">
        <v>433</v>
      </c>
      <c r="D6" s="148" t="s">
        <v>413</v>
      </c>
      <c r="E6" s="30" t="s">
        <v>432</v>
      </c>
      <c r="F6" s="147" t="s">
        <v>433</v>
      </c>
      <c r="G6" s="148" t="s">
        <v>413</v>
      </c>
    </row>
    <row r="7" spans="1:7">
      <c r="A7" s="31">
        <v>1</v>
      </c>
      <c r="B7" s="376">
        <v>162493</v>
      </c>
      <c r="C7" s="382">
        <v>156750</v>
      </c>
      <c r="D7" s="486">
        <f>IFERROR((B7-C7)/C7,0)</f>
        <v>3.6637958532695372E-2</v>
      </c>
      <c r="E7" s="487">
        <v>151997099</v>
      </c>
      <c r="F7" s="382">
        <v>110756298</v>
      </c>
      <c r="G7" s="486">
        <f>IFERROR((E7-F7)/F7,0)</f>
        <v>0.37235626095050595</v>
      </c>
    </row>
    <row r="8" spans="1:7">
      <c r="A8" s="31">
        <v>2</v>
      </c>
      <c r="B8" s="376">
        <v>115013</v>
      </c>
      <c r="C8" s="382">
        <v>182722</v>
      </c>
      <c r="D8" s="486">
        <f>IFERROR((B8-C8)/C8,0)</f>
        <v>-0.37055745887194758</v>
      </c>
      <c r="E8" s="487">
        <v>109496132</v>
      </c>
      <c r="F8" s="382">
        <v>126655157</v>
      </c>
      <c r="G8" s="486">
        <f t="shared" ref="G8:G18" si="0">IFERROR((E8-F8)/F8,0)</f>
        <v>-0.1354782971845355</v>
      </c>
    </row>
    <row r="9" spans="1:7">
      <c r="A9" s="31">
        <v>3</v>
      </c>
      <c r="B9" s="376">
        <v>134607</v>
      </c>
      <c r="C9" s="382">
        <v>181306</v>
      </c>
      <c r="D9" s="486">
        <f t="shared" ref="D9:D18" si="1">IFERROR((B9-C9)/C9,0)</f>
        <v>-0.25757007490099609</v>
      </c>
      <c r="E9" s="487">
        <v>122131450</v>
      </c>
      <c r="F9" s="382">
        <v>132191658</v>
      </c>
      <c r="G9" s="486">
        <f t="shared" si="0"/>
        <v>-7.6103198584588444E-2</v>
      </c>
    </row>
    <row r="10" spans="1:7">
      <c r="A10" s="31">
        <v>4</v>
      </c>
      <c r="B10" s="380">
        <v>133349</v>
      </c>
      <c r="C10" s="379">
        <v>153555</v>
      </c>
      <c r="D10" s="486">
        <f t="shared" si="1"/>
        <v>-0.13158803034743252</v>
      </c>
      <c r="E10" s="487">
        <v>126190344</v>
      </c>
      <c r="F10" s="379">
        <v>112165448</v>
      </c>
      <c r="G10" s="486">
        <f t="shared" si="0"/>
        <v>0.1250375784171967</v>
      </c>
    </row>
    <row r="11" spans="1:7">
      <c r="A11" s="31">
        <v>5</v>
      </c>
      <c r="B11" s="376">
        <f>整車出口!B67</f>
        <v>130700</v>
      </c>
      <c r="C11" s="382">
        <v>160369</v>
      </c>
      <c r="D11" s="486">
        <f t="shared" si="1"/>
        <v>-0.18500458318004104</v>
      </c>
      <c r="E11" s="376">
        <f>整車出口!C67</f>
        <v>124913855</v>
      </c>
      <c r="F11" s="382">
        <v>123108958</v>
      </c>
      <c r="G11" s="486">
        <f t="shared" si="0"/>
        <v>1.4660972112199992E-2</v>
      </c>
    </row>
    <row r="12" spans="1:7">
      <c r="A12" s="31">
        <v>6</v>
      </c>
      <c r="B12" s="376"/>
      <c r="C12" s="382"/>
      <c r="D12" s="486">
        <f t="shared" si="1"/>
        <v>0</v>
      </c>
      <c r="E12" s="487"/>
      <c r="F12" s="382"/>
      <c r="G12" s="486">
        <f t="shared" si="0"/>
        <v>0</v>
      </c>
    </row>
    <row r="13" spans="1:7">
      <c r="A13" s="31">
        <v>7</v>
      </c>
      <c r="B13" s="376"/>
      <c r="C13" s="382"/>
      <c r="D13" s="486">
        <f t="shared" si="1"/>
        <v>0</v>
      </c>
      <c r="E13" s="487"/>
      <c r="F13" s="382"/>
      <c r="G13" s="486">
        <f t="shared" si="0"/>
        <v>0</v>
      </c>
    </row>
    <row r="14" spans="1:7">
      <c r="A14" s="31">
        <v>8</v>
      </c>
      <c r="B14" s="376"/>
      <c r="C14" s="382"/>
      <c r="D14" s="486">
        <f t="shared" si="1"/>
        <v>0</v>
      </c>
      <c r="E14" s="487"/>
      <c r="F14" s="382"/>
      <c r="G14" s="486">
        <f t="shared" si="0"/>
        <v>0</v>
      </c>
    </row>
    <row r="15" spans="1:7">
      <c r="A15" s="31">
        <v>9</v>
      </c>
      <c r="B15" s="27"/>
      <c r="C15" s="90"/>
      <c r="D15" s="486">
        <f t="shared" si="1"/>
        <v>0</v>
      </c>
      <c r="E15" s="487"/>
      <c r="F15" s="90"/>
      <c r="G15" s="486">
        <f t="shared" si="0"/>
        <v>0</v>
      </c>
    </row>
    <row r="16" spans="1:7">
      <c r="A16" s="31">
        <v>10</v>
      </c>
      <c r="B16" s="27"/>
      <c r="C16" s="90"/>
      <c r="D16" s="486">
        <f t="shared" si="1"/>
        <v>0</v>
      </c>
      <c r="E16" s="487"/>
      <c r="F16" s="90"/>
      <c r="G16" s="486">
        <f t="shared" si="0"/>
        <v>0</v>
      </c>
    </row>
    <row r="17" spans="1:7">
      <c r="A17" s="31">
        <v>11</v>
      </c>
      <c r="B17" s="27"/>
      <c r="C17" s="90"/>
      <c r="D17" s="486">
        <f t="shared" si="1"/>
        <v>0</v>
      </c>
      <c r="E17" s="487"/>
      <c r="F17" s="90"/>
      <c r="G17" s="486">
        <f t="shared" si="0"/>
        <v>0</v>
      </c>
    </row>
    <row r="18" spans="1:7">
      <c r="A18" s="31">
        <v>12</v>
      </c>
      <c r="B18" s="27"/>
      <c r="C18" s="90"/>
      <c r="D18" s="486">
        <f t="shared" si="1"/>
        <v>0</v>
      </c>
      <c r="E18" s="487"/>
      <c r="F18" s="90"/>
      <c r="G18" s="486">
        <f t="shared" si="0"/>
        <v>0</v>
      </c>
    </row>
    <row r="19" spans="1:7" s="115" customFormat="1">
      <c r="A19" s="32" t="s">
        <v>51</v>
      </c>
      <c r="B19" s="33">
        <f>SUM(B7:B18)</f>
        <v>676162</v>
      </c>
      <c r="C19" s="90">
        <f>SUM(C7:C18)</f>
        <v>834702</v>
      </c>
      <c r="D19" s="486">
        <f>(B19-C19)/C19</f>
        <v>-0.1899360490330681</v>
      </c>
      <c r="E19" s="33">
        <f>SUM(E7:E18)</f>
        <v>634728880</v>
      </c>
      <c r="F19" s="90">
        <f>SUM(F7:F18)</f>
        <v>604877519</v>
      </c>
      <c r="G19" s="149">
        <f>(E19-F19)/F19</f>
        <v>4.9351083586890589E-2</v>
      </c>
    </row>
    <row r="20" spans="1:7" s="115" customFormat="1">
      <c r="A20" s="38"/>
      <c r="B20" s="39"/>
      <c r="C20" s="488"/>
      <c r="D20" s="150"/>
      <c r="E20" s="39"/>
      <c r="F20" s="488"/>
      <c r="G20" s="150"/>
    </row>
    <row r="21" spans="1:7" ht="19.5">
      <c r="A21" s="1" t="s">
        <v>487</v>
      </c>
      <c r="B21" s="129"/>
      <c r="C21" s="130"/>
      <c r="D21" s="131"/>
      <c r="E21" s="129"/>
      <c r="F21" s="130"/>
      <c r="G21" s="131"/>
    </row>
    <row r="22" spans="1:7">
      <c r="B22" s="97"/>
      <c r="C22" s="151"/>
      <c r="D22" s="152"/>
      <c r="E22" s="97"/>
      <c r="F22" s="151"/>
      <c r="G22" s="152"/>
    </row>
    <row r="23" spans="1:7" s="122" customFormat="1">
      <c r="A23" s="153" t="s">
        <v>153</v>
      </c>
      <c r="B23" s="154"/>
      <c r="C23" s="155"/>
      <c r="D23" s="156"/>
      <c r="E23" s="154"/>
      <c r="F23" s="157"/>
      <c r="G23" s="158"/>
    </row>
    <row r="24" spans="1:7">
      <c r="A24" s="138" t="s">
        <v>457</v>
      </c>
      <c r="B24" s="159"/>
      <c r="C24" s="160"/>
      <c r="D24" s="161"/>
      <c r="E24" s="159"/>
      <c r="F24" s="162"/>
      <c r="G24" s="163"/>
    </row>
    <row r="25" spans="1:7">
      <c r="A25" s="557" t="s">
        <v>52</v>
      </c>
      <c r="B25" s="164" t="s">
        <v>53</v>
      </c>
      <c r="C25" s="165"/>
      <c r="D25" s="166"/>
      <c r="E25" s="167" t="s">
        <v>54</v>
      </c>
      <c r="F25" s="165"/>
      <c r="G25" s="166"/>
    </row>
    <row r="26" spans="1:7">
      <c r="A26" s="558"/>
      <c r="B26" s="30" t="s">
        <v>432</v>
      </c>
      <c r="C26" s="147" t="s">
        <v>433</v>
      </c>
      <c r="D26" s="148" t="s">
        <v>413</v>
      </c>
      <c r="E26" s="30" t="s">
        <v>432</v>
      </c>
      <c r="F26" s="147" t="s">
        <v>433</v>
      </c>
      <c r="G26" s="148" t="s">
        <v>413</v>
      </c>
    </row>
    <row r="27" spans="1:7">
      <c r="A27" s="31">
        <v>1</v>
      </c>
      <c r="B27" s="489">
        <v>1565</v>
      </c>
      <c r="C27" s="382">
        <v>7451</v>
      </c>
      <c r="D27" s="486">
        <f>IFERROR((B27-C27)/C27,0)</f>
        <v>-0.78996107904979196</v>
      </c>
      <c r="E27" s="487">
        <v>764739</v>
      </c>
      <c r="F27" s="382">
        <v>1940085</v>
      </c>
      <c r="G27" s="486">
        <f>IFERROR((E27-F27)/F27,0)</f>
        <v>-0.60582190986477391</v>
      </c>
    </row>
    <row r="28" spans="1:7">
      <c r="A28" s="31">
        <v>2</v>
      </c>
      <c r="B28" s="489">
        <v>1930</v>
      </c>
      <c r="C28" s="382">
        <v>2436</v>
      </c>
      <c r="D28" s="486">
        <f>IFERROR((B28-C28)/C28,0)</f>
        <v>-0.2077175697865353</v>
      </c>
      <c r="E28" s="27">
        <v>1217458</v>
      </c>
      <c r="F28" s="382">
        <v>837495</v>
      </c>
      <c r="G28" s="486">
        <f t="shared" ref="G28:G39" si="2">IFERROR((E28-F28)/F28,0)</f>
        <v>0.45368987277535983</v>
      </c>
    </row>
    <row r="29" spans="1:7">
      <c r="A29" s="31">
        <v>3</v>
      </c>
      <c r="B29" s="489">
        <v>3134</v>
      </c>
      <c r="C29" s="382">
        <v>2801</v>
      </c>
      <c r="D29" s="486">
        <f t="shared" ref="D29:D39" si="3">IFERROR((B29-C29)/C29,0)</f>
        <v>0.11888611210282042</v>
      </c>
      <c r="E29" s="487">
        <v>1286924</v>
      </c>
      <c r="F29" s="382">
        <v>1797048</v>
      </c>
      <c r="G29" s="486">
        <f t="shared" si="2"/>
        <v>-0.28386776535740837</v>
      </c>
    </row>
    <row r="30" spans="1:7">
      <c r="A30" s="31">
        <v>4</v>
      </c>
      <c r="B30" s="489">
        <v>4931</v>
      </c>
      <c r="C30" s="490">
        <v>2583</v>
      </c>
      <c r="D30" s="486">
        <f t="shared" si="3"/>
        <v>0.90902051877661638</v>
      </c>
      <c r="E30" s="381">
        <v>1618535</v>
      </c>
      <c r="F30" s="379">
        <v>1203258</v>
      </c>
      <c r="G30" s="486">
        <f t="shared" si="2"/>
        <v>0.34512714646401688</v>
      </c>
    </row>
    <row r="31" spans="1:7">
      <c r="A31" s="31">
        <v>5</v>
      </c>
      <c r="B31" s="489">
        <f>整車出口!B72</f>
        <v>5530</v>
      </c>
      <c r="C31" s="382">
        <v>4746</v>
      </c>
      <c r="D31" s="486">
        <f t="shared" si="3"/>
        <v>0.16519174041297935</v>
      </c>
      <c r="E31" s="489">
        <f>整車出口!C72</f>
        <v>2047150</v>
      </c>
      <c r="F31" s="382">
        <v>1612117</v>
      </c>
      <c r="G31" s="486">
        <f t="shared" si="2"/>
        <v>0.26985200205692267</v>
      </c>
    </row>
    <row r="32" spans="1:7">
      <c r="A32" s="31">
        <v>6</v>
      </c>
      <c r="B32" s="489"/>
      <c r="C32" s="382"/>
      <c r="D32" s="486">
        <f t="shared" si="3"/>
        <v>0</v>
      </c>
      <c r="E32" s="487"/>
      <c r="F32" s="382"/>
      <c r="G32" s="486">
        <f t="shared" si="2"/>
        <v>0</v>
      </c>
    </row>
    <row r="33" spans="1:12">
      <c r="A33" s="31">
        <v>7</v>
      </c>
      <c r="B33" s="489"/>
      <c r="C33" s="382"/>
      <c r="D33" s="486">
        <f t="shared" si="3"/>
        <v>0</v>
      </c>
      <c r="E33" s="487"/>
      <c r="F33" s="382"/>
      <c r="G33" s="486">
        <f t="shared" si="2"/>
        <v>0</v>
      </c>
    </row>
    <row r="34" spans="1:12">
      <c r="A34" s="31">
        <v>8</v>
      </c>
      <c r="B34" s="489"/>
      <c r="C34" s="382"/>
      <c r="D34" s="486">
        <f t="shared" si="3"/>
        <v>0</v>
      </c>
      <c r="E34" s="487"/>
      <c r="F34" s="382"/>
      <c r="G34" s="486">
        <f t="shared" si="2"/>
        <v>0</v>
      </c>
    </row>
    <row r="35" spans="1:12">
      <c r="A35" s="31">
        <v>9</v>
      </c>
      <c r="B35" s="491"/>
      <c r="C35" s="90"/>
      <c r="D35" s="486">
        <f t="shared" si="3"/>
        <v>0</v>
      </c>
      <c r="E35" s="27"/>
      <c r="F35" s="90"/>
      <c r="G35" s="486">
        <f t="shared" si="2"/>
        <v>0</v>
      </c>
    </row>
    <row r="36" spans="1:12">
      <c r="A36" s="31">
        <v>10</v>
      </c>
      <c r="B36" s="491"/>
      <c r="C36" s="90"/>
      <c r="D36" s="486">
        <f t="shared" si="3"/>
        <v>0</v>
      </c>
      <c r="E36" s="27"/>
      <c r="F36" s="90"/>
      <c r="G36" s="486">
        <f t="shared" si="2"/>
        <v>0</v>
      </c>
    </row>
    <row r="37" spans="1:12">
      <c r="A37" s="31">
        <v>11</v>
      </c>
      <c r="B37" s="491"/>
      <c r="C37" s="90"/>
      <c r="D37" s="486">
        <f t="shared" si="3"/>
        <v>0</v>
      </c>
      <c r="E37" s="27"/>
      <c r="F37" s="90"/>
      <c r="G37" s="486">
        <f t="shared" si="2"/>
        <v>0</v>
      </c>
      <c r="I37" s="483"/>
      <c r="J37" s="483"/>
      <c r="K37" s="483"/>
      <c r="L37" s="483"/>
    </row>
    <row r="38" spans="1:12">
      <c r="A38" s="31">
        <v>12</v>
      </c>
      <c r="B38" s="33"/>
      <c r="C38" s="90"/>
      <c r="D38" s="486">
        <f t="shared" si="3"/>
        <v>0</v>
      </c>
      <c r="E38" s="33"/>
      <c r="F38" s="90"/>
      <c r="G38" s="486">
        <f t="shared" si="2"/>
        <v>0</v>
      </c>
      <c r="I38" s="483"/>
      <c r="J38" s="483"/>
      <c r="K38" s="483"/>
      <c r="L38" s="483"/>
    </row>
    <row r="39" spans="1:12" s="115" customFormat="1">
      <c r="A39" s="32" t="s">
        <v>51</v>
      </c>
      <c r="B39" s="33">
        <f>SUM(B27:B38)</f>
        <v>17090</v>
      </c>
      <c r="C39" s="90">
        <f>SUM(C27:C38)</f>
        <v>20017</v>
      </c>
      <c r="D39" s="486">
        <f t="shared" si="3"/>
        <v>-0.14622570814807415</v>
      </c>
      <c r="E39" s="33">
        <f>SUM(E27:E38)</f>
        <v>6934806</v>
      </c>
      <c r="F39" s="90">
        <f>SUM(F27:F38)</f>
        <v>7390003</v>
      </c>
      <c r="G39" s="486">
        <f t="shared" si="2"/>
        <v>-6.159632140880051E-2</v>
      </c>
    </row>
    <row r="40" spans="1:12" s="115" customFormat="1" ht="11.25" customHeight="1">
      <c r="A40" s="38"/>
      <c r="B40" s="39"/>
      <c r="C40" s="488"/>
      <c r="D40" s="150"/>
      <c r="E40" s="39"/>
      <c r="F40" s="488"/>
      <c r="G40" s="168"/>
    </row>
    <row r="41" spans="1:12" s="13" customFormat="1">
      <c r="A41" s="55" t="s">
        <v>414</v>
      </c>
      <c r="C41" s="169"/>
      <c r="D41" s="170"/>
      <c r="F41" s="169"/>
      <c r="G41" s="170"/>
    </row>
  </sheetData>
  <mergeCells count="2">
    <mergeCell ref="A5:A6"/>
    <mergeCell ref="A25:A26"/>
  </mergeCells>
  <phoneticPr fontId="3" type="noConversion"/>
  <conditionalFormatting sqref="B7:C9 B11:C14">
    <cfRule type="cellIs" dxfId="82" priority="14" operator="lessThan">
      <formula>0</formula>
    </cfRule>
  </conditionalFormatting>
  <conditionalFormatting sqref="B27:C29 B30 B31:C34">
    <cfRule type="cellIs" dxfId="81" priority="11" operator="lessThan">
      <formula>0</formula>
    </cfRule>
    <cfRule type="cellIs" dxfId="80" priority="12" operator="lessThan">
      <formula>0</formula>
    </cfRule>
  </conditionalFormatting>
  <conditionalFormatting sqref="E10:E18">
    <cfRule type="cellIs" dxfId="79" priority="3" operator="lessThan">
      <formula>0</formula>
    </cfRule>
  </conditionalFormatting>
  <conditionalFormatting sqref="E7:F9 F11:F14">
    <cfRule type="cellIs" dxfId="78" priority="13" operator="lessThan">
      <formula>0</formula>
    </cfRule>
  </conditionalFormatting>
  <conditionalFormatting sqref="E27:F29">
    <cfRule type="cellIs" dxfId="77" priority="9" operator="lessThan">
      <formula>0</formula>
    </cfRule>
    <cfRule type="cellIs" dxfId="76" priority="10" operator="lessThan">
      <formula>0</formula>
    </cfRule>
  </conditionalFormatting>
  <conditionalFormatting sqref="E31:F34">
    <cfRule type="cellIs" dxfId="75" priority="1" operator="lessThan">
      <formula>0</formula>
    </cfRule>
    <cfRule type="cellIs" dxfId="74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206"/>
  <sheetViews>
    <sheetView workbookViewId="0">
      <pane xSplit="1" ySplit="7" topLeftCell="B191" activePane="bottomRight" state="frozen"/>
      <selection pane="topRight" activeCell="B1" sqref="B1"/>
      <selection pane="bottomLeft" activeCell="A8" sqref="A8"/>
      <selection pane="bottomRight" activeCell="A137" sqref="A137:A150"/>
    </sheetView>
  </sheetViews>
  <sheetFormatPr defaultRowHeight="16.5"/>
  <cols>
    <col min="1" max="1" width="19.75" customWidth="1"/>
    <col min="2" max="2" width="10.375" customWidth="1"/>
    <col min="3" max="3" width="13.5" customWidth="1"/>
    <col min="4" max="4" width="10.375" customWidth="1"/>
    <col min="5" max="5" width="13.5" customWidth="1"/>
    <col min="6" max="6" width="10.375" customWidth="1"/>
    <col min="7" max="7" width="13.5" customWidth="1"/>
    <col min="8" max="8" width="9.25" customWidth="1"/>
    <col min="9" max="9" width="13.5" customWidth="1"/>
    <col min="10" max="10" width="10.375" customWidth="1"/>
    <col min="11" max="11" width="13.5" customWidth="1"/>
    <col min="12" max="12" width="10.375" customWidth="1"/>
    <col min="13" max="13" width="13.5" customWidth="1"/>
    <col min="14" max="14" width="10.375" customWidth="1"/>
    <col min="15" max="15" width="14.625" customWidth="1"/>
    <col min="16" max="16" width="10.375" customWidth="1"/>
    <col min="17" max="17" width="14.625" customWidth="1"/>
    <col min="18" max="18" width="10.375" bestFit="1" customWidth="1"/>
    <col min="19" max="19" width="13.5" bestFit="1" customWidth="1"/>
    <col min="20" max="20" width="10.375" bestFit="1" customWidth="1"/>
    <col min="21" max="21" width="13.5" bestFit="1" customWidth="1"/>
    <col min="22" max="22" width="11.25" customWidth="1"/>
    <col min="23" max="23" width="14.375" customWidth="1"/>
    <col min="24" max="24" width="14.25" customWidth="1"/>
    <col min="25" max="25" width="16.25" customWidth="1"/>
    <col min="26" max="26" width="12.25" bestFit="1" customWidth="1"/>
    <col min="27" max="27" width="15.375" customWidth="1"/>
  </cols>
  <sheetData>
    <row r="1" spans="1:27">
      <c r="A1" s="385" t="s">
        <v>152</v>
      </c>
      <c r="B1" s="386"/>
      <c r="C1" s="386"/>
      <c r="D1" s="386"/>
      <c r="E1" s="386"/>
      <c r="F1" s="386"/>
      <c r="G1" s="386"/>
      <c r="H1" s="386"/>
      <c r="I1" s="386"/>
      <c r="J1" s="387"/>
      <c r="K1" s="388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386"/>
      <c r="AA1" s="386"/>
    </row>
    <row r="2" spans="1:27">
      <c r="A2" s="389" t="s">
        <v>231</v>
      </c>
      <c r="B2" s="386"/>
      <c r="C2" s="386"/>
      <c r="D2" s="386"/>
      <c r="E2" s="386"/>
      <c r="F2" s="386"/>
      <c r="G2" s="386"/>
      <c r="H2" s="386"/>
      <c r="I2" s="386"/>
      <c r="J2" s="387"/>
      <c r="K2" s="388"/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W2" s="386"/>
      <c r="X2" s="386"/>
      <c r="Y2" s="386"/>
      <c r="Z2" s="386"/>
      <c r="AA2" s="386"/>
    </row>
    <row r="3" spans="1:27">
      <c r="A3" s="390" t="s">
        <v>121</v>
      </c>
      <c r="B3" s="386"/>
      <c r="C3" s="386"/>
      <c r="D3" s="386"/>
      <c r="E3" s="386"/>
      <c r="F3" s="386"/>
      <c r="G3" s="386"/>
      <c r="H3" s="386"/>
      <c r="I3" s="386"/>
      <c r="J3" s="387"/>
      <c r="K3" s="388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</row>
    <row r="4" spans="1:27">
      <c r="A4" s="390" t="s">
        <v>122</v>
      </c>
      <c r="B4" s="386"/>
      <c r="C4" s="386"/>
      <c r="D4" s="386"/>
      <c r="E4" s="386"/>
      <c r="F4" s="386"/>
      <c r="G4" s="386"/>
      <c r="H4" s="386"/>
      <c r="I4" s="386"/>
      <c r="J4" s="387"/>
      <c r="K4" s="388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</row>
    <row r="5" spans="1:27">
      <c r="A5" s="391" t="s">
        <v>123</v>
      </c>
      <c r="B5" s="386"/>
      <c r="C5" s="386"/>
      <c r="D5" s="386"/>
      <c r="E5" s="386"/>
      <c r="F5" s="386"/>
      <c r="G5" s="386"/>
      <c r="H5" s="386"/>
      <c r="I5" s="386"/>
      <c r="J5" s="387"/>
      <c r="K5" s="388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</row>
    <row r="6" spans="1:27">
      <c r="A6" s="392"/>
      <c r="B6" s="393" t="s">
        <v>124</v>
      </c>
      <c r="C6" s="394"/>
      <c r="D6" s="393" t="s">
        <v>125</v>
      </c>
      <c r="E6" s="394"/>
      <c r="F6" s="393" t="s">
        <v>126</v>
      </c>
      <c r="G6" s="394"/>
      <c r="H6" s="393" t="s">
        <v>127</v>
      </c>
      <c r="I6" s="394"/>
      <c r="J6" s="395" t="s">
        <v>128</v>
      </c>
      <c r="K6" s="396"/>
      <c r="L6" s="393" t="s">
        <v>129</v>
      </c>
      <c r="M6" s="394"/>
      <c r="N6" s="393" t="s">
        <v>130</v>
      </c>
      <c r="O6" s="394"/>
      <c r="P6" s="393" t="s">
        <v>131</v>
      </c>
      <c r="Q6" s="394"/>
      <c r="R6" s="393" t="s">
        <v>132</v>
      </c>
      <c r="S6" s="394"/>
      <c r="T6" s="393" t="s">
        <v>133</v>
      </c>
      <c r="U6" s="394"/>
      <c r="V6" s="393" t="s">
        <v>134</v>
      </c>
      <c r="W6" s="394"/>
      <c r="X6" s="393" t="s">
        <v>135</v>
      </c>
      <c r="Y6" s="394"/>
      <c r="Z6" s="393" t="s">
        <v>106</v>
      </c>
      <c r="AA6" s="394"/>
    </row>
    <row r="7" spans="1:27">
      <c r="A7" s="397" t="s">
        <v>136</v>
      </c>
      <c r="B7" s="398" t="s">
        <v>137</v>
      </c>
      <c r="C7" s="398" t="s">
        <v>138</v>
      </c>
      <c r="D7" s="398" t="s">
        <v>139</v>
      </c>
      <c r="E7" s="398" t="s">
        <v>140</v>
      </c>
      <c r="F7" s="398" t="s">
        <v>139</v>
      </c>
      <c r="G7" s="398" t="s">
        <v>140</v>
      </c>
      <c r="H7" s="398" t="s">
        <v>139</v>
      </c>
      <c r="I7" s="398" t="s">
        <v>140</v>
      </c>
      <c r="J7" s="399" t="s">
        <v>139</v>
      </c>
      <c r="K7" s="400" t="s">
        <v>140</v>
      </c>
      <c r="L7" s="398" t="s">
        <v>139</v>
      </c>
      <c r="M7" s="398" t="s">
        <v>140</v>
      </c>
      <c r="N7" s="398" t="s">
        <v>139</v>
      </c>
      <c r="O7" s="398" t="s">
        <v>140</v>
      </c>
      <c r="P7" s="398" t="s">
        <v>139</v>
      </c>
      <c r="Q7" s="398" t="s">
        <v>140</v>
      </c>
      <c r="R7" s="398" t="s">
        <v>139</v>
      </c>
      <c r="S7" s="398" t="s">
        <v>140</v>
      </c>
      <c r="T7" s="398" t="s">
        <v>139</v>
      </c>
      <c r="U7" s="398" t="s">
        <v>140</v>
      </c>
      <c r="V7" s="398" t="s">
        <v>139</v>
      </c>
      <c r="W7" s="398" t="s">
        <v>140</v>
      </c>
      <c r="X7" s="398" t="s">
        <v>139</v>
      </c>
      <c r="Y7" s="398" t="s">
        <v>140</v>
      </c>
      <c r="Z7" s="398" t="s">
        <v>139</v>
      </c>
      <c r="AA7" s="398" t="s">
        <v>140</v>
      </c>
    </row>
    <row r="8" spans="1:27">
      <c r="A8" s="401"/>
      <c r="B8" s="402"/>
      <c r="C8" s="402"/>
      <c r="D8" s="402"/>
      <c r="E8" s="402"/>
      <c r="F8" s="402"/>
      <c r="G8" s="402"/>
      <c r="H8" s="402"/>
      <c r="I8" s="402"/>
      <c r="J8" s="403"/>
      <c r="K8" s="404"/>
      <c r="L8" s="402"/>
      <c r="M8" s="402"/>
      <c r="N8" s="402"/>
      <c r="O8" s="402"/>
      <c r="P8" s="402"/>
      <c r="Q8" s="402"/>
      <c r="R8" s="402"/>
      <c r="S8" s="402"/>
      <c r="T8" s="402"/>
      <c r="U8" s="402"/>
      <c r="V8" s="402"/>
      <c r="W8" s="402"/>
      <c r="X8" s="402"/>
      <c r="Y8" s="402"/>
      <c r="Z8" s="402"/>
      <c r="AA8" s="402"/>
    </row>
    <row r="9" spans="1:27">
      <c r="A9" s="405" t="s">
        <v>106</v>
      </c>
      <c r="B9" s="406">
        <f t="shared" ref="B9:Y9" si="0">B11+B36+B85+B97+B102+B136+B151+B189</f>
        <v>149387</v>
      </c>
      <c r="C9" s="406">
        <f t="shared" si="0"/>
        <v>83642274</v>
      </c>
      <c r="D9" s="406">
        <f t="shared" si="0"/>
        <v>134859</v>
      </c>
      <c r="E9" s="406">
        <f t="shared" si="0"/>
        <v>77838400</v>
      </c>
      <c r="F9" s="406">
        <f t="shared" si="0"/>
        <v>116197</v>
      </c>
      <c r="G9" s="406">
        <f t="shared" si="0"/>
        <v>70981672</v>
      </c>
      <c r="H9" s="406">
        <f>H11+H36+H85+H97+H102+H136+H151+H189</f>
        <v>96180</v>
      </c>
      <c r="I9" s="406">
        <f t="shared" si="0"/>
        <v>53927495</v>
      </c>
      <c r="J9" s="407">
        <f t="shared" si="0"/>
        <v>135293</v>
      </c>
      <c r="K9" s="408">
        <f t="shared" si="0"/>
        <v>86108621</v>
      </c>
      <c r="L9" s="406">
        <f t="shared" si="0"/>
        <v>137464</v>
      </c>
      <c r="M9" s="406">
        <f t="shared" si="0"/>
        <v>97259100</v>
      </c>
      <c r="N9" s="406">
        <f t="shared" si="0"/>
        <v>135636</v>
      </c>
      <c r="O9" s="406">
        <f>O11+O36+O85+O97+O102+O136+O151+O189</f>
        <v>113137191</v>
      </c>
      <c r="P9" s="406">
        <f t="shared" ref="P9:Q9" si="1">P11+P36+P85+P97+P102+P136+P151+P189</f>
        <v>180175</v>
      </c>
      <c r="Q9" s="406">
        <f t="shared" si="1"/>
        <v>130469911</v>
      </c>
      <c r="R9" s="406">
        <f t="shared" si="0"/>
        <v>138272</v>
      </c>
      <c r="S9" s="406">
        <f t="shared" si="0"/>
        <v>91374787</v>
      </c>
      <c r="T9" s="406">
        <f t="shared" si="0"/>
        <v>158604</v>
      </c>
      <c r="U9" s="406">
        <f t="shared" si="0"/>
        <v>99046159</v>
      </c>
      <c r="V9" s="406">
        <f>V11+V36+V85+V97+V102+V136+V151+V189</f>
        <v>154200</v>
      </c>
      <c r="W9" s="406">
        <f>W11+W36+W85+W97+W102+W136+W151+W189</f>
        <v>91747985</v>
      </c>
      <c r="X9" s="406">
        <f t="shared" si="0"/>
        <v>162659</v>
      </c>
      <c r="Y9" s="406">
        <f t="shared" si="0"/>
        <v>102455347</v>
      </c>
      <c r="Z9" s="406">
        <f>SUM(B9,D9,F9,H9,J9,L9,N9,P9,R9,T9,V9,X9)</f>
        <v>1698926</v>
      </c>
      <c r="AA9" s="406">
        <f>SUM(C9,E9,G9,I9,K9,M9,O9,Q9,S9,U9,W9,Y9)</f>
        <v>1097988942</v>
      </c>
    </row>
    <row r="10" spans="1:27">
      <c r="A10" s="409"/>
      <c r="B10" s="410"/>
      <c r="C10" s="410"/>
      <c r="D10" s="410"/>
      <c r="E10" s="410"/>
      <c r="F10" s="410"/>
      <c r="G10" s="410"/>
      <c r="H10" s="410"/>
      <c r="I10" s="410"/>
      <c r="J10" s="403"/>
      <c r="K10" s="404"/>
      <c r="L10" s="410"/>
      <c r="M10" s="410"/>
      <c r="N10" s="410"/>
      <c r="O10" s="410"/>
      <c r="P10" s="410"/>
      <c r="Q10" s="410"/>
      <c r="R10" s="410"/>
      <c r="S10" s="410"/>
      <c r="T10" s="410"/>
      <c r="U10" s="410"/>
      <c r="V10" s="410"/>
      <c r="W10" s="410"/>
      <c r="X10" s="410"/>
      <c r="Y10" s="410"/>
      <c r="Z10" s="410"/>
      <c r="AA10" s="410"/>
    </row>
    <row r="11" spans="1:27">
      <c r="A11" s="411" t="s">
        <v>141</v>
      </c>
      <c r="B11" s="412">
        <f t="shared" ref="B11:Y11" si="2">SUM(B12:B34)</f>
        <v>9822</v>
      </c>
      <c r="C11" s="412">
        <f t="shared" si="2"/>
        <v>7689072</v>
      </c>
      <c r="D11" s="412">
        <f t="shared" si="2"/>
        <v>13182</v>
      </c>
      <c r="E11" s="412">
        <f t="shared" si="2"/>
        <v>9988636</v>
      </c>
      <c r="F11" s="412">
        <f t="shared" si="2"/>
        <v>12924</v>
      </c>
      <c r="G11" s="412">
        <f t="shared" si="2"/>
        <v>10303881</v>
      </c>
      <c r="H11" s="412">
        <f t="shared" si="2"/>
        <v>8794</v>
      </c>
      <c r="I11" s="412">
        <f t="shared" si="2"/>
        <v>7937732</v>
      </c>
      <c r="J11" s="413">
        <f t="shared" si="2"/>
        <v>14153</v>
      </c>
      <c r="K11" s="414">
        <f>SUM(K12:K34)</f>
        <v>9985367</v>
      </c>
      <c r="L11" s="412">
        <f t="shared" si="2"/>
        <v>13721</v>
      </c>
      <c r="M11" s="412">
        <f t="shared" si="2"/>
        <v>10777159</v>
      </c>
      <c r="N11" s="412">
        <f t="shared" si="2"/>
        <v>17223</v>
      </c>
      <c r="O11" s="412">
        <f t="shared" si="2"/>
        <v>14149868</v>
      </c>
      <c r="P11" s="412">
        <f t="shared" si="2"/>
        <v>16854</v>
      </c>
      <c r="Q11" s="412">
        <f t="shared" si="2"/>
        <v>16948467</v>
      </c>
      <c r="R11" s="412">
        <f t="shared" si="2"/>
        <v>13693</v>
      </c>
      <c r="S11" s="412">
        <f t="shared" si="2"/>
        <v>11152146</v>
      </c>
      <c r="T11" s="412">
        <f t="shared" si="2"/>
        <v>11159</v>
      </c>
      <c r="U11" s="412">
        <f t="shared" si="2"/>
        <v>10364638</v>
      </c>
      <c r="V11" s="412">
        <f>SUM(V12:V34)</f>
        <v>11101</v>
      </c>
      <c r="W11" s="412">
        <f>SUM(W12:W34)</f>
        <v>10615154</v>
      </c>
      <c r="X11" s="412">
        <f t="shared" si="2"/>
        <v>15058</v>
      </c>
      <c r="Y11" s="412">
        <f t="shared" si="2"/>
        <v>14072707</v>
      </c>
      <c r="Z11" s="412">
        <f t="shared" ref="Z11:Z34" si="3">SUM(B11,D11,F11,H11,J11,L11,N11,P11,R11,T11,V11,X11)</f>
        <v>157684</v>
      </c>
      <c r="AA11" s="412">
        <f t="shared" ref="AA11:AA34" si="4">SUM(C11,E11,G11,I11,K11,M11,O11,Q11,S11,U11,W11,Y11)</f>
        <v>133984827</v>
      </c>
    </row>
    <row r="12" spans="1:27">
      <c r="A12" s="415" t="s">
        <v>222</v>
      </c>
      <c r="B12" s="416">
        <v>6052</v>
      </c>
      <c r="C12" s="416">
        <v>4259214</v>
      </c>
      <c r="D12" s="416">
        <v>7754</v>
      </c>
      <c r="E12" s="416">
        <v>4910425</v>
      </c>
      <c r="F12" s="416">
        <v>5600</v>
      </c>
      <c r="G12" s="416">
        <v>3312180</v>
      </c>
      <c r="H12" s="416">
        <v>3341</v>
      </c>
      <c r="I12" s="416">
        <v>2434783</v>
      </c>
      <c r="J12" s="417">
        <v>6917</v>
      </c>
      <c r="K12" s="418">
        <v>3550152</v>
      </c>
      <c r="L12" s="416">
        <v>4508</v>
      </c>
      <c r="M12" s="416">
        <v>3172221</v>
      </c>
      <c r="N12" s="416">
        <v>8345</v>
      </c>
      <c r="O12" s="416">
        <v>5467381</v>
      </c>
      <c r="P12" s="416">
        <v>6542</v>
      </c>
      <c r="Q12" s="416">
        <v>5892377</v>
      </c>
      <c r="R12" s="416">
        <v>4607</v>
      </c>
      <c r="S12" s="416">
        <v>2424966</v>
      </c>
      <c r="T12" s="416">
        <v>3933</v>
      </c>
      <c r="U12" s="416">
        <v>2807435</v>
      </c>
      <c r="V12" s="416">
        <f>_xlfn.IFNA(VLOOKUP(A12,[3]進出口值表查詢結果!$C$11:$F$68,4,0),-[4]整車!$B$22)</f>
        <v>4019</v>
      </c>
      <c r="W12" s="416">
        <f>_xlfn.IFNA(VLOOKUP(A12,[3]進出口值表查詢結果!$C$11:$F$68,3,0),-[4]整車!$B$22)</f>
        <v>3259963</v>
      </c>
      <c r="X12" s="416">
        <f>_xlfn.IFNA(VLOOKUP(A12,[5]進出口值表查詢結果!$C$11:$F$68,4,0),-[4]整車!$B$22)</f>
        <v>5220</v>
      </c>
      <c r="Y12" s="416">
        <f>_xlfn.IFNA(VLOOKUP(A12,[5]進出口值表查詢結果!$C$11:$F$68,3,0),-[4]整車!$B$22)</f>
        <v>3196394</v>
      </c>
      <c r="Z12" s="410">
        <f t="shared" si="3"/>
        <v>66838</v>
      </c>
      <c r="AA12" s="410">
        <f t="shared" si="4"/>
        <v>44687491</v>
      </c>
    </row>
    <row r="13" spans="1:27">
      <c r="A13" s="415" t="s">
        <v>232</v>
      </c>
      <c r="B13" s="416">
        <v>179</v>
      </c>
      <c r="C13" s="416">
        <v>131656</v>
      </c>
      <c r="D13" s="416">
        <v>274</v>
      </c>
      <c r="E13" s="416">
        <v>366955</v>
      </c>
      <c r="F13" s="416">
        <v>379</v>
      </c>
      <c r="G13" s="416">
        <v>326020</v>
      </c>
      <c r="H13" s="416">
        <v>412</v>
      </c>
      <c r="I13" s="416">
        <v>690860</v>
      </c>
      <c r="J13" s="417">
        <v>564</v>
      </c>
      <c r="K13" s="418">
        <v>591178</v>
      </c>
      <c r="L13" s="416">
        <v>419</v>
      </c>
      <c r="M13" s="416">
        <v>628920</v>
      </c>
      <c r="N13" s="416">
        <v>900</v>
      </c>
      <c r="O13" s="416">
        <v>1147430</v>
      </c>
      <c r="P13" s="416">
        <v>1146</v>
      </c>
      <c r="Q13" s="416">
        <v>1244090</v>
      </c>
      <c r="R13" s="416">
        <v>1102</v>
      </c>
      <c r="S13" s="416">
        <v>984782</v>
      </c>
      <c r="T13" s="416">
        <v>754</v>
      </c>
      <c r="U13" s="416">
        <v>962823</v>
      </c>
      <c r="V13" s="416">
        <f>_xlfn.IFNA(VLOOKUP(A13,[3]進出口值表查詢結果!$C$11:$F$68,4,0),-[4]整車!$B$22)</f>
        <v>856</v>
      </c>
      <c r="W13" s="416">
        <f>_xlfn.IFNA(VLOOKUP(A13,[3]進出口值表查詢結果!$C$11:$F$68,3,0),-[4]整車!$B$22)</f>
        <v>955426</v>
      </c>
      <c r="X13" s="416">
        <f>_xlfn.IFNA(VLOOKUP(A13,[5]進出口值表查詢結果!$C$11:$F$68,4,0),-[4]整車!$B$22)</f>
        <v>1391</v>
      </c>
      <c r="Y13" s="416">
        <f>_xlfn.IFNA(VLOOKUP(A13,[5]進出口值表查詢結果!$C$11:$F$68,3,0),-[4]整車!$B$22)</f>
        <v>1781279</v>
      </c>
      <c r="Z13" s="410">
        <f t="shared" si="3"/>
        <v>8376</v>
      </c>
      <c r="AA13" s="410">
        <f t="shared" si="4"/>
        <v>9811419</v>
      </c>
    </row>
    <row r="14" spans="1:27">
      <c r="A14" s="453" t="s">
        <v>233</v>
      </c>
      <c r="B14" s="416">
        <v>524</v>
      </c>
      <c r="C14" s="416">
        <v>127658</v>
      </c>
      <c r="D14" s="416">
        <v>549</v>
      </c>
      <c r="E14" s="416">
        <v>126180</v>
      </c>
      <c r="F14" s="416">
        <v>710</v>
      </c>
      <c r="G14" s="416">
        <v>174742</v>
      </c>
      <c r="H14" s="416">
        <v>864</v>
      </c>
      <c r="I14" s="416">
        <v>362370</v>
      </c>
      <c r="J14" s="417">
        <v>1603</v>
      </c>
      <c r="K14" s="418">
        <v>677515</v>
      </c>
      <c r="L14" s="416">
        <v>1216</v>
      </c>
      <c r="M14" s="416">
        <v>120579</v>
      </c>
      <c r="N14" s="416">
        <v>1021</v>
      </c>
      <c r="O14" s="416">
        <v>611528</v>
      </c>
      <c r="P14" s="416">
        <v>1131</v>
      </c>
      <c r="Q14" s="416">
        <v>586618</v>
      </c>
      <c r="R14" s="416">
        <v>1515</v>
      </c>
      <c r="S14" s="416">
        <v>914097</v>
      </c>
      <c r="T14" s="416">
        <v>818</v>
      </c>
      <c r="U14" s="416">
        <v>265715</v>
      </c>
      <c r="V14" s="416">
        <f>_xlfn.IFNA(VLOOKUP(A14,[3]進出口值表查詢結果!$C$11:$F$68,4,0),-[4]整車!$B$22)</f>
        <v>695</v>
      </c>
      <c r="W14" s="416">
        <f>_xlfn.IFNA(VLOOKUP(A14,[3]進出口值表查詢結果!$C$11:$F$68,3,0),-[4]整車!$B$22)</f>
        <v>379724</v>
      </c>
      <c r="X14" s="416">
        <f>_xlfn.IFNA(VLOOKUP(A14,[5]進出口值表查詢結果!$C$11:$F$68,4,0),-[4]整車!$B$22)</f>
        <v>456</v>
      </c>
      <c r="Y14" s="416">
        <f>_xlfn.IFNA(VLOOKUP(A14,[5]進出口值表查詢結果!$C$11:$F$68,3,0),-[4]整車!$B$22)</f>
        <v>425334</v>
      </c>
      <c r="Z14" s="410">
        <f t="shared" si="3"/>
        <v>11102</v>
      </c>
      <c r="AA14" s="410">
        <f t="shared" si="4"/>
        <v>4772060</v>
      </c>
    </row>
    <row r="15" spans="1:27">
      <c r="A15" s="453" t="s">
        <v>171</v>
      </c>
      <c r="B15" s="416">
        <v>65</v>
      </c>
      <c r="C15" s="416">
        <v>102167</v>
      </c>
      <c r="D15" s="416">
        <v>153</v>
      </c>
      <c r="E15" s="416">
        <v>198502</v>
      </c>
      <c r="F15" s="416">
        <v>171</v>
      </c>
      <c r="G15" s="416">
        <v>186525</v>
      </c>
      <c r="H15" s="416">
        <v>62</v>
      </c>
      <c r="I15" s="416">
        <v>69195</v>
      </c>
      <c r="J15" s="417">
        <v>111</v>
      </c>
      <c r="K15" s="418">
        <v>71668</v>
      </c>
      <c r="L15" s="416">
        <v>156</v>
      </c>
      <c r="M15" s="416">
        <v>125402</v>
      </c>
      <c r="N15" s="416">
        <v>167</v>
      </c>
      <c r="O15" s="416">
        <v>258485</v>
      </c>
      <c r="P15" s="416">
        <v>211</v>
      </c>
      <c r="Q15" s="416">
        <v>238597</v>
      </c>
      <c r="R15" s="416">
        <v>601</v>
      </c>
      <c r="S15" s="416">
        <v>371230</v>
      </c>
      <c r="T15" s="416">
        <v>212</v>
      </c>
      <c r="U15" s="416">
        <v>237659</v>
      </c>
      <c r="V15" s="416">
        <f>_xlfn.IFNA(VLOOKUP(A15,[3]進出口值表查詢結果!$C$11:$F$68,4,0),-[4]整車!$B$22)</f>
        <v>156</v>
      </c>
      <c r="W15" s="416">
        <f>_xlfn.IFNA(VLOOKUP(A15,[3]進出口值表查詢結果!$C$11:$F$68,3,0),-[4]整車!$B$22)</f>
        <v>243778</v>
      </c>
      <c r="X15" s="416">
        <f>_xlfn.IFNA(VLOOKUP(A15,[5]進出口值表查詢結果!$C$11:$F$68,4,0),-[4]整車!$B$22)</f>
        <v>452</v>
      </c>
      <c r="Y15" s="416">
        <f>_xlfn.IFNA(VLOOKUP(A15,[5]進出口值表查詢結果!$C$11:$F$68,3,0),-[4]整車!$B$22)</f>
        <v>279986</v>
      </c>
      <c r="Z15" s="410">
        <f t="shared" si="3"/>
        <v>2517</v>
      </c>
      <c r="AA15" s="410">
        <f t="shared" si="4"/>
        <v>2383194</v>
      </c>
    </row>
    <row r="16" spans="1:27">
      <c r="A16" s="454" t="s">
        <v>177</v>
      </c>
      <c r="B16" s="416">
        <v>1307</v>
      </c>
      <c r="C16" s="416">
        <v>1817059</v>
      </c>
      <c r="D16" s="416">
        <v>1950</v>
      </c>
      <c r="E16" s="416">
        <v>2185577</v>
      </c>
      <c r="F16" s="416">
        <v>2367</v>
      </c>
      <c r="G16" s="416">
        <v>2674246</v>
      </c>
      <c r="H16" s="416">
        <v>2201</v>
      </c>
      <c r="I16" s="416">
        <v>1979400</v>
      </c>
      <c r="J16" s="417">
        <v>2682</v>
      </c>
      <c r="K16" s="418">
        <v>2461078</v>
      </c>
      <c r="L16" s="416">
        <v>2380</v>
      </c>
      <c r="M16" s="416">
        <v>2624768</v>
      </c>
      <c r="N16" s="416">
        <v>2747</v>
      </c>
      <c r="O16" s="416">
        <v>2999359</v>
      </c>
      <c r="P16" s="416">
        <v>3612</v>
      </c>
      <c r="Q16" s="416">
        <v>4516165</v>
      </c>
      <c r="R16" s="416">
        <v>2996</v>
      </c>
      <c r="S16" s="416">
        <v>3713824</v>
      </c>
      <c r="T16" s="416">
        <v>2056</v>
      </c>
      <c r="U16" s="416">
        <v>2891152</v>
      </c>
      <c r="V16" s="416">
        <f>_xlfn.IFNA(VLOOKUP(A16,[3]進出口值表查詢結果!$C$11:$F$68,4,0),-[4]整車!$B$22)</f>
        <v>1790</v>
      </c>
      <c r="W16" s="416">
        <f>_xlfn.IFNA(VLOOKUP(A16,[3]進出口值表查詢結果!$C$11:$F$68,3,0),-[4]整車!$B$22)</f>
        <v>2212342</v>
      </c>
      <c r="X16" s="416">
        <f>_xlfn.IFNA(VLOOKUP(A16,[5]進出口值表查詢結果!$C$11:$F$68,4,0),-[4]整車!$B$22)</f>
        <v>1546</v>
      </c>
      <c r="Y16" s="416">
        <f>_xlfn.IFNA(VLOOKUP(A16,[5]進出口值表查詢結果!$C$11:$F$68,3,0),-[4]整車!$B$22)</f>
        <v>1984044</v>
      </c>
      <c r="Z16" s="410">
        <f t="shared" si="3"/>
        <v>27634</v>
      </c>
      <c r="AA16" s="410">
        <f t="shared" si="4"/>
        <v>32059014</v>
      </c>
    </row>
    <row r="17" spans="1:27">
      <c r="A17" s="453" t="s">
        <v>180</v>
      </c>
      <c r="B17" s="416">
        <v>196</v>
      </c>
      <c r="C17" s="416">
        <v>159614</v>
      </c>
      <c r="D17" s="416">
        <v>25</v>
      </c>
      <c r="E17" s="416">
        <v>14125</v>
      </c>
      <c r="F17" s="416">
        <v>272</v>
      </c>
      <c r="G17" s="416">
        <v>324659</v>
      </c>
      <c r="H17" s="416">
        <v>6</v>
      </c>
      <c r="I17" s="416">
        <v>198</v>
      </c>
      <c r="J17" s="417">
        <v>392</v>
      </c>
      <c r="K17" s="418">
        <v>442301</v>
      </c>
      <c r="L17" s="416">
        <v>213</v>
      </c>
      <c r="M17" s="416">
        <v>334619</v>
      </c>
      <c r="N17" s="416">
        <v>471</v>
      </c>
      <c r="O17" s="416">
        <v>520823</v>
      </c>
      <c r="P17" s="416">
        <v>373</v>
      </c>
      <c r="Q17" s="416">
        <v>455099</v>
      </c>
      <c r="R17" s="416">
        <v>34</v>
      </c>
      <c r="S17" s="416">
        <v>38452</v>
      </c>
      <c r="T17" s="416">
        <v>10</v>
      </c>
      <c r="U17" s="416">
        <v>4200</v>
      </c>
      <c r="V17" s="416">
        <f>_xlfn.IFNA(VLOOKUP(A17,[3]進出口值表查詢結果!$C$11:$F$68,4,0),-[4]整車!$B$22)</f>
        <v>34</v>
      </c>
      <c r="W17" s="416">
        <f>_xlfn.IFNA(VLOOKUP(A17,[3]進出口值表查詢結果!$C$11:$F$68,3,0),-[4]整車!$B$22)</f>
        <v>42910</v>
      </c>
      <c r="X17" s="416">
        <f>_xlfn.IFNA(VLOOKUP(A17,[5]進出口值表查詢結果!$C$11:$F$68,4,0),-[4]整車!$B$22)</f>
        <v>823</v>
      </c>
      <c r="Y17" s="416">
        <f>_xlfn.IFNA(VLOOKUP(A17,[5]進出口值表查詢結果!$C$11:$F$68,3,0),-[4]整車!$B$22)</f>
        <v>958153</v>
      </c>
      <c r="Z17" s="410">
        <f t="shared" si="3"/>
        <v>2849</v>
      </c>
      <c r="AA17" s="410">
        <f t="shared" si="4"/>
        <v>3295153</v>
      </c>
    </row>
    <row r="18" spans="1:27">
      <c r="A18" s="453" t="s">
        <v>182</v>
      </c>
      <c r="B18" s="416">
        <v>246</v>
      </c>
      <c r="C18" s="416">
        <v>218428</v>
      </c>
      <c r="D18" s="416">
        <v>112</v>
      </c>
      <c r="E18" s="416">
        <v>127248</v>
      </c>
      <c r="F18" s="416">
        <v>145</v>
      </c>
      <c r="G18" s="416">
        <v>175938</v>
      </c>
      <c r="H18" s="416">
        <v>76</v>
      </c>
      <c r="I18" s="416">
        <v>84167</v>
      </c>
      <c r="J18" s="417">
        <v>231</v>
      </c>
      <c r="K18" s="418">
        <v>292647</v>
      </c>
      <c r="L18" s="416">
        <v>225</v>
      </c>
      <c r="M18" s="416">
        <v>233311</v>
      </c>
      <c r="N18" s="416">
        <v>442</v>
      </c>
      <c r="O18" s="416">
        <v>515923</v>
      </c>
      <c r="P18" s="416">
        <v>635</v>
      </c>
      <c r="Q18" s="416">
        <v>666047</v>
      </c>
      <c r="R18" s="416">
        <v>372</v>
      </c>
      <c r="S18" s="416">
        <v>415965</v>
      </c>
      <c r="T18" s="416">
        <v>793</v>
      </c>
      <c r="U18" s="416">
        <v>698930</v>
      </c>
      <c r="V18" s="416">
        <f>_xlfn.IFNA(VLOOKUP(A18,[3]進出口值表查詢結果!$C$11:$F$68,4,0),-[4]整車!$B$22)</f>
        <v>332</v>
      </c>
      <c r="W18" s="416">
        <f>_xlfn.IFNA(VLOOKUP(A18,[3]進出口值表查詢結果!$C$11:$F$68,3,0),-[4]整車!$B$22)</f>
        <v>417088</v>
      </c>
      <c r="X18" s="416">
        <f>_xlfn.IFNA(VLOOKUP(A18,[5]進出口值表查詢結果!$C$11:$F$68,4,0),-[4]整車!$B$22)</f>
        <v>830</v>
      </c>
      <c r="Y18" s="416">
        <f>_xlfn.IFNA(VLOOKUP(A18,[5]進出口值表查詢結果!$C$11:$F$68,3,0),-[4]整車!$B$22)</f>
        <v>1167495</v>
      </c>
      <c r="Z18" s="410">
        <f t="shared" si="3"/>
        <v>4439</v>
      </c>
      <c r="AA18" s="410">
        <f t="shared" si="4"/>
        <v>5013187</v>
      </c>
    </row>
    <row r="19" spans="1:27">
      <c r="A19" s="453" t="s">
        <v>181</v>
      </c>
      <c r="B19" s="416">
        <v>38</v>
      </c>
      <c r="C19" s="416">
        <v>34255</v>
      </c>
      <c r="D19" s="416">
        <v>114</v>
      </c>
      <c r="E19" s="416">
        <v>142072</v>
      </c>
      <c r="F19" s="416">
        <v>47</v>
      </c>
      <c r="G19" s="416">
        <v>88748</v>
      </c>
      <c r="H19" s="416">
        <v>116</v>
      </c>
      <c r="I19" s="416">
        <v>179464</v>
      </c>
      <c r="J19" s="417">
        <v>134</v>
      </c>
      <c r="K19" s="418">
        <v>160240</v>
      </c>
      <c r="L19" s="416">
        <v>114</v>
      </c>
      <c r="M19" s="416">
        <v>167091</v>
      </c>
      <c r="N19" s="416">
        <v>103</v>
      </c>
      <c r="O19" s="416">
        <v>156524</v>
      </c>
      <c r="P19" s="416">
        <v>60</v>
      </c>
      <c r="Q19" s="416">
        <v>89867</v>
      </c>
      <c r="R19" s="416">
        <v>291</v>
      </c>
      <c r="S19" s="416">
        <v>452957</v>
      </c>
      <c r="T19" s="416">
        <v>157</v>
      </c>
      <c r="U19" s="416">
        <v>198796</v>
      </c>
      <c r="V19" s="416">
        <f>_xlfn.IFNA(VLOOKUP(A19,[3]進出口值表查詢結果!$C$11:$F$68,4,0),-[4]整車!$B$22)</f>
        <v>161</v>
      </c>
      <c r="W19" s="416">
        <f>_xlfn.IFNA(VLOOKUP(A19,[3]進出口值表查詢結果!$C$11:$F$68,3,0),-[4]整車!$B$22)</f>
        <v>332513</v>
      </c>
      <c r="X19" s="416">
        <f>_xlfn.IFNA(VLOOKUP(A19,[5]進出口值表查詢結果!$C$11:$F$68,4,0),-[4]整車!$B$22)</f>
        <v>82</v>
      </c>
      <c r="Y19" s="416">
        <f>_xlfn.IFNA(VLOOKUP(A19,[5]進出口值表查詢結果!$C$11:$F$68,3,0),-[4]整車!$B$22)</f>
        <v>135445</v>
      </c>
      <c r="Z19" s="410">
        <f t="shared" si="3"/>
        <v>1417</v>
      </c>
      <c r="AA19" s="410">
        <f t="shared" si="4"/>
        <v>2137972</v>
      </c>
    </row>
    <row r="20" spans="1:27">
      <c r="A20" s="453" t="s">
        <v>234</v>
      </c>
      <c r="B20" s="416">
        <v>0</v>
      </c>
      <c r="C20" s="416">
        <v>0</v>
      </c>
      <c r="D20" s="416">
        <v>62</v>
      </c>
      <c r="E20" s="416">
        <v>80913</v>
      </c>
      <c r="F20" s="416">
        <v>0</v>
      </c>
      <c r="G20" s="416"/>
      <c r="H20" s="416">
        <v>0</v>
      </c>
      <c r="I20" s="416">
        <v>0</v>
      </c>
      <c r="J20" s="417">
        <v>14</v>
      </c>
      <c r="K20" s="418">
        <v>18143</v>
      </c>
      <c r="L20" s="416">
        <v>0</v>
      </c>
      <c r="M20" s="416">
        <v>0</v>
      </c>
      <c r="N20" s="416">
        <v>0</v>
      </c>
      <c r="O20" s="416">
        <v>0</v>
      </c>
      <c r="P20" s="416">
        <v>0</v>
      </c>
      <c r="Q20" s="416">
        <v>0</v>
      </c>
      <c r="R20" s="416">
        <v>0</v>
      </c>
      <c r="S20" s="416">
        <v>0</v>
      </c>
      <c r="T20" s="416"/>
      <c r="U20" s="416"/>
      <c r="V20" s="416">
        <f>_xlfn.IFNA(VLOOKUP(A20,[3]進出口值表查詢結果!$C$11:$F$68,4,0),-[4]整車!$B$22)</f>
        <v>0</v>
      </c>
      <c r="W20" s="416">
        <f>_xlfn.IFNA(VLOOKUP(A20,[3]進出口值表查詢結果!$C$11:$F$68,3,0),-[4]整車!$B$22)</f>
        <v>0</v>
      </c>
      <c r="X20" s="416">
        <f>_xlfn.IFNA(VLOOKUP(A20,[5]進出口值表查詢結果!$C$11:$F$68,4,0),-[4]整車!$B$22)</f>
        <v>0</v>
      </c>
      <c r="Y20" s="416">
        <f>_xlfn.IFNA(VLOOKUP(A20,[5]進出口值表查詢結果!$C$11:$F$68,3,0),-[4]整車!$B$22)</f>
        <v>0</v>
      </c>
      <c r="Z20" s="410">
        <f t="shared" si="3"/>
        <v>76</v>
      </c>
      <c r="AA20" s="410">
        <f t="shared" si="4"/>
        <v>99056</v>
      </c>
    </row>
    <row r="21" spans="1:27">
      <c r="A21" s="453" t="s">
        <v>192</v>
      </c>
      <c r="B21" s="416">
        <v>367</v>
      </c>
      <c r="C21" s="416">
        <v>213697</v>
      </c>
      <c r="D21" s="416">
        <v>458</v>
      </c>
      <c r="E21" s="416">
        <v>230710</v>
      </c>
      <c r="F21" s="416">
        <v>165</v>
      </c>
      <c r="G21" s="416">
        <v>82941</v>
      </c>
      <c r="H21" s="416">
        <v>35</v>
      </c>
      <c r="I21" s="416">
        <v>4203</v>
      </c>
      <c r="J21" s="417">
        <v>74</v>
      </c>
      <c r="K21" s="418">
        <v>16703</v>
      </c>
      <c r="L21" s="416">
        <v>938</v>
      </c>
      <c r="M21" s="416">
        <v>178622</v>
      </c>
      <c r="N21" s="416">
        <v>107</v>
      </c>
      <c r="O21" s="416">
        <v>7169</v>
      </c>
      <c r="P21" s="416">
        <v>364</v>
      </c>
      <c r="Q21" s="416">
        <v>13151</v>
      </c>
      <c r="R21" s="416">
        <v>211</v>
      </c>
      <c r="S21" s="416">
        <v>139301</v>
      </c>
      <c r="T21" s="416">
        <v>291</v>
      </c>
      <c r="U21" s="416">
        <v>151421</v>
      </c>
      <c r="V21" s="416">
        <f>_xlfn.IFNA(VLOOKUP(A21,[3]進出口值表查詢結果!$C$11:$F$68,4,0),-[4]整車!$B$22)</f>
        <v>884</v>
      </c>
      <c r="W21" s="416">
        <f>_xlfn.IFNA(VLOOKUP(A21,[3]進出口值表查詢結果!$C$11:$F$68,3,0),-[4]整車!$B$22)</f>
        <v>377477</v>
      </c>
      <c r="X21" s="416">
        <f>_xlfn.IFNA(VLOOKUP(A21,[5]進出口值表查詢結果!$C$11:$F$68,4,0),-[4]整車!$B$22)</f>
        <v>872</v>
      </c>
      <c r="Y21" s="416">
        <f>_xlfn.IFNA(VLOOKUP(A21,[5]進出口值表查詢結果!$C$11:$F$68,3,0),-[4]整車!$B$22)</f>
        <v>486108</v>
      </c>
      <c r="Z21" s="410">
        <f t="shared" si="3"/>
        <v>4766</v>
      </c>
      <c r="AA21" s="410">
        <f t="shared" si="4"/>
        <v>1901503</v>
      </c>
    </row>
    <row r="22" spans="1:27">
      <c r="A22" s="453" t="s">
        <v>235</v>
      </c>
      <c r="B22" s="416">
        <v>0</v>
      </c>
      <c r="C22" s="416">
        <v>0</v>
      </c>
      <c r="D22" s="416"/>
      <c r="E22" s="416"/>
      <c r="F22" s="416">
        <v>0</v>
      </c>
      <c r="G22" s="416"/>
      <c r="H22" s="416">
        <v>0</v>
      </c>
      <c r="I22" s="416">
        <v>0</v>
      </c>
      <c r="J22" s="417">
        <v>0</v>
      </c>
      <c r="K22" s="420" t="s">
        <v>60</v>
      </c>
      <c r="L22" s="416">
        <v>0</v>
      </c>
      <c r="M22" s="416">
        <v>0</v>
      </c>
      <c r="N22" s="416">
        <v>0</v>
      </c>
      <c r="O22" s="416">
        <v>0</v>
      </c>
      <c r="P22" s="416">
        <v>0</v>
      </c>
      <c r="Q22" s="416">
        <v>0</v>
      </c>
      <c r="R22" s="416">
        <v>0</v>
      </c>
      <c r="S22" s="416">
        <v>0</v>
      </c>
      <c r="T22" s="416"/>
      <c r="U22" s="416"/>
      <c r="V22" s="416">
        <f>_xlfn.IFNA(VLOOKUP(A22,[3]進出口值表查詢結果!$C$11:$F$68,4,0),-[4]整車!$B$22)</f>
        <v>0</v>
      </c>
      <c r="W22" s="416">
        <f>_xlfn.IFNA(VLOOKUP(A22,[3]進出口值表查詢結果!$C$11:$F$68,3,0),-[4]整車!$B$22)</f>
        <v>0</v>
      </c>
      <c r="X22" s="416">
        <f>_xlfn.IFNA(VLOOKUP(A22,[5]進出口值表查詢結果!$C$11:$F$68,4,0),-[4]整車!$B$22)</f>
        <v>0</v>
      </c>
      <c r="Y22" s="416">
        <f>_xlfn.IFNA(VLOOKUP(A22,[5]進出口值表查詢結果!$C$11:$F$68,3,0),-[4]整車!$B$22)</f>
        <v>0</v>
      </c>
      <c r="Z22" s="410">
        <f t="shared" si="3"/>
        <v>0</v>
      </c>
      <c r="AA22" s="410">
        <f t="shared" si="4"/>
        <v>0</v>
      </c>
    </row>
    <row r="23" spans="1:27">
      <c r="A23" s="453" t="s">
        <v>179</v>
      </c>
      <c r="B23" s="416">
        <v>4</v>
      </c>
      <c r="C23" s="416">
        <v>12662</v>
      </c>
      <c r="D23" s="416">
        <v>36</v>
      </c>
      <c r="E23" s="416">
        <v>33578</v>
      </c>
      <c r="F23" s="416">
        <v>0</v>
      </c>
      <c r="G23" s="416"/>
      <c r="H23" s="416">
        <v>0</v>
      </c>
      <c r="I23" s="416">
        <v>0</v>
      </c>
      <c r="J23" s="417" t="s">
        <v>60</v>
      </c>
      <c r="K23" s="420" t="s">
        <v>60</v>
      </c>
      <c r="L23" s="416">
        <v>12</v>
      </c>
      <c r="M23" s="416">
        <v>40985</v>
      </c>
      <c r="N23" s="416">
        <v>11</v>
      </c>
      <c r="O23" s="416">
        <v>18898</v>
      </c>
      <c r="P23" s="416">
        <v>15</v>
      </c>
      <c r="Q23" s="416">
        <v>18841</v>
      </c>
      <c r="R23" s="416">
        <v>0</v>
      </c>
      <c r="S23" s="416">
        <v>0</v>
      </c>
      <c r="T23" s="416">
        <v>4</v>
      </c>
      <c r="U23" s="416">
        <v>8709</v>
      </c>
      <c r="V23" s="416">
        <f>_xlfn.IFNA(VLOOKUP(A23,[3]進出口值表查詢結果!$C$11:$F$68,4,0),-[4]整車!$B$22)</f>
        <v>0</v>
      </c>
      <c r="W23" s="416">
        <f>_xlfn.IFNA(VLOOKUP(A23,[3]進出口值表查詢結果!$C$11:$F$68,3,0),-[4]整車!$B$22)</f>
        <v>0</v>
      </c>
      <c r="X23" s="416">
        <f>_xlfn.IFNA(VLOOKUP(A23,[5]進出口值表查詢結果!$C$11:$F$68,4,0),-[4]整車!$B$22)</f>
        <v>23</v>
      </c>
      <c r="Y23" s="416">
        <f>_xlfn.IFNA(VLOOKUP(A23,[5]進出口值表查詢結果!$C$11:$F$68,3,0),-[4]整車!$B$22)</f>
        <v>41742</v>
      </c>
      <c r="Z23" s="410">
        <f t="shared" si="3"/>
        <v>105</v>
      </c>
      <c r="AA23" s="410">
        <f t="shared" si="4"/>
        <v>175415</v>
      </c>
    </row>
    <row r="24" spans="1:27">
      <c r="A24" s="453" t="s">
        <v>236</v>
      </c>
      <c r="B24" s="416">
        <v>0</v>
      </c>
      <c r="C24" s="416">
        <v>0</v>
      </c>
      <c r="D24" s="416"/>
      <c r="E24" s="416"/>
      <c r="F24" s="416">
        <v>0</v>
      </c>
      <c r="G24" s="416"/>
      <c r="H24" s="416">
        <v>0</v>
      </c>
      <c r="I24" s="416">
        <v>0</v>
      </c>
      <c r="J24" s="417">
        <v>1</v>
      </c>
      <c r="K24" s="418">
        <v>2606</v>
      </c>
      <c r="L24" s="416">
        <v>0</v>
      </c>
      <c r="M24" s="410">
        <v>0</v>
      </c>
      <c r="N24" s="416">
        <v>0</v>
      </c>
      <c r="O24" s="416">
        <v>0</v>
      </c>
      <c r="P24" s="416">
        <v>0</v>
      </c>
      <c r="Q24" s="416">
        <v>0</v>
      </c>
      <c r="R24" s="416">
        <v>0</v>
      </c>
      <c r="S24" s="416">
        <v>0</v>
      </c>
      <c r="T24" s="416"/>
      <c r="U24" s="416"/>
      <c r="V24" s="416">
        <f>_xlfn.IFNA(VLOOKUP(A24,[3]進出口值表查詢結果!$C$11:$F$68,4,0),-[4]整車!$B$22)</f>
        <v>0</v>
      </c>
      <c r="W24" s="416">
        <f>_xlfn.IFNA(VLOOKUP(A24,[3]進出口值表查詢結果!$C$11:$F$68,3,0),-[4]整車!$B$22)</f>
        <v>0</v>
      </c>
      <c r="X24" s="416">
        <f>_xlfn.IFNA(VLOOKUP(A24,[5]進出口值表查詢結果!$C$11:$F$68,4,0),-[4]整車!$B$22)</f>
        <v>0</v>
      </c>
      <c r="Y24" s="416">
        <f>_xlfn.IFNA(VLOOKUP(A24,[5]進出口值表查詢結果!$C$11:$F$68,3,0),-[4]整車!$B$22)</f>
        <v>0</v>
      </c>
      <c r="Z24" s="410">
        <f t="shared" si="3"/>
        <v>1</v>
      </c>
      <c r="AA24" s="410">
        <f t="shared" si="4"/>
        <v>2606</v>
      </c>
    </row>
    <row r="25" spans="1:27">
      <c r="A25" s="453" t="s">
        <v>237</v>
      </c>
      <c r="B25" s="416">
        <v>0</v>
      </c>
      <c r="C25" s="416">
        <v>0</v>
      </c>
      <c r="D25" s="416"/>
      <c r="E25" s="416"/>
      <c r="F25" s="416">
        <v>0</v>
      </c>
      <c r="G25" s="416"/>
      <c r="H25" s="416">
        <v>0</v>
      </c>
      <c r="I25" s="416">
        <v>0</v>
      </c>
      <c r="J25" s="417" t="s">
        <v>60</v>
      </c>
      <c r="K25" s="420" t="s">
        <v>60</v>
      </c>
      <c r="L25" s="416">
        <v>0</v>
      </c>
      <c r="M25" s="416">
        <v>0</v>
      </c>
      <c r="N25" s="416">
        <v>0</v>
      </c>
      <c r="O25" s="416">
        <v>0</v>
      </c>
      <c r="P25" s="416">
        <v>0</v>
      </c>
      <c r="Q25" s="416">
        <v>0</v>
      </c>
      <c r="R25" s="416">
        <v>0</v>
      </c>
      <c r="S25" s="416">
        <v>0</v>
      </c>
      <c r="T25" s="416"/>
      <c r="U25" s="416"/>
      <c r="V25" s="416">
        <f>_xlfn.IFNA(VLOOKUP(A25,[3]進出口值表查詢結果!$C$11:$F$68,4,0),-[4]整車!$B$22)</f>
        <v>0</v>
      </c>
      <c r="W25" s="416">
        <f>_xlfn.IFNA(VLOOKUP(A25,[3]進出口值表查詢結果!$C$11:$F$68,3,0),-[4]整車!$B$22)</f>
        <v>0</v>
      </c>
      <c r="X25" s="416">
        <f>_xlfn.IFNA(VLOOKUP(A25,[5]進出口值表查詢結果!$C$11:$F$68,4,0),-[4]整車!$B$22)</f>
        <v>0</v>
      </c>
      <c r="Y25" s="416">
        <f>_xlfn.IFNA(VLOOKUP(A25,[5]進出口值表查詢結果!$C$11:$F$68,3,0),-[4]整車!$B$22)</f>
        <v>0</v>
      </c>
      <c r="Z25" s="410">
        <f t="shared" si="3"/>
        <v>0</v>
      </c>
      <c r="AA25" s="410">
        <f t="shared" si="4"/>
        <v>0</v>
      </c>
    </row>
    <row r="26" spans="1:27">
      <c r="A26" s="453" t="s">
        <v>238</v>
      </c>
      <c r="B26" s="416">
        <v>0</v>
      </c>
      <c r="C26" s="416">
        <v>0</v>
      </c>
      <c r="D26" s="416"/>
      <c r="E26" s="416"/>
      <c r="F26" s="416">
        <v>10</v>
      </c>
      <c r="G26" s="416">
        <v>9226</v>
      </c>
      <c r="H26" s="416">
        <v>0</v>
      </c>
      <c r="I26" s="416">
        <v>0</v>
      </c>
      <c r="J26" s="417" t="s">
        <v>60</v>
      </c>
      <c r="K26" s="420" t="s">
        <v>60</v>
      </c>
      <c r="L26" s="416">
        <v>2</v>
      </c>
      <c r="M26" s="416">
        <v>536</v>
      </c>
      <c r="N26" s="416">
        <v>0</v>
      </c>
      <c r="O26" s="416">
        <v>0</v>
      </c>
      <c r="P26" s="416">
        <v>34</v>
      </c>
      <c r="Q26" s="416">
        <v>17452</v>
      </c>
      <c r="R26" s="416">
        <v>0</v>
      </c>
      <c r="S26" s="416">
        <v>0</v>
      </c>
      <c r="T26" s="416">
        <v>10</v>
      </c>
      <c r="U26" s="416">
        <v>9501</v>
      </c>
      <c r="V26" s="416">
        <f>_xlfn.IFNA(VLOOKUP(A26,[3]進出口值表查詢結果!$C$11:$F$68,4,0),-[4]整車!$B$22)</f>
        <v>0</v>
      </c>
      <c r="W26" s="416">
        <f>_xlfn.IFNA(VLOOKUP(A26,[3]進出口值表查詢結果!$C$11:$F$68,3,0),-[4]整車!$B$22)</f>
        <v>0</v>
      </c>
      <c r="X26" s="416">
        <f>_xlfn.IFNA(VLOOKUP(A26,[5]進出口值表查詢結果!$C$11:$F$68,4,0),-[4]整車!$B$22)</f>
        <v>0</v>
      </c>
      <c r="Y26" s="416">
        <f>_xlfn.IFNA(VLOOKUP(A26,[5]進出口值表查詢結果!$C$11:$F$68,3,0),-[4]整車!$B$22)</f>
        <v>0</v>
      </c>
      <c r="Z26" s="410">
        <f t="shared" si="3"/>
        <v>56</v>
      </c>
      <c r="AA26" s="410">
        <f t="shared" si="4"/>
        <v>36715</v>
      </c>
    </row>
    <row r="27" spans="1:27">
      <c r="A27" s="453" t="s">
        <v>198</v>
      </c>
      <c r="B27" s="416">
        <v>12</v>
      </c>
      <c r="C27" s="416">
        <v>11363</v>
      </c>
      <c r="D27" s="416">
        <v>156</v>
      </c>
      <c r="E27" s="416">
        <v>136343</v>
      </c>
      <c r="F27" s="416">
        <v>53</v>
      </c>
      <c r="G27" s="416">
        <v>48024</v>
      </c>
      <c r="H27" s="416">
        <v>0</v>
      </c>
      <c r="I27" s="416">
        <v>0</v>
      </c>
      <c r="J27" s="417">
        <v>62</v>
      </c>
      <c r="K27" s="418">
        <v>51087</v>
      </c>
      <c r="L27" s="416">
        <v>0</v>
      </c>
      <c r="M27" s="416">
        <v>0</v>
      </c>
      <c r="N27" s="416">
        <v>53</v>
      </c>
      <c r="O27" s="416">
        <v>53415</v>
      </c>
      <c r="P27" s="416">
        <v>125</v>
      </c>
      <c r="Q27" s="416">
        <v>148830</v>
      </c>
      <c r="R27" s="416">
        <v>20</v>
      </c>
      <c r="S27" s="416">
        <v>19056</v>
      </c>
      <c r="T27" s="416">
        <v>26</v>
      </c>
      <c r="U27" s="416">
        <v>35077</v>
      </c>
      <c r="V27" s="416">
        <f>_xlfn.IFNA(VLOOKUP(A27,[3]進出口值表查詢結果!$C$11:$F$68,4,0),-[4]整車!$B$22)</f>
        <v>6</v>
      </c>
      <c r="W27" s="416">
        <f>_xlfn.IFNA(VLOOKUP(A27,[3]進出口值表查詢結果!$C$11:$F$68,3,0),-[4]整車!$B$22)</f>
        <v>6932</v>
      </c>
      <c r="X27" s="416">
        <f>_xlfn.IFNA(VLOOKUP(A27,[5]進出口值表查詢結果!$C$11:$F$68,4,0),-[4]整車!$B$22)</f>
        <v>211</v>
      </c>
      <c r="Y27" s="416">
        <f>_xlfn.IFNA(VLOOKUP(A27,[5]進出口值表查詢結果!$C$11:$F$68,3,0),-[4]整車!$B$22)</f>
        <v>156683</v>
      </c>
      <c r="Z27" s="410">
        <f t="shared" si="3"/>
        <v>724</v>
      </c>
      <c r="AA27" s="410">
        <f t="shared" si="4"/>
        <v>666810</v>
      </c>
    </row>
    <row r="28" spans="1:27">
      <c r="A28" s="453" t="s">
        <v>239</v>
      </c>
      <c r="B28" s="416">
        <v>0</v>
      </c>
      <c r="C28" s="416">
        <v>0</v>
      </c>
      <c r="D28" s="416"/>
      <c r="E28" s="416"/>
      <c r="F28" s="416">
        <v>0</v>
      </c>
      <c r="G28" s="416"/>
      <c r="H28" s="416">
        <v>0</v>
      </c>
      <c r="I28" s="416">
        <v>0</v>
      </c>
      <c r="J28" s="417" t="s">
        <v>60</v>
      </c>
      <c r="K28" s="420" t="s">
        <v>60</v>
      </c>
      <c r="L28" s="416">
        <v>0</v>
      </c>
      <c r="M28" s="416">
        <v>0</v>
      </c>
      <c r="N28" s="416">
        <v>0</v>
      </c>
      <c r="O28" s="416">
        <v>0</v>
      </c>
      <c r="P28" s="416">
        <v>0</v>
      </c>
      <c r="Q28" s="416">
        <v>0</v>
      </c>
      <c r="R28" s="416">
        <v>0</v>
      </c>
      <c r="S28" s="416">
        <v>0</v>
      </c>
      <c r="T28" s="416"/>
      <c r="U28" s="416"/>
      <c r="V28" s="416">
        <f>_xlfn.IFNA(VLOOKUP(A28,[3]進出口值表查詢結果!$C$11:$F$68,4,0),-[4]整車!$B$22)</f>
        <v>0</v>
      </c>
      <c r="W28" s="416">
        <f>_xlfn.IFNA(VLOOKUP(A28,[3]進出口值表查詢結果!$C$11:$F$68,3,0),-[4]整車!$B$22)</f>
        <v>0</v>
      </c>
      <c r="X28" s="416">
        <f>_xlfn.IFNA(VLOOKUP(A28,[5]進出口值表查詢結果!$C$11:$F$68,4,0),-[4]整車!$B$22)</f>
        <v>0</v>
      </c>
      <c r="Y28" s="416">
        <f>_xlfn.IFNA(VLOOKUP(A28,[5]進出口值表查詢結果!$C$11:$F$68,3,0),-[4]整車!$B$22)</f>
        <v>0</v>
      </c>
      <c r="Z28" s="410">
        <f t="shared" si="3"/>
        <v>0</v>
      </c>
      <c r="AA28" s="410">
        <f t="shared" si="4"/>
        <v>0</v>
      </c>
    </row>
    <row r="29" spans="1:27">
      <c r="A29" s="453" t="s">
        <v>168</v>
      </c>
      <c r="B29" s="416">
        <v>832</v>
      </c>
      <c r="C29" s="416">
        <v>601299</v>
      </c>
      <c r="D29" s="416">
        <v>1474</v>
      </c>
      <c r="E29" s="416">
        <v>1335375</v>
      </c>
      <c r="F29" s="416">
        <v>2575</v>
      </c>
      <c r="G29" s="416">
        <v>2824860</v>
      </c>
      <c r="H29" s="416">
        <v>1590</v>
      </c>
      <c r="I29" s="416">
        <v>2035410</v>
      </c>
      <c r="J29" s="417">
        <v>1368</v>
      </c>
      <c r="K29" s="420">
        <v>1650049</v>
      </c>
      <c r="L29" s="416">
        <v>3338</v>
      </c>
      <c r="M29" s="416">
        <v>3123497</v>
      </c>
      <c r="N29" s="416">
        <v>2847</v>
      </c>
      <c r="O29" s="416">
        <v>2378126</v>
      </c>
      <c r="P29" s="416">
        <v>2606</v>
      </c>
      <c r="Q29" s="416">
        <v>3061333</v>
      </c>
      <c r="R29" s="416">
        <v>1944</v>
      </c>
      <c r="S29" s="416">
        <v>1677516</v>
      </c>
      <c r="T29" s="416">
        <v>2095</v>
      </c>
      <c r="U29" s="416">
        <v>2093220</v>
      </c>
      <c r="V29" s="416">
        <f>_xlfn.IFNA(VLOOKUP(A29,[3]進出口值表查詢結果!$C$11:$F$68,4,0),-[4]整車!$B$22)</f>
        <v>2168</v>
      </c>
      <c r="W29" s="416">
        <f>_xlfn.IFNA(VLOOKUP(A29,[3]進出口值表查詢結果!$C$11:$F$68,3,0),-[4]整車!$B$22)</f>
        <v>2387001</v>
      </c>
      <c r="X29" s="416">
        <f>_xlfn.IFNA(VLOOKUP(A29,[5]進出口值表查詢結果!$C$11:$F$68,4,0),-[4]整車!$B$22)</f>
        <v>3104</v>
      </c>
      <c r="Y29" s="416">
        <f>_xlfn.IFNA(VLOOKUP(A29,[5]進出口值表查詢結果!$C$11:$F$68,3,0),-[4]整車!$B$22)</f>
        <v>3401926</v>
      </c>
      <c r="Z29" s="410">
        <f t="shared" si="3"/>
        <v>25941</v>
      </c>
      <c r="AA29" s="410">
        <f t="shared" si="4"/>
        <v>26569612</v>
      </c>
    </row>
    <row r="30" spans="1:27">
      <c r="A30" s="455" t="s">
        <v>241</v>
      </c>
      <c r="B30" s="410">
        <v>0</v>
      </c>
      <c r="C30" s="410">
        <v>0</v>
      </c>
      <c r="D30" s="410"/>
      <c r="E30" s="410"/>
      <c r="F30" s="410">
        <v>0</v>
      </c>
      <c r="G30" s="410"/>
      <c r="H30" s="410">
        <v>0</v>
      </c>
      <c r="I30" s="410">
        <v>0</v>
      </c>
      <c r="J30" s="403" t="s">
        <v>60</v>
      </c>
      <c r="K30" s="420" t="s">
        <v>60</v>
      </c>
      <c r="L30" s="410">
        <v>0</v>
      </c>
      <c r="M30" s="410">
        <v>0</v>
      </c>
      <c r="N30" s="410">
        <v>0</v>
      </c>
      <c r="O30" s="410">
        <v>0</v>
      </c>
      <c r="P30" s="410">
        <v>0</v>
      </c>
      <c r="Q30" s="410">
        <v>0</v>
      </c>
      <c r="R30" s="410">
        <v>0</v>
      </c>
      <c r="S30" s="410">
        <v>0</v>
      </c>
      <c r="T30" s="410"/>
      <c r="U30" s="410"/>
      <c r="V30" s="416">
        <f>_xlfn.IFNA(VLOOKUP(A30,[3]進出口值表查詢結果!$C$11:$F$68,4,0),-[4]整車!$B$22)</f>
        <v>0</v>
      </c>
      <c r="W30" s="416">
        <f>_xlfn.IFNA(VLOOKUP(A30,[3]進出口值表查詢結果!$C$11:$F$68,3,0),-[4]整車!$B$22)</f>
        <v>0</v>
      </c>
      <c r="X30" s="416">
        <f>_xlfn.IFNA(VLOOKUP(A30,[5]進出口值表查詢結果!$C$11:$F$68,4,0),-[4]整車!$B$22)</f>
        <v>0</v>
      </c>
      <c r="Y30" s="416">
        <f>_xlfn.IFNA(VLOOKUP(A30,[5]進出口值表查詢結果!$C$11:$F$68,3,0),-[4]整車!$B$22)</f>
        <v>0</v>
      </c>
      <c r="Z30" s="410">
        <f t="shared" si="3"/>
        <v>0</v>
      </c>
      <c r="AA30" s="410">
        <f t="shared" si="4"/>
        <v>0</v>
      </c>
    </row>
    <row r="31" spans="1:27">
      <c r="A31" s="453" t="s">
        <v>242</v>
      </c>
      <c r="B31" s="410">
        <v>0</v>
      </c>
      <c r="C31" s="410">
        <v>0</v>
      </c>
      <c r="D31" s="416"/>
      <c r="E31" s="416"/>
      <c r="F31" s="416">
        <v>0</v>
      </c>
      <c r="G31" s="416"/>
      <c r="H31" s="416">
        <v>0</v>
      </c>
      <c r="I31" s="416">
        <v>0</v>
      </c>
      <c r="J31" s="417"/>
      <c r="K31" s="420" t="s">
        <v>60</v>
      </c>
      <c r="L31" s="416">
        <v>0</v>
      </c>
      <c r="M31" s="416">
        <v>0</v>
      </c>
      <c r="N31" s="416">
        <v>0</v>
      </c>
      <c r="O31" s="416">
        <v>0</v>
      </c>
      <c r="P31" s="410">
        <v>0</v>
      </c>
      <c r="Q31" s="410">
        <v>0</v>
      </c>
      <c r="R31" s="410">
        <v>0</v>
      </c>
      <c r="S31" s="410">
        <v>0</v>
      </c>
      <c r="T31" s="416"/>
      <c r="U31" s="416"/>
      <c r="V31" s="416">
        <f>_xlfn.IFNA(VLOOKUP(A31,[3]進出口值表查詢結果!$C$11:$F$68,4,0),-[4]整車!$B$22)</f>
        <v>0</v>
      </c>
      <c r="W31" s="416">
        <f>_xlfn.IFNA(VLOOKUP(A31,[3]進出口值表查詢結果!$C$11:$F$68,3,0),-[4]整車!$B$22)</f>
        <v>0</v>
      </c>
      <c r="X31" s="416">
        <f>_xlfn.IFNA(VLOOKUP(A31,[5]進出口值表查詢結果!$C$11:$F$68,4,0),-[4]整車!$B$22)</f>
        <v>0</v>
      </c>
      <c r="Y31" s="416">
        <f>_xlfn.IFNA(VLOOKUP(A31,[5]進出口值表查詢結果!$C$11:$F$68,3,0),-[4]整車!$B$22)</f>
        <v>0</v>
      </c>
      <c r="Z31" s="410">
        <f t="shared" si="3"/>
        <v>0</v>
      </c>
      <c r="AA31" s="410">
        <f t="shared" si="4"/>
        <v>0</v>
      </c>
    </row>
    <row r="32" spans="1:27">
      <c r="A32" s="453" t="s">
        <v>243</v>
      </c>
      <c r="B32" s="410">
        <v>0</v>
      </c>
      <c r="C32" s="410">
        <v>0</v>
      </c>
      <c r="D32" s="416"/>
      <c r="E32" s="416"/>
      <c r="F32" s="416">
        <v>0</v>
      </c>
      <c r="G32" s="416"/>
      <c r="H32" s="416">
        <v>2</v>
      </c>
      <c r="I32" s="416">
        <v>3147</v>
      </c>
      <c r="J32" s="417" t="s">
        <v>60</v>
      </c>
      <c r="K32" s="420" t="s">
        <v>60</v>
      </c>
      <c r="L32" s="416">
        <v>0</v>
      </c>
      <c r="M32" s="416">
        <v>0</v>
      </c>
      <c r="N32" s="416">
        <v>9</v>
      </c>
      <c r="O32" s="416">
        <v>14807</v>
      </c>
      <c r="P32" s="410">
        <v>0</v>
      </c>
      <c r="Q32" s="410">
        <v>0</v>
      </c>
      <c r="R32" s="410">
        <v>0</v>
      </c>
      <c r="S32" s="410">
        <v>0</v>
      </c>
      <c r="T32" s="416"/>
      <c r="U32" s="416"/>
      <c r="V32" s="416">
        <f>_xlfn.IFNA(VLOOKUP(A32,[3]進出口值表查詢結果!$C$11:$F$68,4,0),-[4]整車!$B$22)</f>
        <v>0</v>
      </c>
      <c r="W32" s="416">
        <f>_xlfn.IFNA(VLOOKUP(A32,[3]進出口值表查詢結果!$C$11:$F$68,3,0),-[4]整車!$B$22)</f>
        <v>0</v>
      </c>
      <c r="X32" s="416">
        <f>_xlfn.IFNA(VLOOKUP(A32,[5]進出口值表查詢結果!$C$11:$F$68,4,0),-[4]整車!$B$22)</f>
        <v>12</v>
      </c>
      <c r="Y32" s="416">
        <f>_xlfn.IFNA(VLOOKUP(A32,[5]進出口值表查詢結果!$C$11:$F$68,3,0),-[4]整車!$B$22)</f>
        <v>16410</v>
      </c>
      <c r="Z32" s="410">
        <f t="shared" si="3"/>
        <v>23</v>
      </c>
      <c r="AA32" s="410">
        <f t="shared" si="4"/>
        <v>34364</v>
      </c>
    </row>
    <row r="33" spans="1:27">
      <c r="A33" s="453" t="s">
        <v>244</v>
      </c>
      <c r="B33" s="410">
        <v>0</v>
      </c>
      <c r="C33" s="410">
        <v>0</v>
      </c>
      <c r="D33" s="416">
        <v>65</v>
      </c>
      <c r="E33" s="416">
        <v>100633</v>
      </c>
      <c r="F33" s="410">
        <v>430</v>
      </c>
      <c r="G33" s="416">
        <v>75772</v>
      </c>
      <c r="H33" s="416">
        <v>89</v>
      </c>
      <c r="I33" s="416">
        <v>94535</v>
      </c>
      <c r="J33" s="417" t="s">
        <v>60</v>
      </c>
      <c r="K33" s="420" t="s">
        <v>60</v>
      </c>
      <c r="L33" s="416">
        <v>0</v>
      </c>
      <c r="M33" s="416">
        <v>0</v>
      </c>
      <c r="N33" s="416">
        <v>0</v>
      </c>
      <c r="O33" s="416">
        <v>0</v>
      </c>
      <c r="P33" s="410">
        <v>0</v>
      </c>
      <c r="Q33" s="410">
        <v>0</v>
      </c>
      <c r="R33" s="410">
        <v>0</v>
      </c>
      <c r="S33" s="410">
        <v>0</v>
      </c>
      <c r="T33" s="416"/>
      <c r="U33" s="416"/>
      <c r="V33" s="416">
        <f>_xlfn.IFNA(VLOOKUP(A33,[3]進出口值表查詢結果!$C$11:$F$68,4,0),-[4]整車!$B$22)</f>
        <v>0</v>
      </c>
      <c r="W33" s="416">
        <f>_xlfn.IFNA(VLOOKUP(A33,[3]進出口值表查詢結果!$C$11:$F$68,3,0),-[4]整車!$B$22)</f>
        <v>0</v>
      </c>
      <c r="X33" s="416">
        <f>_xlfn.IFNA(VLOOKUP(A33,[5]進出口值表查詢結果!$C$11:$F$68,4,0),-[4]整車!$B$22)</f>
        <v>36</v>
      </c>
      <c r="Y33" s="416">
        <f>_xlfn.IFNA(VLOOKUP(A33,[5]進出口值表查詢結果!$C$11:$F$68,3,0),-[4]整車!$B$22)</f>
        <v>41708</v>
      </c>
      <c r="Z33" s="416">
        <f t="shared" si="3"/>
        <v>620</v>
      </c>
      <c r="AA33" s="416">
        <f t="shared" si="4"/>
        <v>312648</v>
      </c>
    </row>
    <row r="34" spans="1:27">
      <c r="A34" s="453" t="s">
        <v>245</v>
      </c>
      <c r="B34" s="410">
        <v>0</v>
      </c>
      <c r="C34" s="410">
        <v>0</v>
      </c>
      <c r="D34" s="416"/>
      <c r="E34" s="416"/>
      <c r="F34" s="416">
        <v>0</v>
      </c>
      <c r="G34" s="416"/>
      <c r="H34" s="416">
        <v>0</v>
      </c>
      <c r="I34" s="416">
        <v>0</v>
      </c>
      <c r="J34" s="417" t="s">
        <v>60</v>
      </c>
      <c r="K34" s="420" t="s">
        <v>60</v>
      </c>
      <c r="L34" s="416">
        <v>200</v>
      </c>
      <c r="M34" s="416">
        <v>26608</v>
      </c>
      <c r="N34" s="416">
        <v>0</v>
      </c>
      <c r="O34" s="416">
        <v>0</v>
      </c>
      <c r="P34" s="410">
        <v>0</v>
      </c>
      <c r="Q34" s="410">
        <v>0</v>
      </c>
      <c r="R34" s="410">
        <v>0</v>
      </c>
      <c r="S34" s="410">
        <v>0</v>
      </c>
      <c r="T34" s="416"/>
      <c r="U34" s="416"/>
      <c r="V34" s="416">
        <f>_xlfn.IFNA(VLOOKUP(A34,[3]進出口值表查詢結果!$C$11:$F$68,4,0),-[4]整車!$B$22)</f>
        <v>0</v>
      </c>
      <c r="W34" s="416">
        <f>_xlfn.IFNA(VLOOKUP(A34,[3]進出口值表查詢結果!$C$11:$F$68,3,0),-[4]整車!$B$22)</f>
        <v>0</v>
      </c>
      <c r="X34" s="416">
        <f>_xlfn.IFNA(VLOOKUP(A34,[5]進出口值表查詢結果!$C$11:$F$68,4,0),-[4]整車!$B$22)</f>
        <v>0</v>
      </c>
      <c r="Y34" s="416">
        <f>_xlfn.IFNA(VLOOKUP(A34,[5]進出口值表查詢結果!$C$11:$F$68,3,0),-[4]整車!$B$22)</f>
        <v>0</v>
      </c>
      <c r="Z34" s="416">
        <f t="shared" si="3"/>
        <v>200</v>
      </c>
      <c r="AA34" s="416">
        <f t="shared" si="4"/>
        <v>26608</v>
      </c>
    </row>
    <row r="35" spans="1:27">
      <c r="A35" s="409"/>
      <c r="B35" s="410"/>
      <c r="C35" s="410"/>
      <c r="D35" s="410"/>
      <c r="E35" s="410"/>
      <c r="F35" s="410"/>
      <c r="G35" s="410"/>
      <c r="H35" s="410"/>
      <c r="I35" s="410"/>
      <c r="J35" s="403"/>
      <c r="K35" s="404"/>
      <c r="L35" s="410"/>
      <c r="M35" s="410"/>
      <c r="N35" s="410"/>
      <c r="O35" s="410"/>
      <c r="P35" s="410"/>
      <c r="Q35" s="410"/>
      <c r="R35" s="410"/>
      <c r="S35" s="410"/>
      <c r="T35" s="410"/>
      <c r="U35" s="410"/>
      <c r="V35" s="410"/>
      <c r="W35" s="410"/>
      <c r="X35" s="410"/>
      <c r="Y35" s="410"/>
      <c r="Z35" s="410"/>
      <c r="AA35" s="410"/>
    </row>
    <row r="36" spans="1:27">
      <c r="A36" s="422" t="s">
        <v>142</v>
      </c>
      <c r="B36" s="423">
        <f t="shared" ref="B36:Y36" si="5">B38+B68+B75</f>
        <v>79424</v>
      </c>
      <c r="C36" s="423">
        <f t="shared" si="5"/>
        <v>35612604</v>
      </c>
      <c r="D36" s="423">
        <f t="shared" si="5"/>
        <v>64213</v>
      </c>
      <c r="E36" s="423">
        <f t="shared" si="5"/>
        <v>30491608</v>
      </c>
      <c r="F36" s="423">
        <f t="shared" si="5"/>
        <v>54696</v>
      </c>
      <c r="G36" s="423">
        <f t="shared" si="5"/>
        <v>29542744</v>
      </c>
      <c r="H36" s="423">
        <f t="shared" si="5"/>
        <v>39009</v>
      </c>
      <c r="I36" s="423">
        <f t="shared" si="5"/>
        <v>19973565</v>
      </c>
      <c r="J36" s="424">
        <f t="shared" si="5"/>
        <v>44931</v>
      </c>
      <c r="K36" s="425">
        <f>K38+K68+K75</f>
        <v>28357229</v>
      </c>
      <c r="L36" s="423">
        <f t="shared" si="5"/>
        <v>51038</v>
      </c>
      <c r="M36" s="423">
        <f t="shared" si="5"/>
        <v>32305965</v>
      </c>
      <c r="N36" s="423">
        <f t="shared" si="5"/>
        <v>44856</v>
      </c>
      <c r="O36" s="423">
        <f t="shared" si="5"/>
        <v>35121669</v>
      </c>
      <c r="P36" s="423">
        <f t="shared" si="5"/>
        <v>69496</v>
      </c>
      <c r="Q36" s="423">
        <f t="shared" si="5"/>
        <v>46505146</v>
      </c>
      <c r="R36" s="423">
        <f t="shared" si="5"/>
        <v>46124</v>
      </c>
      <c r="S36" s="423">
        <f t="shared" si="5"/>
        <v>32297052</v>
      </c>
      <c r="T36" s="423">
        <f t="shared" si="5"/>
        <v>63488</v>
      </c>
      <c r="U36" s="423">
        <f t="shared" si="5"/>
        <v>38464858</v>
      </c>
      <c r="V36" s="423">
        <f>V38+V68+V75</f>
        <v>52331</v>
      </c>
      <c r="W36" s="423">
        <f>W38+W68+W75</f>
        <v>31078138</v>
      </c>
      <c r="X36" s="423">
        <f t="shared" si="5"/>
        <v>64845</v>
      </c>
      <c r="Y36" s="423">
        <f t="shared" si="5"/>
        <v>39655701</v>
      </c>
      <c r="Z36" s="423">
        <f>SUM(B36,D36,F36,H36,J36,L36,N36,P36,R36,T36,V36,X36)</f>
        <v>674451</v>
      </c>
      <c r="AA36" s="423">
        <f>SUM(C36,E36,G36,I36,K36,M36,O36,Q36,S36,U36,W36,Y36)</f>
        <v>399406279</v>
      </c>
    </row>
    <row r="37" spans="1:27">
      <c r="A37" s="409"/>
      <c r="B37" s="410"/>
      <c r="C37" s="410"/>
      <c r="D37" s="410"/>
      <c r="E37" s="410"/>
      <c r="F37" s="410"/>
      <c r="G37" s="410"/>
      <c r="H37" s="410"/>
      <c r="I37" s="410"/>
      <c r="J37" s="403"/>
      <c r="K37" s="404"/>
      <c r="L37" s="410"/>
      <c r="M37" s="410"/>
      <c r="N37" s="410"/>
      <c r="O37" s="410"/>
      <c r="P37" s="410"/>
      <c r="Q37" s="410"/>
      <c r="R37" s="410"/>
      <c r="S37" s="410"/>
      <c r="T37" s="410"/>
      <c r="U37" s="410"/>
      <c r="V37" s="410"/>
      <c r="W37" s="410"/>
      <c r="X37" s="410"/>
      <c r="Y37" s="410"/>
      <c r="Z37" s="410"/>
      <c r="AA37" s="410"/>
    </row>
    <row r="38" spans="1:27">
      <c r="A38" s="426" t="s">
        <v>9</v>
      </c>
      <c r="B38" s="427">
        <f t="shared" ref="B38:Y38" si="6">SUM(B39:B66)</f>
        <v>71602</v>
      </c>
      <c r="C38" s="427">
        <f t="shared" si="6"/>
        <v>31042061</v>
      </c>
      <c r="D38" s="427">
        <f t="shared" si="6"/>
        <v>57938</v>
      </c>
      <c r="E38" s="427">
        <f t="shared" si="6"/>
        <v>27066923</v>
      </c>
      <c r="F38" s="427">
        <f t="shared" si="6"/>
        <v>50036</v>
      </c>
      <c r="G38" s="427">
        <f t="shared" si="6"/>
        <v>26756451</v>
      </c>
      <c r="H38" s="427">
        <f t="shared" si="6"/>
        <v>35898</v>
      </c>
      <c r="I38" s="427">
        <f t="shared" si="6"/>
        <v>18239616</v>
      </c>
      <c r="J38" s="428">
        <f t="shared" si="6"/>
        <v>42641</v>
      </c>
      <c r="K38" s="429">
        <f>SUM(K39:K66)</f>
        <v>26690377</v>
      </c>
      <c r="L38" s="427">
        <f t="shared" si="6"/>
        <v>48143</v>
      </c>
      <c r="M38" s="427">
        <f t="shared" si="6"/>
        <v>30331535</v>
      </c>
      <c r="N38" s="427">
        <f t="shared" si="6"/>
        <v>41659</v>
      </c>
      <c r="O38" s="427">
        <f t="shared" si="6"/>
        <v>32356018</v>
      </c>
      <c r="P38" s="427">
        <f t="shared" si="6"/>
        <v>67372</v>
      </c>
      <c r="Q38" s="427">
        <f t="shared" si="6"/>
        <v>44304841</v>
      </c>
      <c r="R38" s="427">
        <f t="shared" si="6"/>
        <v>44242</v>
      </c>
      <c r="S38" s="427">
        <f t="shared" si="6"/>
        <v>30263800</v>
      </c>
      <c r="T38" s="427">
        <f t="shared" si="6"/>
        <v>58319</v>
      </c>
      <c r="U38" s="427">
        <f t="shared" si="6"/>
        <v>35452809</v>
      </c>
      <c r="V38" s="427">
        <f>SUM(V39:V66)</f>
        <v>49253</v>
      </c>
      <c r="W38" s="427">
        <f>SUM(W39:W66)</f>
        <v>28348880</v>
      </c>
      <c r="X38" s="427">
        <f t="shared" si="6"/>
        <v>58138</v>
      </c>
      <c r="Y38" s="427">
        <f t="shared" si="6"/>
        <v>33913506</v>
      </c>
      <c r="Z38" s="427">
        <f t="shared" ref="Z38:Z66" si="7">SUM(B38,D38,F38,H38,J38,L38,N38,P38,R38,T38,V38,X38)</f>
        <v>625241</v>
      </c>
      <c r="AA38" s="427">
        <f t="shared" ref="AA38:AA66" si="8">SUM(C38,E38,G38,I38,K38,M38,O38,Q38,S38,U38,W38,Y38)</f>
        <v>364766817</v>
      </c>
    </row>
    <row r="39" spans="1:27">
      <c r="A39" s="453" t="s">
        <v>161</v>
      </c>
      <c r="B39" s="416">
        <v>9455</v>
      </c>
      <c r="C39" s="416">
        <v>8098805</v>
      </c>
      <c r="D39" s="416">
        <v>5899</v>
      </c>
      <c r="E39" s="416">
        <v>4489009</v>
      </c>
      <c r="F39" s="416">
        <v>11184</v>
      </c>
      <c r="G39" s="416">
        <v>11101791</v>
      </c>
      <c r="H39" s="416">
        <v>7475</v>
      </c>
      <c r="I39" s="416">
        <v>8873601</v>
      </c>
      <c r="J39" s="417">
        <v>12869</v>
      </c>
      <c r="K39" s="418">
        <v>13913534</v>
      </c>
      <c r="L39" s="416">
        <v>14682</v>
      </c>
      <c r="M39" s="416">
        <v>14178313</v>
      </c>
      <c r="N39" s="416">
        <v>14082</v>
      </c>
      <c r="O39" s="416">
        <v>14946790</v>
      </c>
      <c r="P39" s="416">
        <v>17288</v>
      </c>
      <c r="Q39" s="416">
        <v>20932370</v>
      </c>
      <c r="R39" s="416">
        <v>13841</v>
      </c>
      <c r="S39" s="416">
        <v>14623372</v>
      </c>
      <c r="T39" s="416">
        <v>14781</v>
      </c>
      <c r="U39" s="416">
        <v>14961515</v>
      </c>
      <c r="V39" s="416">
        <f>_xlfn.IFNA(VLOOKUP(A39,[3]進出口值表查詢結果!$C$11:$F$68,4,0),-[4]整車!$B$22)</f>
        <v>14525</v>
      </c>
      <c r="W39" s="416">
        <f>_xlfn.IFNA(VLOOKUP(A39,[3]進出口值表查詢結果!$C$11:$F$68,3,0),-[4]整車!$B$22)</f>
        <v>13590883</v>
      </c>
      <c r="X39" s="416">
        <f>_xlfn.IFNA(VLOOKUP(A39,[5]進出口值表查詢結果!$C$11:$F$68,4,0),-[4]整車!$B$22)</f>
        <v>15792</v>
      </c>
      <c r="Y39" s="416">
        <f>_xlfn.IFNA(VLOOKUP(A39,[5]進出口值表查詢結果!$C$11:$F$68,3,0),-[4]整車!$B$22)</f>
        <v>15201155</v>
      </c>
      <c r="Z39" s="410">
        <f t="shared" si="7"/>
        <v>151873</v>
      </c>
      <c r="AA39" s="410">
        <f t="shared" si="8"/>
        <v>154911138</v>
      </c>
    </row>
    <row r="40" spans="1:27">
      <c r="A40" s="453" t="s">
        <v>164</v>
      </c>
      <c r="B40" s="416">
        <v>6408</v>
      </c>
      <c r="C40" s="416">
        <v>3502900</v>
      </c>
      <c r="D40" s="416">
        <v>12057</v>
      </c>
      <c r="E40" s="416">
        <v>3128315</v>
      </c>
      <c r="F40" s="416">
        <v>8271</v>
      </c>
      <c r="G40" s="416">
        <v>2563956</v>
      </c>
      <c r="H40" s="416">
        <v>4864</v>
      </c>
      <c r="I40" s="416">
        <v>1321695</v>
      </c>
      <c r="J40" s="417">
        <v>2458</v>
      </c>
      <c r="K40" s="418">
        <v>672571</v>
      </c>
      <c r="L40" s="416">
        <v>2556</v>
      </c>
      <c r="M40" s="416">
        <v>1168366</v>
      </c>
      <c r="N40" s="416">
        <v>4316</v>
      </c>
      <c r="O40" s="416">
        <v>1533943</v>
      </c>
      <c r="P40" s="416">
        <v>4965</v>
      </c>
      <c r="Q40" s="416">
        <v>2104096</v>
      </c>
      <c r="R40" s="416">
        <v>3366</v>
      </c>
      <c r="S40" s="416">
        <v>1847351</v>
      </c>
      <c r="T40" s="416">
        <v>3654</v>
      </c>
      <c r="U40" s="416">
        <v>1456075</v>
      </c>
      <c r="V40" s="416">
        <f>_xlfn.IFNA(VLOOKUP(A40,[3]進出口值表查詢結果!$C$11:$F$68,4,0),-[4]整車!$B$22)</f>
        <v>5797</v>
      </c>
      <c r="W40" s="416">
        <f>_xlfn.IFNA(VLOOKUP(A40,[3]進出口值表查詢結果!$C$11:$F$68,3,0),-[4]整車!$B$22)</f>
        <v>1411961</v>
      </c>
      <c r="X40" s="416">
        <f>_xlfn.IFNA(VLOOKUP(A40,[5]進出口值表查詢結果!$C$11:$F$68,4,0),-[4]整車!$B$22)</f>
        <v>5920</v>
      </c>
      <c r="Y40" s="416">
        <f>_xlfn.IFNA(VLOOKUP(A40,[5]進出口值表查詢結果!$C$11:$F$68,3,0),-[4]整車!$B$22)</f>
        <v>1991602</v>
      </c>
      <c r="Z40" s="410">
        <f t="shared" si="7"/>
        <v>64632</v>
      </c>
      <c r="AA40" s="410">
        <f t="shared" si="8"/>
        <v>22702831</v>
      </c>
    </row>
    <row r="41" spans="1:27">
      <c r="A41" s="453" t="s">
        <v>178</v>
      </c>
      <c r="B41" s="416">
        <v>1316</v>
      </c>
      <c r="C41" s="416">
        <v>717427</v>
      </c>
      <c r="D41" s="416">
        <v>911</v>
      </c>
      <c r="E41" s="416">
        <v>709326</v>
      </c>
      <c r="F41" s="416">
        <v>1777</v>
      </c>
      <c r="G41" s="416">
        <v>1217722</v>
      </c>
      <c r="H41" s="416">
        <v>547</v>
      </c>
      <c r="I41" s="416">
        <v>1236471</v>
      </c>
      <c r="J41" s="417">
        <v>504</v>
      </c>
      <c r="K41" s="418">
        <v>997393</v>
      </c>
      <c r="L41" s="416">
        <v>1828</v>
      </c>
      <c r="M41" s="416">
        <v>1782072</v>
      </c>
      <c r="N41" s="416">
        <v>858</v>
      </c>
      <c r="O41" s="416">
        <v>1473021</v>
      </c>
      <c r="P41" s="416">
        <v>1248</v>
      </c>
      <c r="Q41" s="416">
        <v>1567705</v>
      </c>
      <c r="R41" s="416">
        <v>1489</v>
      </c>
      <c r="S41" s="416">
        <v>1445890</v>
      </c>
      <c r="T41" s="416">
        <v>1319</v>
      </c>
      <c r="U41" s="416">
        <v>1108193</v>
      </c>
      <c r="V41" s="416">
        <f>_xlfn.IFNA(VLOOKUP(A41,[3]進出口值表查詢結果!$C$11:$F$68,4,0),-[4]整車!$B$22)</f>
        <v>1769</v>
      </c>
      <c r="W41" s="416">
        <f>_xlfn.IFNA(VLOOKUP(A41,[3]進出口值表查詢結果!$C$11:$F$68,3,0),-[4]整車!$B$22)</f>
        <v>798510</v>
      </c>
      <c r="X41" s="416">
        <f>_xlfn.IFNA(VLOOKUP(A41,[5]進出口值表查詢結果!$C$11:$F$68,4,0),-[4]整車!$B$22)</f>
        <v>2665</v>
      </c>
      <c r="Y41" s="416">
        <f>_xlfn.IFNA(VLOOKUP(A41,[5]進出口值表查詢結果!$C$11:$F$68,3,0),-[4]整車!$B$22)</f>
        <v>1213680</v>
      </c>
      <c r="Z41" s="410">
        <f t="shared" si="7"/>
        <v>16231</v>
      </c>
      <c r="AA41" s="410">
        <f t="shared" si="8"/>
        <v>14267410</v>
      </c>
    </row>
    <row r="42" spans="1:27">
      <c r="A42" s="453" t="s">
        <v>162</v>
      </c>
      <c r="B42" s="416">
        <v>17706</v>
      </c>
      <c r="C42" s="416">
        <v>5035525</v>
      </c>
      <c r="D42" s="416">
        <v>6240</v>
      </c>
      <c r="E42" s="416">
        <v>3784977</v>
      </c>
      <c r="F42" s="416">
        <v>9566</v>
      </c>
      <c r="G42" s="416">
        <v>2935879</v>
      </c>
      <c r="H42" s="416">
        <v>6503</v>
      </c>
      <c r="I42" s="416">
        <v>3044684</v>
      </c>
      <c r="J42" s="417">
        <v>5112</v>
      </c>
      <c r="K42" s="418">
        <v>3224993</v>
      </c>
      <c r="L42" s="416">
        <v>13471</v>
      </c>
      <c r="M42" s="416">
        <v>4417423</v>
      </c>
      <c r="N42" s="416">
        <v>11009</v>
      </c>
      <c r="O42" s="416">
        <v>4729278</v>
      </c>
      <c r="P42" s="416">
        <v>33998</v>
      </c>
      <c r="Q42" s="416">
        <v>11641642</v>
      </c>
      <c r="R42" s="416">
        <v>15962</v>
      </c>
      <c r="S42" s="416">
        <v>6253943</v>
      </c>
      <c r="T42" s="416">
        <v>18510</v>
      </c>
      <c r="U42" s="416">
        <v>8270668</v>
      </c>
      <c r="V42" s="416">
        <f>_xlfn.IFNA(VLOOKUP(A42,[3]進出口值表查詢結果!$C$11:$F$68,4,0),-[4]整車!$B$22)</f>
        <v>12194</v>
      </c>
      <c r="W42" s="416">
        <f>_xlfn.IFNA(VLOOKUP(A42,[3]進出口值表查詢結果!$C$11:$F$68,3,0),-[4]整車!$B$22)</f>
        <v>5955460</v>
      </c>
      <c r="X42" s="416">
        <f>_xlfn.IFNA(VLOOKUP(A42,[5]進出口值表查詢結果!$C$11:$F$68,4,0),-[4]整車!$B$22)</f>
        <v>14217</v>
      </c>
      <c r="Y42" s="416">
        <f>_xlfn.IFNA(VLOOKUP(A42,[5]進出口值表查詢結果!$C$11:$F$68,3,0),-[4]整車!$B$22)</f>
        <v>5372669</v>
      </c>
      <c r="Z42" s="410">
        <f t="shared" si="7"/>
        <v>164488</v>
      </c>
      <c r="AA42" s="410">
        <f t="shared" si="8"/>
        <v>64667141</v>
      </c>
    </row>
    <row r="43" spans="1:27">
      <c r="A43" s="453" t="s">
        <v>170</v>
      </c>
      <c r="B43" s="416">
        <v>1251</v>
      </c>
      <c r="C43" s="416">
        <v>1143718</v>
      </c>
      <c r="D43" s="416">
        <v>1214</v>
      </c>
      <c r="E43" s="416">
        <v>1514756</v>
      </c>
      <c r="F43" s="416">
        <v>1275</v>
      </c>
      <c r="G43" s="416">
        <v>1300366</v>
      </c>
      <c r="H43" s="416">
        <v>85</v>
      </c>
      <c r="I43" s="416">
        <v>106062</v>
      </c>
      <c r="J43" s="417">
        <v>889</v>
      </c>
      <c r="K43" s="418">
        <v>1214599</v>
      </c>
      <c r="L43" s="416">
        <v>1601</v>
      </c>
      <c r="M43" s="416">
        <v>1668970</v>
      </c>
      <c r="N43" s="416">
        <v>925</v>
      </c>
      <c r="O43" s="416">
        <v>1104904</v>
      </c>
      <c r="P43" s="416">
        <v>519</v>
      </c>
      <c r="Q43" s="416">
        <v>835276</v>
      </c>
      <c r="R43" s="416">
        <v>1150</v>
      </c>
      <c r="S43" s="416">
        <v>1209512</v>
      </c>
      <c r="T43" s="416">
        <v>2343</v>
      </c>
      <c r="U43" s="416">
        <v>2166095</v>
      </c>
      <c r="V43" s="416">
        <f>_xlfn.IFNA(VLOOKUP(A43,[3]進出口值表查詢結果!$C$11:$F$68,4,0),-[4]整車!$B$22)</f>
        <v>1094</v>
      </c>
      <c r="W43" s="416">
        <f>_xlfn.IFNA(VLOOKUP(A43,[3]進出口值表查詢結果!$C$11:$F$68,3,0),-[4]整車!$B$22)</f>
        <v>1193068</v>
      </c>
      <c r="X43" s="416">
        <f>_xlfn.IFNA(VLOOKUP(A43,[5]進出口值表查詢結果!$C$11:$F$68,4,0),-[4]整車!$B$22)</f>
        <v>680</v>
      </c>
      <c r="Y43" s="416">
        <f>_xlfn.IFNA(VLOOKUP(A43,[5]進出口值表查詢結果!$C$11:$F$68,3,0),-[4]整車!$B$22)</f>
        <v>895521</v>
      </c>
      <c r="Z43" s="410">
        <f t="shared" si="7"/>
        <v>13026</v>
      </c>
      <c r="AA43" s="410">
        <f t="shared" si="8"/>
        <v>14352847</v>
      </c>
    </row>
    <row r="44" spans="1:27">
      <c r="A44" s="415" t="s">
        <v>249</v>
      </c>
      <c r="B44" s="416">
        <v>1462</v>
      </c>
      <c r="C44" s="416">
        <v>1150648</v>
      </c>
      <c r="D44" s="416">
        <v>1170</v>
      </c>
      <c r="E44" s="416">
        <v>1065890</v>
      </c>
      <c r="F44" s="416">
        <v>328</v>
      </c>
      <c r="G44" s="416">
        <v>441720</v>
      </c>
      <c r="H44" s="416">
        <v>198</v>
      </c>
      <c r="I44" s="416">
        <v>604272</v>
      </c>
      <c r="J44" s="417">
        <v>824</v>
      </c>
      <c r="K44" s="418">
        <v>1298798</v>
      </c>
      <c r="L44" s="416">
        <v>1079</v>
      </c>
      <c r="M44" s="416">
        <v>1208211</v>
      </c>
      <c r="N44" s="416">
        <v>807</v>
      </c>
      <c r="O44" s="416">
        <v>1002195</v>
      </c>
      <c r="P44" s="416">
        <v>796</v>
      </c>
      <c r="Q44" s="416">
        <v>1264047</v>
      </c>
      <c r="R44" s="416">
        <v>605</v>
      </c>
      <c r="S44" s="416">
        <v>956624</v>
      </c>
      <c r="T44" s="416">
        <v>1343</v>
      </c>
      <c r="U44" s="416">
        <v>1450743</v>
      </c>
      <c r="V44" s="416">
        <f>_xlfn.IFNA(VLOOKUP(A44,[3]進出口值表查詢結果!$C$11:$F$68,4,0),-[4]整車!$B$22)</f>
        <v>1030</v>
      </c>
      <c r="W44" s="416">
        <f>_xlfn.IFNA(VLOOKUP(A44,[3]進出口值表查詢結果!$C$11:$F$68,3,0),-[4]整車!$B$22)</f>
        <v>1221871</v>
      </c>
      <c r="X44" s="416">
        <f>_xlfn.IFNA(VLOOKUP(A44,[5]進出口值表查詢結果!$C$11:$F$68,4,0),-[4]整車!$B$22)</f>
        <v>1914</v>
      </c>
      <c r="Y44" s="416">
        <f>_xlfn.IFNA(VLOOKUP(A44,[5]進出口值表查詢結果!$C$11:$F$68,3,0),-[4]整車!$B$22)</f>
        <v>2462982</v>
      </c>
      <c r="Z44" s="410">
        <f t="shared" si="7"/>
        <v>11556</v>
      </c>
      <c r="AA44" s="410">
        <f t="shared" si="8"/>
        <v>14128001</v>
      </c>
    </row>
    <row r="45" spans="1:27">
      <c r="A45" s="453" t="s">
        <v>188</v>
      </c>
      <c r="B45" s="416">
        <v>8259</v>
      </c>
      <c r="C45" s="416">
        <v>7055116</v>
      </c>
      <c r="D45" s="416">
        <v>7827</v>
      </c>
      <c r="E45" s="416">
        <v>8311625</v>
      </c>
      <c r="F45" s="416">
        <v>5451</v>
      </c>
      <c r="G45" s="416">
        <v>4815102</v>
      </c>
      <c r="H45" s="416">
        <v>1437</v>
      </c>
      <c r="I45" s="416">
        <v>897615</v>
      </c>
      <c r="J45" s="417">
        <v>6587</v>
      </c>
      <c r="K45" s="418">
        <v>3549849</v>
      </c>
      <c r="L45" s="416">
        <v>5956</v>
      </c>
      <c r="M45" s="416">
        <v>4372019</v>
      </c>
      <c r="N45" s="416">
        <v>6178</v>
      </c>
      <c r="O45" s="416">
        <v>5869574</v>
      </c>
      <c r="P45" s="416">
        <v>5911</v>
      </c>
      <c r="Q45" s="416">
        <v>4858793</v>
      </c>
      <c r="R45" s="416">
        <v>4741</v>
      </c>
      <c r="S45" s="416">
        <v>2750680</v>
      </c>
      <c r="T45" s="416">
        <v>8165</v>
      </c>
      <c r="U45" s="416">
        <v>3665783</v>
      </c>
      <c r="V45" s="416">
        <f>_xlfn.IFNA(VLOOKUP(A45,[3]進出口值表查詢結果!$C$11:$F$68,4,0),-[4]整車!$B$22)</f>
        <v>4599</v>
      </c>
      <c r="W45" s="416">
        <f>_xlfn.IFNA(VLOOKUP(A45,[3]進出口值表查詢結果!$C$11:$F$68,3,0),-[4]整車!$B$22)</f>
        <v>2448875</v>
      </c>
      <c r="X45" s="416">
        <f>_xlfn.IFNA(VLOOKUP(A45,[5]進出口值表查詢結果!$C$11:$F$68,4,0),-[4]整車!$B$22)</f>
        <v>6519</v>
      </c>
      <c r="Y45" s="416">
        <f>_xlfn.IFNA(VLOOKUP(A45,[5]進出口值表查詢結果!$C$11:$F$68,3,0),-[4]整車!$B$22)</f>
        <v>4708366</v>
      </c>
      <c r="Z45" s="410">
        <f t="shared" si="7"/>
        <v>71630</v>
      </c>
      <c r="AA45" s="410">
        <f t="shared" si="8"/>
        <v>53303397</v>
      </c>
    </row>
    <row r="46" spans="1:27">
      <c r="A46" s="453" t="s">
        <v>165</v>
      </c>
      <c r="B46" s="416">
        <v>2698</v>
      </c>
      <c r="C46" s="416">
        <v>337022</v>
      </c>
      <c r="D46" s="416">
        <v>4227</v>
      </c>
      <c r="E46" s="416">
        <v>590807</v>
      </c>
      <c r="F46" s="416">
        <v>1385</v>
      </c>
      <c r="G46" s="416">
        <v>364355</v>
      </c>
      <c r="H46" s="416">
        <v>2867</v>
      </c>
      <c r="I46" s="416">
        <v>160451</v>
      </c>
      <c r="J46" s="417">
        <v>493</v>
      </c>
      <c r="K46" s="418">
        <v>68059</v>
      </c>
      <c r="L46" s="416">
        <v>3511</v>
      </c>
      <c r="M46" s="416">
        <v>345274</v>
      </c>
      <c r="N46" s="430">
        <v>616</v>
      </c>
      <c r="O46" s="430">
        <v>145435</v>
      </c>
      <c r="P46" s="416">
        <v>252</v>
      </c>
      <c r="Q46" s="416">
        <v>50525</v>
      </c>
      <c r="R46" s="416">
        <v>1078</v>
      </c>
      <c r="S46" s="416">
        <v>229756</v>
      </c>
      <c r="T46" s="416">
        <v>2600</v>
      </c>
      <c r="U46" s="416">
        <v>425508</v>
      </c>
      <c r="V46" s="416">
        <f>_xlfn.IFNA(VLOOKUP(A46,[3]進出口值表查詢結果!$C$11:$F$68,4,0),-[4]整車!$B$22)</f>
        <v>2376</v>
      </c>
      <c r="W46" s="416">
        <f>_xlfn.IFNA(VLOOKUP(A46,[3]進出口值表查詢結果!$C$11:$F$68,3,0),-[4]整車!$B$22)</f>
        <v>357540</v>
      </c>
      <c r="X46" s="416">
        <f>_xlfn.IFNA(VLOOKUP(A46,[5]進出口值表查詢結果!$C$11:$F$68,4,0),-[4]整車!$B$22)</f>
        <v>3399</v>
      </c>
      <c r="Y46" s="416">
        <f>_xlfn.IFNA(VLOOKUP(A46,[5]進出口值表查詢結果!$C$11:$F$68,3,0),-[4]整車!$B$22)</f>
        <v>252100</v>
      </c>
      <c r="Z46" s="410">
        <f t="shared" si="7"/>
        <v>25502</v>
      </c>
      <c r="AA46" s="410">
        <f t="shared" si="8"/>
        <v>3326832</v>
      </c>
    </row>
    <row r="47" spans="1:27">
      <c r="A47" s="453" t="s">
        <v>191</v>
      </c>
      <c r="B47" s="416">
        <v>0</v>
      </c>
      <c r="C47" s="416">
        <v>0</v>
      </c>
      <c r="D47" s="416"/>
      <c r="E47" s="416"/>
      <c r="F47" s="416">
        <v>0</v>
      </c>
      <c r="G47" s="416"/>
      <c r="H47" s="416">
        <v>0</v>
      </c>
      <c r="I47" s="416">
        <v>0</v>
      </c>
      <c r="J47" s="417">
        <v>17</v>
      </c>
      <c r="K47" s="418">
        <v>30939</v>
      </c>
      <c r="L47" s="416">
        <v>0</v>
      </c>
      <c r="M47" s="416">
        <v>0</v>
      </c>
      <c r="N47" s="416">
        <v>0</v>
      </c>
      <c r="O47" s="416">
        <v>0</v>
      </c>
      <c r="P47" s="416">
        <v>0</v>
      </c>
      <c r="Q47" s="416">
        <v>0</v>
      </c>
      <c r="R47" s="416">
        <v>0</v>
      </c>
      <c r="S47" s="416">
        <v>0</v>
      </c>
      <c r="T47" s="416"/>
      <c r="U47" s="416"/>
      <c r="V47" s="416">
        <f>_xlfn.IFNA(VLOOKUP(A47,[3]進出口值表查詢結果!$C$11:$F$68,4,0),-[4]整車!$B$22)</f>
        <v>13</v>
      </c>
      <c r="W47" s="416">
        <f>_xlfn.IFNA(VLOOKUP(A47,[3]進出口值表查詢結果!$C$11:$F$68,3,0),-[4]整車!$B$22)</f>
        <v>30641</v>
      </c>
      <c r="X47" s="416">
        <f>_xlfn.IFNA(VLOOKUP(A47,[5]進出口值表查詢結果!$C$11:$F$68,4,0),-[4]整車!$B$22)</f>
        <v>0</v>
      </c>
      <c r="Y47" s="416">
        <f>_xlfn.IFNA(VLOOKUP(A47,[5]進出口值表查詢結果!$C$11:$F$68,3,0),-[4]整車!$B$22)</f>
        <v>0</v>
      </c>
      <c r="Z47" s="410">
        <f t="shared" si="7"/>
        <v>30</v>
      </c>
      <c r="AA47" s="410">
        <f t="shared" si="8"/>
        <v>61580</v>
      </c>
    </row>
    <row r="48" spans="1:27">
      <c r="A48" s="453" t="s">
        <v>252</v>
      </c>
      <c r="B48" s="416">
        <v>1496</v>
      </c>
      <c r="C48" s="416">
        <v>75974</v>
      </c>
      <c r="D48" s="416">
        <v>887</v>
      </c>
      <c r="E48" s="416">
        <v>76782</v>
      </c>
      <c r="F48" s="416">
        <v>282</v>
      </c>
      <c r="G48" s="416">
        <v>34683</v>
      </c>
      <c r="H48" s="416">
        <v>243</v>
      </c>
      <c r="I48" s="416">
        <v>59854</v>
      </c>
      <c r="J48" s="417">
        <v>2854</v>
      </c>
      <c r="K48" s="418">
        <v>111627</v>
      </c>
      <c r="L48" s="416">
        <v>292</v>
      </c>
      <c r="M48" s="416">
        <v>40717</v>
      </c>
      <c r="N48" s="430">
        <v>50</v>
      </c>
      <c r="O48" s="430">
        <v>7437</v>
      </c>
      <c r="P48" s="416">
        <v>0</v>
      </c>
      <c r="Q48" s="416">
        <v>0</v>
      </c>
      <c r="R48" s="416">
        <v>63</v>
      </c>
      <c r="S48" s="416">
        <v>7337</v>
      </c>
      <c r="T48" s="416">
        <v>110</v>
      </c>
      <c r="U48" s="416">
        <v>19242</v>
      </c>
      <c r="V48" s="416">
        <f>_xlfn.IFNA(VLOOKUP(A48,[3]進出口值表查詢結果!$C$11:$F$68,4,0),-[4]整車!$B$22)</f>
        <v>2810</v>
      </c>
      <c r="W48" s="416">
        <f>_xlfn.IFNA(VLOOKUP(A48,[3]進出口值表查詢結果!$C$11:$F$68,3,0),-[4]整車!$B$22)</f>
        <v>115217</v>
      </c>
      <c r="X48" s="416">
        <f>_xlfn.IFNA(VLOOKUP(A48,[5]進出口值表查詢結果!$C$11:$F$68,4,0),-[4]整車!$B$22)</f>
        <v>233</v>
      </c>
      <c r="Y48" s="416">
        <f>_xlfn.IFNA(VLOOKUP(A48,[5]進出口值表查詢結果!$C$11:$F$68,3,0),-[4]整車!$B$22)</f>
        <v>49405</v>
      </c>
      <c r="Z48" s="410">
        <f t="shared" si="7"/>
        <v>9320</v>
      </c>
      <c r="AA48" s="410">
        <f t="shared" si="8"/>
        <v>598275</v>
      </c>
    </row>
    <row r="49" spans="1:27">
      <c r="A49" s="453" t="s">
        <v>194</v>
      </c>
      <c r="B49" s="416">
        <v>0</v>
      </c>
      <c r="C49" s="416">
        <v>0</v>
      </c>
      <c r="D49" s="416"/>
      <c r="E49" s="416"/>
      <c r="F49" s="416">
        <v>0</v>
      </c>
      <c r="G49" s="416"/>
      <c r="H49" s="416">
        <v>0</v>
      </c>
      <c r="I49" s="416">
        <v>0</v>
      </c>
      <c r="J49" s="417" t="s">
        <v>60</v>
      </c>
      <c r="K49" s="420" t="s">
        <v>60</v>
      </c>
      <c r="L49" s="416">
        <v>0</v>
      </c>
      <c r="M49" s="416">
        <v>0</v>
      </c>
      <c r="N49" s="416">
        <v>0</v>
      </c>
      <c r="O49" s="416">
        <v>0</v>
      </c>
      <c r="P49" s="416">
        <v>1103</v>
      </c>
      <c r="Q49" s="416">
        <v>149812</v>
      </c>
      <c r="R49" s="416">
        <v>0</v>
      </c>
      <c r="S49" s="416">
        <v>0</v>
      </c>
      <c r="T49" s="416">
        <v>1020</v>
      </c>
      <c r="U49" s="416">
        <v>82719</v>
      </c>
      <c r="V49" s="416">
        <f>_xlfn.IFNA(VLOOKUP(A49,[3]進出口值表查詢結果!$C$11:$F$68,4,0),-[4]整車!$B$22)</f>
        <v>250</v>
      </c>
      <c r="W49" s="416">
        <f>_xlfn.IFNA(VLOOKUP(A49,[3]進出口值表查詢結果!$C$11:$F$68,3,0),-[4]整車!$B$22)</f>
        <v>40485</v>
      </c>
      <c r="X49" s="416">
        <f>_xlfn.IFNA(VLOOKUP(A49,[5]進出口值表查詢結果!$C$11:$F$68,4,0),-[4]整車!$B$22)</f>
        <v>0</v>
      </c>
      <c r="Y49" s="416">
        <f>_xlfn.IFNA(VLOOKUP(A49,[5]進出口值表查詢結果!$C$11:$F$68,3,0),-[4]整車!$B$22)</f>
        <v>0</v>
      </c>
      <c r="Z49" s="410">
        <f t="shared" si="7"/>
        <v>2373</v>
      </c>
      <c r="AA49" s="410">
        <f t="shared" si="8"/>
        <v>273016</v>
      </c>
    </row>
    <row r="50" spans="1:27">
      <c r="A50" s="453" t="s">
        <v>253</v>
      </c>
      <c r="B50" s="416">
        <v>0</v>
      </c>
      <c r="C50" s="416">
        <v>0</v>
      </c>
      <c r="D50" s="416"/>
      <c r="E50" s="416"/>
      <c r="F50" s="416">
        <v>41</v>
      </c>
      <c r="G50" s="416">
        <v>46233</v>
      </c>
      <c r="H50" s="416">
        <v>0</v>
      </c>
      <c r="I50" s="416">
        <v>0</v>
      </c>
      <c r="J50" s="417">
        <v>78</v>
      </c>
      <c r="K50" s="420">
        <v>136719</v>
      </c>
      <c r="L50" s="416">
        <v>73</v>
      </c>
      <c r="M50" s="416">
        <v>111226</v>
      </c>
      <c r="N50" s="430">
        <v>42</v>
      </c>
      <c r="O50" s="430">
        <v>82995</v>
      </c>
      <c r="P50" s="416">
        <v>76</v>
      </c>
      <c r="Q50" s="416">
        <v>189800</v>
      </c>
      <c r="R50" s="416">
        <v>3</v>
      </c>
      <c r="S50" s="416">
        <v>18037</v>
      </c>
      <c r="T50" s="416"/>
      <c r="U50" s="416"/>
      <c r="V50" s="416">
        <f>_xlfn.IFNA(VLOOKUP(A50,[3]進出口值表查詢結果!$C$11:$F$68,4,0),-[4]整車!$B$22)</f>
        <v>0</v>
      </c>
      <c r="W50" s="416">
        <f>_xlfn.IFNA(VLOOKUP(A50,[3]進出口值表查詢結果!$C$11:$F$68,3,0),-[4]整車!$B$22)</f>
        <v>0</v>
      </c>
      <c r="X50" s="416">
        <f>_xlfn.IFNA(VLOOKUP(A50,[5]進出口值表查詢結果!$C$11:$F$68,4,0),-[4]整車!$B$22)</f>
        <v>0</v>
      </c>
      <c r="Y50" s="416">
        <f>_xlfn.IFNA(VLOOKUP(A50,[5]進出口值表查詢結果!$C$11:$F$68,3,0),-[4]整車!$B$22)</f>
        <v>0</v>
      </c>
      <c r="Z50" s="410">
        <f t="shared" si="7"/>
        <v>313</v>
      </c>
      <c r="AA50" s="410">
        <f t="shared" si="8"/>
        <v>585010</v>
      </c>
    </row>
    <row r="51" spans="1:27">
      <c r="A51" s="453" t="s">
        <v>186</v>
      </c>
      <c r="B51" s="416">
        <v>201</v>
      </c>
      <c r="C51" s="416">
        <v>272709</v>
      </c>
      <c r="D51" s="416"/>
      <c r="E51" s="416"/>
      <c r="F51" s="416">
        <v>0</v>
      </c>
      <c r="G51" s="416"/>
      <c r="H51" s="416">
        <v>32</v>
      </c>
      <c r="I51" s="416">
        <v>33620</v>
      </c>
      <c r="J51" s="417">
        <v>101</v>
      </c>
      <c r="K51" s="420">
        <v>102138</v>
      </c>
      <c r="L51" s="416">
        <v>63</v>
      </c>
      <c r="M51" s="416">
        <v>100302</v>
      </c>
      <c r="N51" s="430">
        <v>9</v>
      </c>
      <c r="O51" s="430">
        <v>13320</v>
      </c>
      <c r="P51" s="416">
        <v>0</v>
      </c>
      <c r="Q51" s="416">
        <v>0</v>
      </c>
      <c r="R51" s="416">
        <v>78</v>
      </c>
      <c r="S51" s="416">
        <v>157745</v>
      </c>
      <c r="T51" s="416"/>
      <c r="U51" s="416"/>
      <c r="V51" s="416">
        <f>_xlfn.IFNA(VLOOKUP(A51,[3]進出口值表查詢結果!$C$11:$F$68,4,0),-[4]整車!$B$22)</f>
        <v>149</v>
      </c>
      <c r="W51" s="416">
        <f>_xlfn.IFNA(VLOOKUP(A51,[3]進出口值表查詢結果!$C$11:$F$68,3,0),-[4]整車!$B$22)</f>
        <v>101179</v>
      </c>
      <c r="X51" s="416">
        <f>_xlfn.IFNA(VLOOKUP(A51,[5]進出口值表查詢結果!$C$11:$F$68,4,0),-[4]整車!$B$22)</f>
        <v>177</v>
      </c>
      <c r="Y51" s="416">
        <f>_xlfn.IFNA(VLOOKUP(A51,[5]進出口值表查詢結果!$C$11:$F$68,3,0),-[4]整車!$B$22)</f>
        <v>208957</v>
      </c>
      <c r="Z51" s="410">
        <f t="shared" si="7"/>
        <v>810</v>
      </c>
      <c r="AA51" s="410">
        <f t="shared" si="8"/>
        <v>989970</v>
      </c>
    </row>
    <row r="52" spans="1:27">
      <c r="A52" s="453" t="s">
        <v>255</v>
      </c>
      <c r="B52" s="416">
        <v>14850</v>
      </c>
      <c r="C52" s="416">
        <v>1819825</v>
      </c>
      <c r="D52" s="416">
        <v>10994</v>
      </c>
      <c r="E52" s="416">
        <v>1791539</v>
      </c>
      <c r="F52" s="416">
        <v>5163</v>
      </c>
      <c r="G52" s="416">
        <v>792431</v>
      </c>
      <c r="H52" s="416">
        <v>8731</v>
      </c>
      <c r="I52" s="416">
        <v>1291818</v>
      </c>
      <c r="J52" s="417">
        <v>8229</v>
      </c>
      <c r="K52" s="418">
        <v>909253</v>
      </c>
      <c r="L52" s="416">
        <v>1974</v>
      </c>
      <c r="M52" s="416">
        <v>362668</v>
      </c>
      <c r="N52" s="430">
        <v>1030</v>
      </c>
      <c r="O52" s="430">
        <v>144084</v>
      </c>
      <c r="P52" s="416">
        <v>637</v>
      </c>
      <c r="Q52" s="416">
        <v>148186</v>
      </c>
      <c r="R52" s="416">
        <v>0</v>
      </c>
      <c r="S52" s="416">
        <v>0</v>
      </c>
      <c r="T52" s="416">
        <v>492</v>
      </c>
      <c r="U52" s="416">
        <v>276110</v>
      </c>
      <c r="V52" s="416">
        <f>_xlfn.IFNA(VLOOKUP(A52,[3]進出口值表查詢結果!$C$11:$F$68,4,0),-[4]整車!$B$22)</f>
        <v>373</v>
      </c>
      <c r="W52" s="416">
        <f>_xlfn.IFNA(VLOOKUP(A52,[3]進出口值表查詢結果!$C$11:$F$68,3,0),-[4]整車!$B$22)</f>
        <v>210711</v>
      </c>
      <c r="X52" s="416">
        <f>_xlfn.IFNA(VLOOKUP(A52,[5]進出口值表查詢結果!$C$11:$F$68,4,0),-[4]整車!$B$22)</f>
        <v>255</v>
      </c>
      <c r="Y52" s="416">
        <f>_xlfn.IFNA(VLOOKUP(A52,[5]進出口值表查詢結果!$C$11:$F$68,3,0),-[4]整車!$B$22)</f>
        <v>121134</v>
      </c>
      <c r="Z52" s="410">
        <f t="shared" si="7"/>
        <v>52728</v>
      </c>
      <c r="AA52" s="410">
        <f t="shared" si="8"/>
        <v>7867759</v>
      </c>
    </row>
    <row r="53" spans="1:27">
      <c r="A53" s="453" t="s">
        <v>169</v>
      </c>
      <c r="B53" s="416">
        <v>415</v>
      </c>
      <c r="C53" s="416">
        <v>138854</v>
      </c>
      <c r="D53" s="416">
        <v>347</v>
      </c>
      <c r="E53" s="416">
        <v>89541</v>
      </c>
      <c r="F53" s="416">
        <v>168</v>
      </c>
      <c r="G53" s="416">
        <v>63590</v>
      </c>
      <c r="H53" s="416">
        <v>91</v>
      </c>
      <c r="I53" s="416">
        <v>41073</v>
      </c>
      <c r="J53" s="417" t="s">
        <v>60</v>
      </c>
      <c r="K53" s="420" t="s">
        <v>60</v>
      </c>
      <c r="L53" s="416">
        <v>192</v>
      </c>
      <c r="M53" s="416">
        <v>38137</v>
      </c>
      <c r="N53" s="430">
        <v>565</v>
      </c>
      <c r="O53" s="430">
        <v>326470</v>
      </c>
      <c r="P53" s="416">
        <v>55</v>
      </c>
      <c r="Q53" s="416">
        <v>37445</v>
      </c>
      <c r="R53" s="416">
        <v>12</v>
      </c>
      <c r="S53" s="416">
        <v>17120</v>
      </c>
      <c r="T53" s="416">
        <v>3</v>
      </c>
      <c r="U53" s="416">
        <v>1549</v>
      </c>
      <c r="V53" s="416">
        <f>_xlfn.IFNA(VLOOKUP(A53,[3]進出口值表查詢結果!$C$11:$F$68,4,0),-[4]整車!$B$22)</f>
        <v>6</v>
      </c>
      <c r="W53" s="416">
        <f>_xlfn.IFNA(VLOOKUP(A53,[3]進出口值表查詢結果!$C$11:$F$68,3,0),-[4]整車!$B$22)</f>
        <v>1837</v>
      </c>
      <c r="X53" s="416">
        <f>_xlfn.IFNA(VLOOKUP(A53,[5]進出口值表查詢結果!$C$11:$F$68,4,0),-[4]整車!$B$22)</f>
        <v>0</v>
      </c>
      <c r="Y53" s="416">
        <f>_xlfn.IFNA(VLOOKUP(A53,[5]進出口值表查詢結果!$C$11:$F$68,3,0),-[4]整車!$B$22)</f>
        <v>0</v>
      </c>
      <c r="Z53" s="410">
        <f t="shared" si="7"/>
        <v>1854</v>
      </c>
      <c r="AA53" s="410">
        <f t="shared" si="8"/>
        <v>755616</v>
      </c>
    </row>
    <row r="54" spans="1:27">
      <c r="A54" s="453" t="s">
        <v>176</v>
      </c>
      <c r="B54" s="416">
        <v>2701</v>
      </c>
      <c r="C54" s="416">
        <v>1013330</v>
      </c>
      <c r="D54" s="416">
        <v>526</v>
      </c>
      <c r="E54" s="416">
        <v>174316</v>
      </c>
      <c r="F54" s="416">
        <v>871</v>
      </c>
      <c r="G54" s="416">
        <v>261235</v>
      </c>
      <c r="H54" s="416">
        <v>560</v>
      </c>
      <c r="I54" s="416">
        <v>111328</v>
      </c>
      <c r="J54" s="417">
        <v>122</v>
      </c>
      <c r="K54" s="420">
        <v>126429</v>
      </c>
      <c r="L54" s="416">
        <v>437</v>
      </c>
      <c r="M54" s="416">
        <v>340350</v>
      </c>
      <c r="N54" s="430">
        <v>995</v>
      </c>
      <c r="O54" s="430">
        <v>812171</v>
      </c>
      <c r="P54" s="416">
        <v>393</v>
      </c>
      <c r="Q54" s="416">
        <v>427618</v>
      </c>
      <c r="R54" s="416">
        <v>1762</v>
      </c>
      <c r="S54" s="416">
        <v>731590</v>
      </c>
      <c r="T54" s="416">
        <v>2871</v>
      </c>
      <c r="U54" s="416">
        <v>1163960</v>
      </c>
      <c r="V54" s="416">
        <f>_xlfn.IFNA(VLOOKUP(A54,[3]進出口值表查詢結果!$C$11:$F$68,4,0),-[4]整車!$B$22)</f>
        <v>2077</v>
      </c>
      <c r="W54" s="416">
        <f>_xlfn.IFNA(VLOOKUP(A54,[3]進出口值表查詢結果!$C$11:$F$68,3,0),-[4]整車!$B$22)</f>
        <v>695253</v>
      </c>
      <c r="X54" s="416">
        <f>_xlfn.IFNA(VLOOKUP(A54,[5]進出口值表查詢結果!$C$11:$F$68,4,0),-[4]整車!$B$22)</f>
        <v>2420</v>
      </c>
      <c r="Y54" s="416">
        <f>_xlfn.IFNA(VLOOKUP(A54,[5]進出口值表查詢結果!$C$11:$F$68,3,0),-[4]整車!$B$22)</f>
        <v>651295</v>
      </c>
      <c r="Z54" s="410">
        <f t="shared" si="7"/>
        <v>15735</v>
      </c>
      <c r="AA54" s="410">
        <f t="shared" si="8"/>
        <v>6508875</v>
      </c>
    </row>
    <row r="55" spans="1:27">
      <c r="A55" s="453" t="s">
        <v>166</v>
      </c>
      <c r="B55" s="416">
        <v>184</v>
      </c>
      <c r="C55" s="416">
        <v>65445</v>
      </c>
      <c r="D55" s="416">
        <v>384</v>
      </c>
      <c r="E55" s="416">
        <v>270420</v>
      </c>
      <c r="F55" s="416">
        <v>117</v>
      </c>
      <c r="G55" s="416">
        <v>125456</v>
      </c>
      <c r="H55" s="416">
        <v>125</v>
      </c>
      <c r="I55" s="416">
        <v>79330</v>
      </c>
      <c r="J55" s="417">
        <v>112</v>
      </c>
      <c r="K55" s="420">
        <v>53759</v>
      </c>
      <c r="L55" s="416">
        <v>191</v>
      </c>
      <c r="M55" s="416">
        <v>102112</v>
      </c>
      <c r="N55" s="430">
        <v>97</v>
      </c>
      <c r="O55" s="430">
        <v>124577</v>
      </c>
      <c r="P55" s="416">
        <v>96</v>
      </c>
      <c r="Q55" s="416">
        <v>91901</v>
      </c>
      <c r="R55" s="416">
        <v>1</v>
      </c>
      <c r="S55" s="416">
        <v>4144</v>
      </c>
      <c r="T55" s="416">
        <v>262</v>
      </c>
      <c r="U55" s="416">
        <v>270569</v>
      </c>
      <c r="V55" s="416">
        <f>_xlfn.IFNA(VLOOKUP(A55,[3]進出口值表查詢結果!$C$11:$F$68,4,0),-[4]整車!$B$22)</f>
        <v>124</v>
      </c>
      <c r="W55" s="416">
        <f>_xlfn.IFNA(VLOOKUP(A55,[3]進出口值表查詢結果!$C$11:$F$68,3,0),-[4]整車!$B$22)</f>
        <v>163570</v>
      </c>
      <c r="X55" s="416">
        <f>_xlfn.IFNA(VLOOKUP(A55,[5]進出口值表查詢結果!$C$11:$F$68,4,0),-[4]整車!$B$22)</f>
        <v>2983</v>
      </c>
      <c r="Y55" s="416">
        <f>_xlfn.IFNA(VLOOKUP(A55,[5]進出口值表查詢結果!$C$11:$F$68,3,0),-[4]整車!$B$22)</f>
        <v>600700</v>
      </c>
      <c r="Z55" s="410">
        <f t="shared" si="7"/>
        <v>4676</v>
      </c>
      <c r="AA55" s="410">
        <f t="shared" si="8"/>
        <v>1951983</v>
      </c>
    </row>
    <row r="56" spans="1:27">
      <c r="A56" s="453" t="s">
        <v>172</v>
      </c>
      <c r="B56" s="416">
        <v>1004</v>
      </c>
      <c r="C56" s="416">
        <v>51950</v>
      </c>
      <c r="D56" s="416">
        <v>726</v>
      </c>
      <c r="E56" s="416">
        <v>56062</v>
      </c>
      <c r="F56" s="416">
        <v>1874</v>
      </c>
      <c r="G56" s="416">
        <v>133920</v>
      </c>
      <c r="H56" s="416">
        <v>806</v>
      </c>
      <c r="I56" s="416">
        <v>75224</v>
      </c>
      <c r="J56" s="417" t="s">
        <v>60</v>
      </c>
      <c r="K56" s="420" t="s">
        <v>60</v>
      </c>
      <c r="L56" s="416">
        <v>52</v>
      </c>
      <c r="M56" s="416">
        <v>5931</v>
      </c>
      <c r="N56" s="416">
        <v>0</v>
      </c>
      <c r="O56" s="416">
        <v>0</v>
      </c>
      <c r="P56" s="416">
        <v>0</v>
      </c>
      <c r="Q56" s="416">
        <v>0</v>
      </c>
      <c r="R56" s="416">
        <v>0</v>
      </c>
      <c r="S56" s="416">
        <v>0</v>
      </c>
      <c r="T56" s="416">
        <v>70</v>
      </c>
      <c r="U56" s="416">
        <v>11429</v>
      </c>
      <c r="V56" s="416">
        <f>_xlfn.IFNA(VLOOKUP(A56,[3]進出口值表查詢結果!$C$11:$F$68,4,0),-[4]整車!$B$22)</f>
        <v>13</v>
      </c>
      <c r="W56" s="416">
        <f>_xlfn.IFNA(VLOOKUP(A56,[3]進出口值表查詢結果!$C$11:$F$68,3,0),-[4]整車!$B$22)</f>
        <v>1698</v>
      </c>
      <c r="X56" s="416">
        <f>_xlfn.IFNA(VLOOKUP(A56,[5]進出口值表查詢結果!$C$11:$F$68,4,0),-[4]整車!$B$22)</f>
        <v>55</v>
      </c>
      <c r="Y56" s="416">
        <f>_xlfn.IFNA(VLOOKUP(A56,[5]進出口值表查詢結果!$C$11:$F$68,3,0),-[4]整車!$B$22)</f>
        <v>5808</v>
      </c>
      <c r="Z56" s="410">
        <f t="shared" si="7"/>
        <v>4600</v>
      </c>
      <c r="AA56" s="410">
        <f t="shared" si="8"/>
        <v>342022</v>
      </c>
    </row>
    <row r="57" spans="1:27">
      <c r="A57" s="453" t="s">
        <v>261</v>
      </c>
      <c r="B57" s="416">
        <v>0</v>
      </c>
      <c r="C57" s="416">
        <v>0</v>
      </c>
      <c r="D57" s="416">
        <v>40</v>
      </c>
      <c r="E57" s="416">
        <v>6163</v>
      </c>
      <c r="F57" s="416">
        <v>0</v>
      </c>
      <c r="G57" s="416"/>
      <c r="H57" s="416">
        <v>0</v>
      </c>
      <c r="I57" s="416">
        <v>0</v>
      </c>
      <c r="J57" s="417" t="s">
        <v>60</v>
      </c>
      <c r="K57" s="420" t="s">
        <v>60</v>
      </c>
      <c r="L57" s="416">
        <v>0</v>
      </c>
      <c r="M57" s="416">
        <v>0</v>
      </c>
      <c r="N57" s="416">
        <v>0</v>
      </c>
      <c r="O57" s="416">
        <v>0</v>
      </c>
      <c r="P57" s="416">
        <v>0</v>
      </c>
      <c r="Q57" s="416">
        <v>0</v>
      </c>
      <c r="R57" s="416">
        <v>0</v>
      </c>
      <c r="S57" s="416">
        <v>0</v>
      </c>
      <c r="T57" s="416"/>
      <c r="U57" s="416"/>
      <c r="V57" s="416">
        <f>_xlfn.IFNA(VLOOKUP(A57,[3]進出口值表查詢結果!$C$11:$F$68,4,0),-[4]整車!$B$22)</f>
        <v>0</v>
      </c>
      <c r="W57" s="416">
        <f>_xlfn.IFNA(VLOOKUP(A57,[3]進出口值表查詢結果!$C$11:$F$68,3,0),-[4]整車!$B$22)</f>
        <v>0</v>
      </c>
      <c r="X57" s="416">
        <f>_xlfn.IFNA(VLOOKUP(A57,[5]進出口值表查詢結果!$C$11:$F$68,4,0),-[4]整車!$B$22)</f>
        <v>0</v>
      </c>
      <c r="Y57" s="416">
        <f>_xlfn.IFNA(VLOOKUP(A57,[5]進出口值表查詢結果!$C$11:$F$68,3,0),-[4]整車!$B$22)</f>
        <v>0</v>
      </c>
      <c r="Z57" s="410">
        <f t="shared" si="7"/>
        <v>40</v>
      </c>
      <c r="AA57" s="410">
        <f t="shared" si="8"/>
        <v>6163</v>
      </c>
    </row>
    <row r="58" spans="1:27">
      <c r="A58" s="456" t="s">
        <v>263</v>
      </c>
      <c r="B58" s="416">
        <v>696</v>
      </c>
      <c r="C58" s="416">
        <v>253916</v>
      </c>
      <c r="D58" s="416">
        <v>1323</v>
      </c>
      <c r="E58" s="416">
        <v>281646</v>
      </c>
      <c r="F58" s="416">
        <v>898</v>
      </c>
      <c r="G58" s="416">
        <v>263987</v>
      </c>
      <c r="H58" s="416">
        <v>276</v>
      </c>
      <c r="I58" s="416">
        <v>95595</v>
      </c>
      <c r="J58" s="417">
        <v>767</v>
      </c>
      <c r="K58" s="420">
        <v>158803</v>
      </c>
      <c r="L58" s="416">
        <v>0</v>
      </c>
      <c r="M58" s="416">
        <v>0</v>
      </c>
      <c r="N58" s="430">
        <v>80</v>
      </c>
      <c r="O58" s="430">
        <v>39824</v>
      </c>
      <c r="P58" s="416">
        <v>0</v>
      </c>
      <c r="Q58" s="416">
        <v>0</v>
      </c>
      <c r="R58" s="416">
        <v>0</v>
      </c>
      <c r="S58" s="416">
        <v>0</v>
      </c>
      <c r="T58" s="416">
        <v>169</v>
      </c>
      <c r="U58" s="416">
        <v>44957</v>
      </c>
      <c r="V58" s="416">
        <f>_xlfn.IFNA(VLOOKUP(A58,[3]進出口值表查詢結果!$C$11:$F$68,4,0),-[4]整車!$B$22)</f>
        <v>0</v>
      </c>
      <c r="W58" s="416">
        <f>_xlfn.IFNA(VLOOKUP(A58,[3]進出口值表查詢結果!$C$11:$F$68,3,0),-[4]整車!$B$22)</f>
        <v>0</v>
      </c>
      <c r="X58" s="416">
        <f>_xlfn.IFNA(VLOOKUP(A58,[5]進出口值表查詢結果!$C$11:$F$68,4,0),-[4]整車!$B$22)</f>
        <v>0</v>
      </c>
      <c r="Y58" s="416">
        <f>_xlfn.IFNA(VLOOKUP(A58,[5]進出口值表查詢結果!$C$11:$F$68,3,0),-[4]整車!$B$22)</f>
        <v>0</v>
      </c>
      <c r="Z58" s="410">
        <f t="shared" si="7"/>
        <v>4209</v>
      </c>
      <c r="AA58" s="410">
        <f t="shared" si="8"/>
        <v>1138728</v>
      </c>
    </row>
    <row r="59" spans="1:27">
      <c r="A59" s="457" t="s">
        <v>18</v>
      </c>
      <c r="B59" s="416">
        <v>0</v>
      </c>
      <c r="C59" s="416">
        <v>0</v>
      </c>
      <c r="D59" s="416"/>
      <c r="E59" s="416"/>
      <c r="F59" s="416">
        <v>0</v>
      </c>
      <c r="G59" s="416"/>
      <c r="H59" s="416">
        <v>0</v>
      </c>
      <c r="I59" s="416">
        <v>0</v>
      </c>
      <c r="J59" s="417">
        <v>50</v>
      </c>
      <c r="K59" s="420">
        <v>5012</v>
      </c>
      <c r="L59" s="416">
        <v>0</v>
      </c>
      <c r="M59" s="416">
        <v>0</v>
      </c>
      <c r="N59" s="416">
        <v>0</v>
      </c>
      <c r="O59" s="416">
        <v>0</v>
      </c>
      <c r="P59" s="416">
        <v>0</v>
      </c>
      <c r="Q59" s="416">
        <v>0</v>
      </c>
      <c r="R59" s="416">
        <v>0</v>
      </c>
      <c r="S59" s="416">
        <v>0</v>
      </c>
      <c r="T59" s="416">
        <v>440</v>
      </c>
      <c r="U59" s="416">
        <v>55250</v>
      </c>
      <c r="V59" s="416">
        <f>_xlfn.IFNA(VLOOKUP(A59,[3]進出口值表查詢結果!$C$11:$F$68,4,0),-[4]整車!$B$22)</f>
        <v>0</v>
      </c>
      <c r="W59" s="416">
        <f>_xlfn.IFNA(VLOOKUP(A59,[3]進出口值表查詢結果!$C$11:$F$68,3,0),-[4]整車!$B$22)</f>
        <v>0</v>
      </c>
      <c r="X59" s="416">
        <f>_xlfn.IFNA(VLOOKUP(A59,[5]進出口值表查詢結果!$C$11:$F$68,4,0),-[4]整車!$B$22)</f>
        <v>0</v>
      </c>
      <c r="Y59" s="416">
        <f>_xlfn.IFNA(VLOOKUP(A59,[5]進出口值表查詢結果!$C$11:$F$68,3,0),-[4]整車!$B$22)</f>
        <v>0</v>
      </c>
      <c r="Z59" s="410">
        <f t="shared" si="7"/>
        <v>490</v>
      </c>
      <c r="AA59" s="410">
        <f t="shared" si="8"/>
        <v>60262</v>
      </c>
    </row>
    <row r="60" spans="1:27">
      <c r="A60" s="453" t="s">
        <v>266</v>
      </c>
      <c r="B60" s="416">
        <v>0</v>
      </c>
      <c r="C60" s="416">
        <v>0</v>
      </c>
      <c r="D60" s="416">
        <v>523</v>
      </c>
      <c r="E60" s="416">
        <v>150033</v>
      </c>
      <c r="F60" s="416">
        <v>813</v>
      </c>
      <c r="G60" s="416">
        <v>183637</v>
      </c>
      <c r="H60" s="416">
        <v>317</v>
      </c>
      <c r="I60" s="416">
        <v>63199</v>
      </c>
      <c r="J60" s="417" t="s">
        <v>60</v>
      </c>
      <c r="K60" s="420" t="s">
        <v>60</v>
      </c>
      <c r="L60" s="416">
        <v>160</v>
      </c>
      <c r="M60" s="416">
        <v>66421</v>
      </c>
      <c r="N60" s="416">
        <v>0</v>
      </c>
      <c r="O60" s="416">
        <v>0</v>
      </c>
      <c r="P60" s="416">
        <v>0</v>
      </c>
      <c r="Q60" s="416">
        <v>0</v>
      </c>
      <c r="R60" s="416">
        <v>0</v>
      </c>
      <c r="S60" s="416">
        <v>0</v>
      </c>
      <c r="T60" s="416"/>
      <c r="U60" s="416"/>
      <c r="V60" s="416">
        <f>_xlfn.IFNA(VLOOKUP(A60,[3]進出口值表查詢結果!$C$11:$F$68,4,0),-[4]整車!$B$22)</f>
        <v>0</v>
      </c>
      <c r="W60" s="416">
        <f>_xlfn.IFNA(VLOOKUP(A60,[3]進出口值表查詢結果!$C$11:$F$68,3,0),-[4]整車!$B$22)</f>
        <v>0</v>
      </c>
      <c r="X60" s="416">
        <f>_xlfn.IFNA(VLOOKUP(A60,[5]進出口值表查詢結果!$C$11:$F$68,4,0),-[4]整車!$B$22)</f>
        <v>0</v>
      </c>
      <c r="Y60" s="416">
        <f>_xlfn.IFNA(VLOOKUP(A60,[5]進出口值表查詢結果!$C$11:$F$68,3,0),-[4]整車!$B$22)</f>
        <v>0</v>
      </c>
      <c r="Z60" s="410">
        <f t="shared" si="7"/>
        <v>1813</v>
      </c>
      <c r="AA60" s="410">
        <f t="shared" si="8"/>
        <v>463290</v>
      </c>
    </row>
    <row r="61" spans="1:27">
      <c r="A61" s="415" t="s">
        <v>267</v>
      </c>
      <c r="B61" s="416">
        <v>1370</v>
      </c>
      <c r="C61" s="416">
        <v>251116</v>
      </c>
      <c r="D61" s="416">
        <v>1982</v>
      </c>
      <c r="E61" s="416">
        <v>436276</v>
      </c>
      <c r="F61" s="416">
        <v>324</v>
      </c>
      <c r="G61" s="416">
        <v>53469</v>
      </c>
      <c r="H61" s="416">
        <v>496</v>
      </c>
      <c r="I61" s="416">
        <v>109871</v>
      </c>
      <c r="J61" s="417">
        <v>113</v>
      </c>
      <c r="K61" s="431">
        <v>38322</v>
      </c>
      <c r="L61" s="416">
        <v>0</v>
      </c>
      <c r="M61" s="416">
        <v>0</v>
      </c>
      <c r="N61" s="416">
        <v>0</v>
      </c>
      <c r="O61" s="416">
        <v>0</v>
      </c>
      <c r="P61" s="416">
        <v>0</v>
      </c>
      <c r="Q61" s="416">
        <v>0</v>
      </c>
      <c r="R61" s="416">
        <v>0</v>
      </c>
      <c r="S61" s="416">
        <v>0</v>
      </c>
      <c r="T61" s="416"/>
      <c r="U61" s="416"/>
      <c r="V61" s="416">
        <f>_xlfn.IFNA(VLOOKUP(A61,[3]進出口值表查詢結果!$C$11:$F$68,4,0),-[4]整車!$B$22)</f>
        <v>0</v>
      </c>
      <c r="W61" s="416">
        <f>_xlfn.IFNA(VLOOKUP(A61,[3]進出口值表查詢結果!$C$11:$F$68,3,0),-[4]整車!$B$22)</f>
        <v>0</v>
      </c>
      <c r="X61" s="416">
        <f>_xlfn.IFNA(VLOOKUP(A61,[5]進出口值表查詢結果!$C$11:$F$68,4,0),-[4]整車!$B$22)</f>
        <v>214</v>
      </c>
      <c r="Y61" s="416">
        <f>_xlfn.IFNA(VLOOKUP(A61,[5]進出口值表查詢結果!$C$11:$F$68,3,0),-[4]整車!$B$22)</f>
        <v>33520</v>
      </c>
      <c r="Z61" s="410">
        <f t="shared" si="7"/>
        <v>4499</v>
      </c>
      <c r="AA61" s="410">
        <f t="shared" si="8"/>
        <v>922574</v>
      </c>
    </row>
    <row r="62" spans="1:27">
      <c r="A62" s="453" t="s">
        <v>269</v>
      </c>
      <c r="B62" s="416">
        <v>70</v>
      </c>
      <c r="C62" s="416">
        <v>43452</v>
      </c>
      <c r="D62" s="416">
        <v>261</v>
      </c>
      <c r="E62" s="416">
        <v>64456</v>
      </c>
      <c r="F62" s="416">
        <v>18</v>
      </c>
      <c r="G62" s="416">
        <v>17756</v>
      </c>
      <c r="H62" s="416">
        <v>0</v>
      </c>
      <c r="I62" s="416">
        <v>0</v>
      </c>
      <c r="J62" s="417" t="s">
        <v>60</v>
      </c>
      <c r="K62" s="420" t="s">
        <v>60</v>
      </c>
      <c r="L62" s="416">
        <v>25</v>
      </c>
      <c r="M62" s="416">
        <v>23023</v>
      </c>
      <c r="N62" s="416">
        <v>0</v>
      </c>
      <c r="O62" s="416">
        <v>0</v>
      </c>
      <c r="P62" s="416">
        <v>0</v>
      </c>
      <c r="Q62" s="416">
        <v>0</v>
      </c>
      <c r="R62" s="416">
        <v>0</v>
      </c>
      <c r="S62" s="416">
        <v>0</v>
      </c>
      <c r="T62" s="416"/>
      <c r="U62" s="416"/>
      <c r="V62" s="416">
        <f>_xlfn.IFNA(VLOOKUP(A62,[3]進出口值表查詢結果!$C$11:$F$68,4,0),-[4]整車!$B$22)</f>
        <v>1</v>
      </c>
      <c r="W62" s="416">
        <f>_xlfn.IFNA(VLOOKUP(A62,[3]進出口值表查詢結果!$C$11:$F$68,3,0),-[4]整車!$B$22)</f>
        <v>3951</v>
      </c>
      <c r="X62" s="416">
        <f>_xlfn.IFNA(VLOOKUP(A62,[5]進出口值表查詢結果!$C$11:$F$68,4,0),-[4]整車!$B$22)</f>
        <v>355</v>
      </c>
      <c r="Y62" s="416">
        <f>_xlfn.IFNA(VLOOKUP(A62,[5]進出口值表查詢結果!$C$11:$F$68,3,0),-[4]整車!$B$22)</f>
        <v>93772</v>
      </c>
      <c r="Z62" s="410">
        <f t="shared" si="7"/>
        <v>730</v>
      </c>
      <c r="AA62" s="410">
        <f t="shared" si="8"/>
        <v>246410</v>
      </c>
    </row>
    <row r="63" spans="1:27">
      <c r="A63" s="456" t="s">
        <v>403</v>
      </c>
      <c r="B63" s="416">
        <v>0</v>
      </c>
      <c r="C63" s="416">
        <v>0</v>
      </c>
      <c r="D63" s="416"/>
      <c r="E63" s="416"/>
      <c r="F63" s="416">
        <v>80</v>
      </c>
      <c r="G63" s="416">
        <v>11981</v>
      </c>
      <c r="H63" s="416">
        <v>125</v>
      </c>
      <c r="I63" s="416">
        <v>14310</v>
      </c>
      <c r="J63" s="417">
        <v>100</v>
      </c>
      <c r="K63" s="420">
        <v>16037</v>
      </c>
      <c r="L63" s="416">
        <v>0</v>
      </c>
      <c r="M63" s="416">
        <v>0</v>
      </c>
      <c r="N63" s="416">
        <v>0</v>
      </c>
      <c r="O63" s="416">
        <v>0</v>
      </c>
      <c r="P63" s="416">
        <v>0</v>
      </c>
      <c r="Q63" s="416">
        <v>0</v>
      </c>
      <c r="R63" s="416">
        <v>0</v>
      </c>
      <c r="S63" s="416">
        <v>0</v>
      </c>
      <c r="T63" s="416">
        <v>125</v>
      </c>
      <c r="U63" s="416">
        <v>16317</v>
      </c>
      <c r="V63" s="416">
        <f>_xlfn.IFNA(VLOOKUP(A63,[3]進出口值表查詢結果!$C$11:$F$68,4,0),-[4]整車!$B$22)</f>
        <v>0</v>
      </c>
      <c r="W63" s="416">
        <f>_xlfn.IFNA(VLOOKUP(A63,[3]進出口值表查詢結果!$C$11:$F$68,3,0),-[4]整車!$B$22)</f>
        <v>0</v>
      </c>
      <c r="X63" s="416">
        <f>_xlfn.IFNA(VLOOKUP(A63,[5]進出口值表查詢結果!$C$11:$F$68,4,0),-[4]整車!$B$22)</f>
        <v>340</v>
      </c>
      <c r="Y63" s="416">
        <f>_xlfn.IFNA(VLOOKUP(A63,[5]進出口值表查詢結果!$C$11:$F$68,3,0),-[4]整車!$B$22)</f>
        <v>50840</v>
      </c>
      <c r="Z63" s="410">
        <f t="shared" si="7"/>
        <v>770</v>
      </c>
      <c r="AA63" s="410">
        <f t="shared" si="8"/>
        <v>109485</v>
      </c>
    </row>
    <row r="64" spans="1:27">
      <c r="A64" s="453" t="s">
        <v>190</v>
      </c>
      <c r="B64" s="416">
        <v>44</v>
      </c>
      <c r="C64" s="416">
        <v>6265</v>
      </c>
      <c r="D64" s="416"/>
      <c r="E64" s="416"/>
      <c r="F64" s="416">
        <v>0</v>
      </c>
      <c r="G64" s="416"/>
      <c r="H64" s="416">
        <v>0</v>
      </c>
      <c r="I64" s="416">
        <v>0</v>
      </c>
      <c r="J64" s="417">
        <v>74</v>
      </c>
      <c r="K64" s="420">
        <v>8920</v>
      </c>
      <c r="L64" s="416">
        <v>0</v>
      </c>
      <c r="M64" s="416">
        <v>0</v>
      </c>
      <c r="N64" s="416">
        <v>0</v>
      </c>
      <c r="O64" s="416">
        <v>0</v>
      </c>
      <c r="P64" s="416">
        <v>35</v>
      </c>
      <c r="Q64" s="416">
        <v>5625</v>
      </c>
      <c r="R64" s="416">
        <v>45</v>
      </c>
      <c r="S64" s="416">
        <v>4959</v>
      </c>
      <c r="T64" s="416">
        <v>42</v>
      </c>
      <c r="U64" s="416">
        <v>6127</v>
      </c>
      <c r="V64" s="416">
        <f>_xlfn.IFNA(VLOOKUP(A64,[3]進出口值表查詢結果!$C$11:$F$68,4,0),-[4]整車!$B$22)</f>
        <v>0</v>
      </c>
      <c r="W64" s="416">
        <f>_xlfn.IFNA(VLOOKUP(A64,[3]進出口值表查詢結果!$C$11:$F$68,3,0),-[4]整車!$B$22)</f>
        <v>0</v>
      </c>
      <c r="X64" s="416">
        <f>_xlfn.IFNA(VLOOKUP(A64,[5]進出口值表查詢結果!$C$11:$F$68,4,0),-[4]整車!$B$22)</f>
        <v>0</v>
      </c>
      <c r="Y64" s="416">
        <f>_xlfn.IFNA(VLOOKUP(A64,[5]進出口值表查詢結果!$C$11:$F$68,3,0),-[4]整車!$B$22)</f>
        <v>0</v>
      </c>
      <c r="Z64" s="410">
        <f t="shared" si="7"/>
        <v>240</v>
      </c>
      <c r="AA64" s="410">
        <f t="shared" si="8"/>
        <v>31896</v>
      </c>
    </row>
    <row r="65" spans="1:27">
      <c r="A65" s="453" t="s">
        <v>185</v>
      </c>
      <c r="B65" s="416">
        <v>0</v>
      </c>
      <c r="C65" s="416">
        <v>0</v>
      </c>
      <c r="D65" s="416"/>
      <c r="E65" s="416"/>
      <c r="F65" s="416">
        <v>20</v>
      </c>
      <c r="G65" s="416">
        <v>7667</v>
      </c>
      <c r="H65" s="416">
        <v>0</v>
      </c>
      <c r="I65" s="416">
        <v>0</v>
      </c>
      <c r="J65" s="417">
        <v>53</v>
      </c>
      <c r="K65" s="420">
        <v>6883</v>
      </c>
      <c r="L65" s="416">
        <v>0</v>
      </c>
      <c r="M65" s="416">
        <v>0</v>
      </c>
      <c r="N65" s="416">
        <v>0</v>
      </c>
      <c r="O65" s="416">
        <v>0</v>
      </c>
      <c r="P65" s="416">
        <v>0</v>
      </c>
      <c r="Q65" s="416">
        <v>0</v>
      </c>
      <c r="R65" s="416">
        <v>46</v>
      </c>
      <c r="S65" s="416">
        <v>5740</v>
      </c>
      <c r="T65" s="416"/>
      <c r="U65" s="416"/>
      <c r="V65" s="416">
        <f>_xlfn.IFNA(VLOOKUP(A65,[3]進出口值表查詢結果!$C$11:$F$68,4,0),-[4]整車!$B$22)</f>
        <v>53</v>
      </c>
      <c r="W65" s="416">
        <f>_xlfn.IFNA(VLOOKUP(A65,[3]進出口值表查詢結果!$C$11:$F$68,3,0),-[4]整車!$B$22)</f>
        <v>6170</v>
      </c>
      <c r="X65" s="416">
        <f>_xlfn.IFNA(VLOOKUP(A65,[5]進出口值表查詢結果!$C$11:$F$68,4,0),-[4]整車!$B$22)</f>
        <v>0</v>
      </c>
      <c r="Y65" s="416">
        <f>_xlfn.IFNA(VLOOKUP(A65,[5]進出口值表查詢結果!$C$11:$F$68,3,0),-[4]整車!$B$22)</f>
        <v>0</v>
      </c>
      <c r="Z65" s="410">
        <f t="shared" si="7"/>
        <v>172</v>
      </c>
      <c r="AA65" s="410">
        <f t="shared" si="8"/>
        <v>26460</v>
      </c>
    </row>
    <row r="66" spans="1:27">
      <c r="A66" s="453" t="s">
        <v>273</v>
      </c>
      <c r="B66" s="416">
        <v>16</v>
      </c>
      <c r="C66" s="416">
        <v>8064</v>
      </c>
      <c r="D66" s="416">
        <v>400</v>
      </c>
      <c r="E66" s="416">
        <v>74984</v>
      </c>
      <c r="F66" s="416">
        <v>130</v>
      </c>
      <c r="G66" s="416">
        <v>19515</v>
      </c>
      <c r="H66" s="416">
        <v>120</v>
      </c>
      <c r="I66" s="416">
        <v>19543</v>
      </c>
      <c r="J66" s="417">
        <v>235</v>
      </c>
      <c r="K66" s="420">
        <v>45740</v>
      </c>
      <c r="L66" s="416">
        <v>0</v>
      </c>
      <c r="M66" s="416">
        <v>0</v>
      </c>
      <c r="N66" s="416">
        <v>0</v>
      </c>
      <c r="O66" s="416">
        <v>0</v>
      </c>
      <c r="P66" s="416">
        <v>0</v>
      </c>
      <c r="Q66" s="416">
        <v>0</v>
      </c>
      <c r="R66" s="416">
        <v>0</v>
      </c>
      <c r="S66" s="416">
        <v>0</v>
      </c>
      <c r="T66" s="416"/>
      <c r="U66" s="416"/>
      <c r="V66" s="416">
        <f>_xlfn.IFNA(VLOOKUP(A66,[3]進出口值表查詢結果!$C$11:$F$68,4,0),-[4]整車!$B$22)</f>
        <v>0</v>
      </c>
      <c r="W66" s="416">
        <f>_xlfn.IFNA(VLOOKUP(A66,[3]進出口值表查詢結果!$C$11:$F$68,3,0),-[4]整車!$B$22)</f>
        <v>0</v>
      </c>
      <c r="X66" s="416">
        <f>_xlfn.IFNA(VLOOKUP(A66,[5]進出口值表查詢結果!$C$11:$F$68,4,0),-[4]整車!$B$22)</f>
        <v>0</v>
      </c>
      <c r="Y66" s="416">
        <f>_xlfn.IFNA(VLOOKUP(A66,[5]進出口值表查詢結果!$C$11:$F$68,3,0),-[4]整車!$B$22)</f>
        <v>0</v>
      </c>
      <c r="Z66" s="410">
        <f t="shared" si="7"/>
        <v>901</v>
      </c>
      <c r="AA66" s="410">
        <f t="shared" si="8"/>
        <v>167846</v>
      </c>
    </row>
    <row r="67" spans="1:27">
      <c r="A67" s="419"/>
      <c r="B67" s="416"/>
      <c r="C67" s="416"/>
      <c r="D67" s="416"/>
      <c r="E67" s="416"/>
      <c r="F67" s="416"/>
      <c r="G67" s="416"/>
      <c r="H67" s="416"/>
      <c r="I67" s="416"/>
      <c r="J67" s="417"/>
      <c r="K67" s="418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6"/>
      <c r="X67" s="416"/>
      <c r="Y67" s="416"/>
      <c r="Z67" s="410"/>
      <c r="AA67" s="410"/>
    </row>
    <row r="68" spans="1:27">
      <c r="A68" s="432" t="s">
        <v>20</v>
      </c>
      <c r="B68" s="433">
        <f t="shared" ref="B68:G68" si="9">SUM(B69:B73)</f>
        <v>6047</v>
      </c>
      <c r="C68" s="433">
        <f t="shared" si="9"/>
        <v>3779240</v>
      </c>
      <c r="D68" s="433">
        <f t="shared" si="9"/>
        <v>4374</v>
      </c>
      <c r="E68" s="433">
        <f t="shared" si="9"/>
        <v>2793538</v>
      </c>
      <c r="F68" s="433">
        <f t="shared" si="9"/>
        <v>3335</v>
      </c>
      <c r="G68" s="433">
        <f t="shared" si="9"/>
        <v>1866843</v>
      </c>
      <c r="H68" s="433">
        <f>SUM(H69:H73)</f>
        <v>2480</v>
      </c>
      <c r="I68" s="433">
        <f>SUM(I69:I73)</f>
        <v>1512983</v>
      </c>
      <c r="J68" s="434">
        <f t="shared" ref="J68:O68" si="10">SUM(J69:J73)</f>
        <v>1816</v>
      </c>
      <c r="K68" s="435">
        <f t="shared" si="10"/>
        <v>1480084</v>
      </c>
      <c r="L68" s="433">
        <f t="shared" si="10"/>
        <v>1849</v>
      </c>
      <c r="M68" s="433">
        <f t="shared" si="10"/>
        <v>1617191</v>
      </c>
      <c r="N68" s="433">
        <f t="shared" si="10"/>
        <v>1838</v>
      </c>
      <c r="O68" s="433">
        <f t="shared" si="10"/>
        <v>1928770</v>
      </c>
      <c r="P68" s="433">
        <f>SUM(P69:P73)</f>
        <v>1960</v>
      </c>
      <c r="Q68" s="433">
        <f>SUM(Q69:Q73)</f>
        <v>1999119</v>
      </c>
      <c r="R68" s="433">
        <f t="shared" ref="R68:Y68" si="11">SUM(R69:R73)</f>
        <v>1097</v>
      </c>
      <c r="S68" s="433">
        <f t="shared" si="11"/>
        <v>1708965</v>
      </c>
      <c r="T68" s="433">
        <f t="shared" si="11"/>
        <v>2389</v>
      </c>
      <c r="U68" s="433">
        <f t="shared" si="11"/>
        <v>2156903</v>
      </c>
      <c r="V68" s="433">
        <f>SUM(V69:V73)</f>
        <v>1149</v>
      </c>
      <c r="W68" s="433">
        <f>SUM(W69:W73)</f>
        <v>1843745</v>
      </c>
      <c r="X68" s="433">
        <f t="shared" si="11"/>
        <v>3615</v>
      </c>
      <c r="Y68" s="433">
        <f t="shared" si="11"/>
        <v>4337331</v>
      </c>
      <c r="Z68" s="427">
        <f t="shared" ref="Z68:AA73" si="12">SUM(B68,D68,F68,H68,J68,L68,N68,P68,R68,T68,V68,X68)</f>
        <v>31949</v>
      </c>
      <c r="AA68" s="427">
        <f t="shared" si="12"/>
        <v>27024712</v>
      </c>
    </row>
    <row r="69" spans="1:27">
      <c r="A69" s="453" t="s">
        <v>183</v>
      </c>
      <c r="B69" s="416">
        <v>1857</v>
      </c>
      <c r="C69" s="416">
        <v>2017794</v>
      </c>
      <c r="D69" s="416">
        <v>1373</v>
      </c>
      <c r="E69" s="416">
        <v>1011526</v>
      </c>
      <c r="F69" s="416">
        <v>425</v>
      </c>
      <c r="G69" s="416">
        <v>428146</v>
      </c>
      <c r="H69" s="416">
        <v>671</v>
      </c>
      <c r="I69" s="416">
        <v>699536</v>
      </c>
      <c r="J69" s="417">
        <v>587</v>
      </c>
      <c r="K69" s="418">
        <v>1041998</v>
      </c>
      <c r="L69" s="416">
        <v>1055</v>
      </c>
      <c r="M69" s="416">
        <v>1243264</v>
      </c>
      <c r="N69" s="430">
        <v>947</v>
      </c>
      <c r="O69" s="430">
        <v>1493476</v>
      </c>
      <c r="P69" s="416">
        <v>1258</v>
      </c>
      <c r="Q69" s="416">
        <v>1726838</v>
      </c>
      <c r="R69" s="416">
        <v>988</v>
      </c>
      <c r="S69" s="416">
        <v>1565929</v>
      </c>
      <c r="T69" s="416">
        <v>2202</v>
      </c>
      <c r="U69" s="416">
        <v>2043237</v>
      </c>
      <c r="V69" s="416">
        <f>_xlfn.IFNA(VLOOKUP(A69,[3]進出口值表查詢結果!$C$11:$F$68,4,0),-[4]整車!$B$22)</f>
        <v>835</v>
      </c>
      <c r="W69" s="416">
        <f>_xlfn.IFNA(VLOOKUP(A69,[3]進出口值表查詢結果!$C$11:$F$68,3,0),-[4]整車!$B$22)</f>
        <v>1325166</v>
      </c>
      <c r="X69" s="416">
        <f>_xlfn.IFNA(VLOOKUP(A69,[5]進出口值表查詢結果!$C$11:$F$68,4,0),-[4]整車!$B$22)</f>
        <v>2736</v>
      </c>
      <c r="Y69" s="416">
        <f>_xlfn.IFNA(VLOOKUP(A69,[5]進出口值表查詢結果!$C$11:$F$68,3,0),-[4]整車!$B$22)</f>
        <v>3402098</v>
      </c>
      <c r="Z69" s="410">
        <f t="shared" si="12"/>
        <v>14934</v>
      </c>
      <c r="AA69" s="410">
        <f t="shared" si="12"/>
        <v>17999008</v>
      </c>
    </row>
    <row r="70" spans="1:27">
      <c r="A70" s="453" t="s">
        <v>274</v>
      </c>
      <c r="B70" s="416">
        <v>4127</v>
      </c>
      <c r="C70" s="416">
        <v>1691969</v>
      </c>
      <c r="D70" s="416">
        <v>2950</v>
      </c>
      <c r="E70" s="416">
        <v>1716256</v>
      </c>
      <c r="F70" s="416">
        <v>2760</v>
      </c>
      <c r="G70" s="416">
        <v>1417688</v>
      </c>
      <c r="H70" s="416">
        <v>1808</v>
      </c>
      <c r="I70" s="416">
        <v>811327</v>
      </c>
      <c r="J70" s="417">
        <v>1210</v>
      </c>
      <c r="K70" s="418">
        <v>402504</v>
      </c>
      <c r="L70" s="416">
        <v>780</v>
      </c>
      <c r="M70" s="416">
        <v>350268</v>
      </c>
      <c r="N70" s="430">
        <v>875</v>
      </c>
      <c r="O70" s="430">
        <v>407876</v>
      </c>
      <c r="P70" s="416">
        <v>700</v>
      </c>
      <c r="Q70" s="416">
        <v>267943</v>
      </c>
      <c r="R70" s="416">
        <v>108</v>
      </c>
      <c r="S70" s="416">
        <v>140862</v>
      </c>
      <c r="T70" s="416">
        <v>186</v>
      </c>
      <c r="U70" s="416">
        <v>111463</v>
      </c>
      <c r="V70" s="416">
        <f>_xlfn.IFNA(VLOOKUP(A70,[3]進出口值表查詢結果!$C$11:$F$68,4,0),-[4]整車!$B$22)</f>
        <v>314</v>
      </c>
      <c r="W70" s="416">
        <f>_xlfn.IFNA(VLOOKUP(A70,[3]進出口值表查詢結果!$C$11:$F$68,3,0),-[4]整車!$B$22)</f>
        <v>518579</v>
      </c>
      <c r="X70" s="416">
        <f>_xlfn.IFNA(VLOOKUP(A70,[5]進出口值表查詢結果!$C$11:$F$68,4,0),-[4]整車!$B$22)</f>
        <v>838</v>
      </c>
      <c r="Y70" s="416">
        <f>_xlfn.IFNA(VLOOKUP(A70,[5]進出口值表查詢結果!$C$11:$F$68,3,0),-[4]整車!$B$22)</f>
        <v>906262</v>
      </c>
      <c r="Z70" s="410">
        <f t="shared" si="12"/>
        <v>16656</v>
      </c>
      <c r="AA70" s="410">
        <f t="shared" si="12"/>
        <v>8742997</v>
      </c>
    </row>
    <row r="71" spans="1:27">
      <c r="A71" s="453" t="s">
        <v>275</v>
      </c>
      <c r="B71" s="416">
        <v>63</v>
      </c>
      <c r="C71" s="416">
        <v>69477</v>
      </c>
      <c r="D71" s="416">
        <v>51</v>
      </c>
      <c r="E71" s="416">
        <v>65756</v>
      </c>
      <c r="F71" s="416">
        <v>150</v>
      </c>
      <c r="G71" s="416">
        <v>21009</v>
      </c>
      <c r="H71" s="416">
        <v>1</v>
      </c>
      <c r="I71" s="416">
        <v>2120</v>
      </c>
      <c r="J71" s="417">
        <v>19</v>
      </c>
      <c r="K71" s="418">
        <v>35582</v>
      </c>
      <c r="L71" s="416">
        <v>14</v>
      </c>
      <c r="M71" s="416">
        <v>23659</v>
      </c>
      <c r="N71" s="430">
        <v>16</v>
      </c>
      <c r="O71" s="430">
        <v>27418</v>
      </c>
      <c r="P71" s="416">
        <v>2</v>
      </c>
      <c r="Q71" s="416">
        <v>4338</v>
      </c>
      <c r="R71" s="416">
        <v>1</v>
      </c>
      <c r="S71" s="416">
        <v>2174</v>
      </c>
      <c r="T71" s="416">
        <v>1</v>
      </c>
      <c r="U71" s="416">
        <v>2203</v>
      </c>
      <c r="V71" s="416">
        <f>_xlfn.IFNA(VLOOKUP(A71,[3]進出口值表查詢結果!$C$11:$F$68,4,0),-[4]整車!$B$22)</f>
        <v>0</v>
      </c>
      <c r="W71" s="416">
        <f>_xlfn.IFNA(VLOOKUP(A71,[3]進出口值表查詢結果!$C$11:$F$68,3,0),-[4]整車!$B$22)</f>
        <v>0</v>
      </c>
      <c r="X71" s="416">
        <f>_xlfn.IFNA(VLOOKUP(A71,[5]進出口值表查詢結果!$C$11:$F$68,4,0),-[4]整車!$B$22)</f>
        <v>41</v>
      </c>
      <c r="Y71" s="416">
        <f>_xlfn.IFNA(VLOOKUP(A71,[5]進出口值表查詢結果!$C$11:$F$68,3,0),-[4]整車!$B$22)</f>
        <v>28971</v>
      </c>
      <c r="Z71" s="410">
        <f t="shared" si="12"/>
        <v>359</v>
      </c>
      <c r="AA71" s="410">
        <f t="shared" si="12"/>
        <v>282707</v>
      </c>
    </row>
    <row r="72" spans="1:27">
      <c r="A72" s="453" t="s">
        <v>277</v>
      </c>
      <c r="B72" s="416">
        <v>0</v>
      </c>
      <c r="C72" s="416">
        <v>0</v>
      </c>
      <c r="D72" s="416"/>
      <c r="E72" s="416"/>
      <c r="F72" s="416">
        <v>0</v>
      </c>
      <c r="G72" s="416"/>
      <c r="H72" s="416">
        <v>0</v>
      </c>
      <c r="I72" s="416">
        <v>0</v>
      </c>
      <c r="J72" s="417" t="s">
        <v>60</v>
      </c>
      <c r="K72" s="420" t="s">
        <v>60</v>
      </c>
      <c r="L72" s="416">
        <v>0</v>
      </c>
      <c r="M72" s="416">
        <v>0</v>
      </c>
      <c r="N72" s="416">
        <v>0</v>
      </c>
      <c r="O72" s="416">
        <v>0</v>
      </c>
      <c r="P72" s="416">
        <v>0</v>
      </c>
      <c r="Q72" s="416">
        <v>0</v>
      </c>
      <c r="R72" s="416">
        <v>0</v>
      </c>
      <c r="S72" s="416">
        <v>0</v>
      </c>
      <c r="T72" s="416"/>
      <c r="U72" s="416"/>
      <c r="V72" s="416">
        <f>_xlfn.IFNA(VLOOKUP(A72,[3]進出口值表查詢結果!$C$11:$F$68,4,0),-[4]整車!$B$22)</f>
        <v>0</v>
      </c>
      <c r="W72" s="416">
        <f>_xlfn.IFNA(VLOOKUP(A72,[3]進出口值表查詢結果!$C$11:$F$68,3,0),-[4]整車!$B$22)</f>
        <v>0</v>
      </c>
      <c r="X72" s="416">
        <f>_xlfn.IFNA(VLOOKUP(A72,[5]進出口值表查詢結果!$C$11:$F$68,4,0),-[4]整車!$B$22)</f>
        <v>0</v>
      </c>
      <c r="Y72" s="416">
        <f>_xlfn.IFNA(VLOOKUP(A72,[5]進出口值表查詢結果!$C$11:$F$68,3,0),-[4]整車!$B$22)</f>
        <v>0</v>
      </c>
      <c r="Z72" s="410">
        <f t="shared" si="12"/>
        <v>0</v>
      </c>
      <c r="AA72" s="410">
        <f t="shared" si="12"/>
        <v>0</v>
      </c>
    </row>
    <row r="73" spans="1:27">
      <c r="A73" s="453" t="s">
        <v>276</v>
      </c>
      <c r="B73" s="416">
        <v>0</v>
      </c>
      <c r="C73" s="416">
        <v>0</v>
      </c>
      <c r="D73" s="416"/>
      <c r="E73" s="416"/>
      <c r="F73" s="416">
        <v>0</v>
      </c>
      <c r="G73" s="416"/>
      <c r="H73" s="416">
        <v>0</v>
      </c>
      <c r="I73" s="416">
        <v>0</v>
      </c>
      <c r="J73" s="417" t="s">
        <v>60</v>
      </c>
      <c r="K73" s="420" t="s">
        <v>60</v>
      </c>
      <c r="L73" s="416">
        <v>0</v>
      </c>
      <c r="M73" s="416">
        <v>0</v>
      </c>
      <c r="N73" s="416">
        <v>0</v>
      </c>
      <c r="O73" s="416">
        <v>0</v>
      </c>
      <c r="P73" s="416">
        <v>0</v>
      </c>
      <c r="Q73" s="416">
        <v>0</v>
      </c>
      <c r="R73" s="416">
        <v>0</v>
      </c>
      <c r="S73" s="416">
        <v>0</v>
      </c>
      <c r="T73" s="416"/>
      <c r="U73" s="416"/>
      <c r="V73" s="416">
        <f>_xlfn.IFNA(VLOOKUP(A73,[3]進出口值表查詢結果!$C$11:$F$68,4,0),-[4]整車!$B$22)</f>
        <v>0</v>
      </c>
      <c r="W73" s="416">
        <f>_xlfn.IFNA(VLOOKUP(A73,[3]進出口值表查詢結果!$C$11:$F$68,3,0),-[4]整車!$B$22)</f>
        <v>0</v>
      </c>
      <c r="X73" s="416">
        <f>_xlfn.IFNA(VLOOKUP(A73,[5]進出口值表查詢結果!$C$11:$F$68,4,0),-[4]整車!$B$22)</f>
        <v>0</v>
      </c>
      <c r="Y73" s="416">
        <f>_xlfn.IFNA(VLOOKUP(A73,[5]進出口值表查詢結果!$C$11:$F$68,3,0),-[4]整車!$B$22)</f>
        <v>0</v>
      </c>
      <c r="Z73" s="410">
        <f t="shared" si="12"/>
        <v>0</v>
      </c>
      <c r="AA73" s="410">
        <f t="shared" si="12"/>
        <v>0</v>
      </c>
    </row>
    <row r="74" spans="1:27">
      <c r="A74" s="419"/>
      <c r="B74" s="416"/>
      <c r="C74" s="416"/>
      <c r="D74" s="416"/>
      <c r="E74" s="416"/>
      <c r="F74" s="416"/>
      <c r="G74" s="416"/>
      <c r="H74" s="416"/>
      <c r="I74" s="416"/>
      <c r="J74" s="417"/>
      <c r="K74" s="418"/>
      <c r="L74" s="416"/>
      <c r="M74" s="416"/>
      <c r="N74" s="416"/>
      <c r="O74" s="416"/>
      <c r="P74" s="416"/>
      <c r="Q74" s="416"/>
      <c r="R74" s="416"/>
      <c r="S74" s="416"/>
      <c r="T74" s="416"/>
      <c r="U74" s="416"/>
      <c r="V74" s="416"/>
      <c r="W74" s="416"/>
      <c r="X74" s="416"/>
      <c r="Y74" s="416"/>
      <c r="Z74" s="410"/>
      <c r="AA74" s="410"/>
    </row>
    <row r="75" spans="1:27">
      <c r="A75" s="432" t="s">
        <v>143</v>
      </c>
      <c r="B75" s="433">
        <f t="shared" ref="B75:Y75" si="13">SUM(B76:B83)</f>
        <v>1775</v>
      </c>
      <c r="C75" s="433">
        <f t="shared" si="13"/>
        <v>791303</v>
      </c>
      <c r="D75" s="433">
        <f t="shared" si="13"/>
        <v>1901</v>
      </c>
      <c r="E75" s="433">
        <f t="shared" si="13"/>
        <v>631147</v>
      </c>
      <c r="F75" s="433">
        <f t="shared" si="13"/>
        <v>1325</v>
      </c>
      <c r="G75" s="433">
        <f t="shared" si="13"/>
        <v>919450</v>
      </c>
      <c r="H75" s="433">
        <f t="shared" si="13"/>
        <v>631</v>
      </c>
      <c r="I75" s="433">
        <f>SUM(I76:I83)</f>
        <v>220966</v>
      </c>
      <c r="J75" s="434">
        <f t="shared" si="13"/>
        <v>474</v>
      </c>
      <c r="K75" s="435">
        <f>SUM(K76:K83)</f>
        <v>186768</v>
      </c>
      <c r="L75" s="433">
        <f t="shared" si="13"/>
        <v>1046</v>
      </c>
      <c r="M75" s="433">
        <f t="shared" si="13"/>
        <v>357239</v>
      </c>
      <c r="N75" s="433">
        <f t="shared" si="13"/>
        <v>1359</v>
      </c>
      <c r="O75" s="433">
        <f t="shared" si="13"/>
        <v>836881</v>
      </c>
      <c r="P75" s="433">
        <f t="shared" si="13"/>
        <v>164</v>
      </c>
      <c r="Q75" s="433">
        <f t="shared" si="13"/>
        <v>201186</v>
      </c>
      <c r="R75" s="433">
        <f t="shared" si="13"/>
        <v>785</v>
      </c>
      <c r="S75" s="433">
        <f t="shared" si="13"/>
        <v>324287</v>
      </c>
      <c r="T75" s="433">
        <f t="shared" si="13"/>
        <v>2780</v>
      </c>
      <c r="U75" s="433">
        <f t="shared" si="13"/>
        <v>855146</v>
      </c>
      <c r="V75" s="433">
        <f>SUM(V76:V83)</f>
        <v>1929</v>
      </c>
      <c r="W75" s="433">
        <f>SUM(W76:W83)</f>
        <v>885513</v>
      </c>
      <c r="X75" s="433">
        <f t="shared" si="13"/>
        <v>3092</v>
      </c>
      <c r="Y75" s="433">
        <f t="shared" si="13"/>
        <v>1404864</v>
      </c>
      <c r="Z75" s="427">
        <f t="shared" ref="Z75:Z83" si="14">SUM(B75,D75,F75,H75,J75,L75,N75,P75,R75,T75,V75,X75)</f>
        <v>17261</v>
      </c>
      <c r="AA75" s="427">
        <f t="shared" ref="AA75:AA83" si="15">SUM(C75,E75,G75,I75,K75,M75,O75,Q75,S75,U75,W75,Y75)</f>
        <v>7614750</v>
      </c>
    </row>
    <row r="76" spans="1:27">
      <c r="A76" s="453" t="s">
        <v>279</v>
      </c>
      <c r="B76" s="416">
        <v>1579</v>
      </c>
      <c r="C76" s="416">
        <v>669877</v>
      </c>
      <c r="D76" s="416">
        <v>1436</v>
      </c>
      <c r="E76" s="416">
        <v>495570</v>
      </c>
      <c r="F76" s="416">
        <v>931</v>
      </c>
      <c r="G76" s="416">
        <v>702788</v>
      </c>
      <c r="H76" s="416">
        <v>631</v>
      </c>
      <c r="I76" s="416">
        <v>220966</v>
      </c>
      <c r="J76" s="417">
        <v>324</v>
      </c>
      <c r="K76" s="431">
        <v>164549</v>
      </c>
      <c r="L76" s="416">
        <v>815</v>
      </c>
      <c r="M76" s="416">
        <v>323962</v>
      </c>
      <c r="N76" s="430">
        <v>822</v>
      </c>
      <c r="O76" s="430">
        <v>518255</v>
      </c>
      <c r="P76" s="416">
        <v>119</v>
      </c>
      <c r="Q76" s="416">
        <v>179634</v>
      </c>
      <c r="R76" s="416">
        <v>495</v>
      </c>
      <c r="S76" s="416">
        <v>221230</v>
      </c>
      <c r="T76" s="416">
        <v>2780</v>
      </c>
      <c r="U76" s="416">
        <v>855146</v>
      </c>
      <c r="V76" s="416">
        <f>_xlfn.IFNA(VLOOKUP(A76,[3]進出口值表查詢結果!$C$11:$F$68,4,0),-[4]整車!$B$22)</f>
        <v>1812</v>
      </c>
      <c r="W76" s="416">
        <f>_xlfn.IFNA(VLOOKUP(A76,[3]進出口值表查詢結果!$C$11:$F$68,3,0),-[4]整車!$B$22)</f>
        <v>779724</v>
      </c>
      <c r="X76" s="416">
        <f>_xlfn.IFNA(VLOOKUP(A76,[5]進出口值表查詢結果!$C$11:$F$68,4,0),-[4]整車!$B$22)</f>
        <v>2631</v>
      </c>
      <c r="Y76" s="416">
        <f>_xlfn.IFNA(VLOOKUP(A76,[5]進出口值表查詢結果!$C$11:$F$68,3,0),-[4]整車!$B$22)</f>
        <v>1193493</v>
      </c>
      <c r="Z76" s="410">
        <f t="shared" si="14"/>
        <v>14375</v>
      </c>
      <c r="AA76" s="410">
        <f t="shared" si="15"/>
        <v>6325194</v>
      </c>
    </row>
    <row r="77" spans="1:27">
      <c r="A77" s="453" t="s">
        <v>280</v>
      </c>
      <c r="B77" s="416">
        <v>0</v>
      </c>
      <c r="C77" s="416">
        <v>0</v>
      </c>
      <c r="D77" s="416"/>
      <c r="E77" s="416"/>
      <c r="F77" s="416">
        <v>0</v>
      </c>
      <c r="G77" s="416"/>
      <c r="H77" s="416">
        <v>0</v>
      </c>
      <c r="I77" s="416">
        <v>0</v>
      </c>
      <c r="J77" s="417" t="s">
        <v>60</v>
      </c>
      <c r="K77" s="420" t="s">
        <v>60</v>
      </c>
      <c r="L77" s="416">
        <v>0</v>
      </c>
      <c r="M77" s="416">
        <v>0</v>
      </c>
      <c r="N77" s="416">
        <v>0</v>
      </c>
      <c r="O77" s="416">
        <v>0</v>
      </c>
      <c r="P77" s="416">
        <v>0</v>
      </c>
      <c r="Q77" s="416">
        <v>0</v>
      </c>
      <c r="R77" s="416">
        <v>0</v>
      </c>
      <c r="S77" s="416">
        <v>0</v>
      </c>
      <c r="T77" s="416"/>
      <c r="U77" s="416"/>
      <c r="V77" s="416">
        <f>_xlfn.IFNA(VLOOKUP(A77,[3]進出口值表查詢結果!$C$11:$F$68,4,0),-[4]整車!$B$22)</f>
        <v>0</v>
      </c>
      <c r="W77" s="416">
        <f>_xlfn.IFNA(VLOOKUP(A77,[3]進出口值表查詢結果!$C$11:$F$68,3,0),-[4]整車!$B$22)</f>
        <v>0</v>
      </c>
      <c r="X77" s="416">
        <f>_xlfn.IFNA(VLOOKUP(A77,[5]進出口值表查詢結果!$C$11:$F$68,4,0),-[4]整車!$B$22)</f>
        <v>0</v>
      </c>
      <c r="Y77" s="416">
        <f>_xlfn.IFNA(VLOOKUP(A77,[5]進出口值表查詢結果!$C$11:$F$68,3,0),-[4]整車!$B$22)</f>
        <v>0</v>
      </c>
      <c r="Z77" s="410">
        <f t="shared" si="14"/>
        <v>0</v>
      </c>
      <c r="AA77" s="410">
        <f t="shared" si="15"/>
        <v>0</v>
      </c>
    </row>
    <row r="78" spans="1:27">
      <c r="A78" s="453" t="s">
        <v>281</v>
      </c>
      <c r="B78" s="416"/>
      <c r="C78" s="416"/>
      <c r="D78" s="416"/>
      <c r="E78" s="416"/>
      <c r="F78" s="416">
        <v>0</v>
      </c>
      <c r="G78" s="416"/>
      <c r="H78" s="416">
        <v>0</v>
      </c>
      <c r="I78" s="416">
        <v>0</v>
      </c>
      <c r="J78" s="417" t="s">
        <v>60</v>
      </c>
      <c r="K78" s="420" t="s">
        <v>60</v>
      </c>
      <c r="L78" s="416">
        <v>0</v>
      </c>
      <c r="M78" s="416">
        <v>0</v>
      </c>
      <c r="N78" s="416">
        <v>0</v>
      </c>
      <c r="O78" s="416">
        <v>0</v>
      </c>
      <c r="P78" s="416">
        <v>0</v>
      </c>
      <c r="Q78" s="416">
        <v>0</v>
      </c>
      <c r="R78" s="416">
        <v>0</v>
      </c>
      <c r="S78" s="416">
        <v>0</v>
      </c>
      <c r="T78" s="416"/>
      <c r="U78" s="416"/>
      <c r="V78" s="416">
        <f>_xlfn.IFNA(VLOOKUP(A78,[3]進出口值表查詢結果!$C$11:$F$68,4,0),-[4]整車!$B$22)</f>
        <v>0</v>
      </c>
      <c r="W78" s="416">
        <f>_xlfn.IFNA(VLOOKUP(A78,[3]進出口值表查詢結果!$C$11:$F$68,3,0),-[4]整車!$B$22)</f>
        <v>0</v>
      </c>
      <c r="X78" s="416">
        <f>_xlfn.IFNA(VLOOKUP(A78,[5]進出口值表查詢結果!$C$11:$F$68,4,0),-[4]整車!$B$22)</f>
        <v>0</v>
      </c>
      <c r="Y78" s="416">
        <f>_xlfn.IFNA(VLOOKUP(A78,[5]進出口值表查詢結果!$C$11:$F$68,3,0),-[4]整車!$B$22)</f>
        <v>0</v>
      </c>
      <c r="Z78" s="410">
        <f t="shared" si="14"/>
        <v>0</v>
      </c>
      <c r="AA78" s="410">
        <f t="shared" si="15"/>
        <v>0</v>
      </c>
    </row>
    <row r="79" spans="1:27">
      <c r="A79" s="453" t="s">
        <v>282</v>
      </c>
      <c r="B79" s="416"/>
      <c r="C79" s="416"/>
      <c r="D79" s="416"/>
      <c r="E79" s="416"/>
      <c r="F79" s="416">
        <v>0</v>
      </c>
      <c r="G79" s="416"/>
      <c r="H79" s="416">
        <v>0</v>
      </c>
      <c r="I79" s="416">
        <v>0</v>
      </c>
      <c r="J79" s="417" t="s">
        <v>60</v>
      </c>
      <c r="K79" s="420" t="s">
        <v>60</v>
      </c>
      <c r="L79" s="416">
        <v>0</v>
      </c>
      <c r="M79" s="416">
        <v>0</v>
      </c>
      <c r="N79" s="416">
        <v>0</v>
      </c>
      <c r="O79" s="416">
        <v>0</v>
      </c>
      <c r="P79" s="416">
        <v>0</v>
      </c>
      <c r="Q79" s="416">
        <v>0</v>
      </c>
      <c r="R79" s="416">
        <v>0</v>
      </c>
      <c r="S79" s="416">
        <v>0</v>
      </c>
      <c r="T79" s="416"/>
      <c r="U79" s="416"/>
      <c r="V79" s="416">
        <f>_xlfn.IFNA(VLOOKUP(A79,[3]進出口值表查詢結果!$C$11:$F$68,4,0),-[4]整車!$B$22)</f>
        <v>0</v>
      </c>
      <c r="W79" s="416">
        <f>_xlfn.IFNA(VLOOKUP(A79,[3]進出口值表查詢結果!$C$11:$F$68,3,0),-[4]整車!$B$22)</f>
        <v>0</v>
      </c>
      <c r="X79" s="416">
        <f>_xlfn.IFNA(VLOOKUP(A79,[5]進出口值表查詢結果!$C$11:$F$68,4,0),-[4]整車!$B$22)</f>
        <v>0</v>
      </c>
      <c r="Y79" s="416">
        <f>_xlfn.IFNA(VLOOKUP(A79,[5]進出口值表查詢結果!$C$11:$F$68,3,0),-[4]整車!$B$22)</f>
        <v>0</v>
      </c>
      <c r="Z79" s="410">
        <f t="shared" si="14"/>
        <v>0</v>
      </c>
      <c r="AA79" s="410">
        <f t="shared" si="15"/>
        <v>0</v>
      </c>
    </row>
    <row r="80" spans="1:27">
      <c r="A80" s="453" t="s">
        <v>284</v>
      </c>
      <c r="B80" s="416">
        <v>196</v>
      </c>
      <c r="C80" s="416">
        <v>121426</v>
      </c>
      <c r="D80" s="416">
        <v>465</v>
      </c>
      <c r="E80" s="416">
        <v>135577</v>
      </c>
      <c r="F80" s="416">
        <v>339</v>
      </c>
      <c r="G80" s="416">
        <v>203320</v>
      </c>
      <c r="H80" s="416">
        <v>0</v>
      </c>
      <c r="I80" s="416">
        <v>0</v>
      </c>
      <c r="J80" s="417">
        <v>150</v>
      </c>
      <c r="K80" s="431">
        <v>22219</v>
      </c>
      <c r="L80" s="416">
        <v>231</v>
      </c>
      <c r="M80" s="416">
        <v>33277</v>
      </c>
      <c r="N80" s="430">
        <v>537</v>
      </c>
      <c r="O80" s="430">
        <v>318626</v>
      </c>
      <c r="P80" s="416">
        <v>0</v>
      </c>
      <c r="Q80" s="416">
        <v>0</v>
      </c>
      <c r="R80" s="416">
        <v>290</v>
      </c>
      <c r="S80" s="416">
        <v>103057</v>
      </c>
      <c r="T80" s="416"/>
      <c r="U80" s="416"/>
      <c r="V80" s="416">
        <f>_xlfn.IFNA(VLOOKUP(A80,[3]進出口值表查詢結果!$C$11:$F$68,4,0),-[4]整車!$B$22)</f>
        <v>117</v>
      </c>
      <c r="W80" s="416">
        <f>_xlfn.IFNA(VLOOKUP(A80,[3]進出口值表查詢結果!$C$11:$F$68,3,0),-[4]整車!$B$22)</f>
        <v>105789</v>
      </c>
      <c r="X80" s="416">
        <f>_xlfn.IFNA(VLOOKUP(A80,[5]進出口值表查詢結果!$C$11:$F$68,4,0),-[4]整車!$B$22)</f>
        <v>461</v>
      </c>
      <c r="Y80" s="416">
        <f>_xlfn.IFNA(VLOOKUP(A80,[5]進出口值表查詢結果!$C$11:$F$68,3,0),-[4]整車!$B$22)</f>
        <v>211371</v>
      </c>
      <c r="Z80" s="410">
        <f t="shared" si="14"/>
        <v>2786</v>
      </c>
      <c r="AA80" s="410">
        <f t="shared" si="15"/>
        <v>1254662</v>
      </c>
    </row>
    <row r="81" spans="1:27">
      <c r="A81" s="453" t="s">
        <v>286</v>
      </c>
      <c r="B81" s="416"/>
      <c r="C81" s="416"/>
      <c r="D81" s="416"/>
      <c r="E81" s="416"/>
      <c r="F81" s="416">
        <v>55</v>
      </c>
      <c r="G81" s="416">
        <v>13342</v>
      </c>
      <c r="H81" s="416">
        <v>0</v>
      </c>
      <c r="I81" s="416">
        <v>0</v>
      </c>
      <c r="J81" s="417" t="s">
        <v>60</v>
      </c>
      <c r="K81" s="420" t="s">
        <v>60</v>
      </c>
      <c r="L81" s="416">
        <v>0</v>
      </c>
      <c r="M81" s="416">
        <v>0</v>
      </c>
      <c r="N81" s="416">
        <v>0</v>
      </c>
      <c r="O81" s="416">
        <v>0</v>
      </c>
      <c r="P81" s="416">
        <v>45</v>
      </c>
      <c r="Q81" s="416">
        <v>21552</v>
      </c>
      <c r="R81" s="416">
        <v>0</v>
      </c>
      <c r="S81" s="416">
        <v>0</v>
      </c>
      <c r="T81" s="416"/>
      <c r="U81" s="416"/>
      <c r="V81" s="416">
        <f>_xlfn.IFNA(VLOOKUP(A81,[3]進出口值表查詢結果!$C$11:$F$68,4,0),-[4]整車!$B$22)</f>
        <v>0</v>
      </c>
      <c r="W81" s="416">
        <f>_xlfn.IFNA(VLOOKUP(A81,[3]進出口值表查詢結果!$C$11:$F$68,3,0),-[4]整車!$B$22)</f>
        <v>0</v>
      </c>
      <c r="X81" s="416">
        <f>_xlfn.IFNA(VLOOKUP(A81,[5]進出口值表查詢結果!$C$11:$F$68,4,0),-[4]整車!$B$22)</f>
        <v>0</v>
      </c>
      <c r="Y81" s="416">
        <f>_xlfn.IFNA(VLOOKUP(A81,[5]進出口值表查詢結果!$C$11:$F$68,3,0),-[4]整車!$B$22)</f>
        <v>0</v>
      </c>
      <c r="Z81" s="410">
        <f t="shared" si="14"/>
        <v>100</v>
      </c>
      <c r="AA81" s="410">
        <f t="shared" si="15"/>
        <v>34894</v>
      </c>
    </row>
    <row r="82" spans="1:27">
      <c r="A82" s="421" t="s">
        <v>285</v>
      </c>
      <c r="B82" s="416"/>
      <c r="C82" s="416"/>
      <c r="D82" s="416"/>
      <c r="E82" s="416"/>
      <c r="F82" s="416">
        <v>0</v>
      </c>
      <c r="G82" s="416"/>
      <c r="H82" s="416">
        <v>0</v>
      </c>
      <c r="I82" s="416">
        <v>0</v>
      </c>
      <c r="J82" s="417" t="s">
        <v>60</v>
      </c>
      <c r="K82" s="420" t="s">
        <v>60</v>
      </c>
      <c r="L82" s="416">
        <v>0</v>
      </c>
      <c r="M82" s="416">
        <v>0</v>
      </c>
      <c r="N82" s="416">
        <v>0</v>
      </c>
      <c r="O82" s="416">
        <v>0</v>
      </c>
      <c r="P82" s="416">
        <v>0</v>
      </c>
      <c r="Q82" s="416">
        <v>0</v>
      </c>
      <c r="R82" s="416">
        <v>0</v>
      </c>
      <c r="S82" s="416">
        <v>0</v>
      </c>
      <c r="T82" s="416"/>
      <c r="U82" s="416"/>
      <c r="V82" s="416">
        <f>_xlfn.IFNA(VLOOKUP(A82,[3]進出口值表查詢結果!$C$11:$F$68,4,0),-[4]整車!$B$22)</f>
        <v>0</v>
      </c>
      <c r="W82" s="416">
        <f>_xlfn.IFNA(VLOOKUP(A82,[3]進出口值表查詢結果!$C$11:$F$68,3,0),-[4]整車!$B$22)</f>
        <v>0</v>
      </c>
      <c r="X82" s="416">
        <f>_xlfn.IFNA(VLOOKUP(A82,[5]進出口值表查詢結果!$C$11:$F$68,4,0),-[4]整車!$B$22)</f>
        <v>0</v>
      </c>
      <c r="Y82" s="416">
        <f>_xlfn.IFNA(VLOOKUP(A82,[5]進出口值表查詢結果!$C$11:$F$68,3,0),-[4]整車!$B$22)</f>
        <v>0</v>
      </c>
      <c r="Z82" s="410">
        <f t="shared" si="14"/>
        <v>0</v>
      </c>
      <c r="AA82" s="410">
        <f t="shared" si="15"/>
        <v>0</v>
      </c>
    </row>
    <row r="83" spans="1:27">
      <c r="A83" s="421" t="s">
        <v>287</v>
      </c>
      <c r="B83" s="416"/>
      <c r="C83" s="416"/>
      <c r="D83" s="416"/>
      <c r="E83" s="416"/>
      <c r="F83" s="416">
        <v>0</v>
      </c>
      <c r="G83" s="416"/>
      <c r="H83" s="416">
        <v>0</v>
      </c>
      <c r="I83" s="416">
        <v>0</v>
      </c>
      <c r="J83" s="417" t="s">
        <v>60</v>
      </c>
      <c r="K83" s="420">
        <v>0</v>
      </c>
      <c r="L83" s="416">
        <v>0</v>
      </c>
      <c r="M83" s="416">
        <v>0</v>
      </c>
      <c r="N83" s="416">
        <v>0</v>
      </c>
      <c r="O83" s="416">
        <v>0</v>
      </c>
      <c r="P83" s="416">
        <v>0</v>
      </c>
      <c r="Q83" s="416">
        <v>0</v>
      </c>
      <c r="R83" s="416">
        <v>0</v>
      </c>
      <c r="S83" s="416">
        <v>0</v>
      </c>
      <c r="T83" s="416">
        <v>0</v>
      </c>
      <c r="U83" s="416">
        <v>0</v>
      </c>
      <c r="V83" s="416">
        <f>_xlfn.IFNA(VLOOKUP(A83,[3]進出口值表查詢結果!$C$11:$F$68,4,0),-[4]整車!$B$22)</f>
        <v>0</v>
      </c>
      <c r="W83" s="416">
        <f>_xlfn.IFNA(VLOOKUP(A83,[3]進出口值表查詢結果!$C$11:$F$68,3,0),-[4]整車!$B$22)</f>
        <v>0</v>
      </c>
      <c r="X83" s="416">
        <f>_xlfn.IFNA(VLOOKUP(A83,[5]進出口值表查詢結果!$C$11:$F$68,4,0),-[4]整車!$B$22)</f>
        <v>0</v>
      </c>
      <c r="Y83" s="416">
        <f>_xlfn.IFNA(VLOOKUP(A83,[5]進出口值表查詢結果!$C$11:$F$68,3,0),-[4]整車!$B$22)</f>
        <v>0</v>
      </c>
      <c r="Z83" s="410">
        <f t="shared" si="14"/>
        <v>0</v>
      </c>
      <c r="AA83" s="410">
        <f t="shared" si="15"/>
        <v>0</v>
      </c>
    </row>
    <row r="84" spans="1:27">
      <c r="A84" s="419"/>
      <c r="B84" s="416"/>
      <c r="C84" s="416"/>
      <c r="D84" s="416"/>
      <c r="E84" s="416"/>
      <c r="F84" s="416"/>
      <c r="G84" s="416"/>
      <c r="H84" s="416"/>
      <c r="I84" s="416"/>
      <c r="J84" s="417"/>
      <c r="K84" s="418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6"/>
      <c r="X84" s="416"/>
      <c r="Y84" s="416"/>
      <c r="Z84" s="410"/>
      <c r="AA84" s="410"/>
    </row>
    <row r="85" spans="1:27">
      <c r="A85" s="436" t="s">
        <v>47</v>
      </c>
      <c r="B85" s="437">
        <f t="shared" ref="B85:Y85" si="16">SUM(B86:B95)</f>
        <v>4580</v>
      </c>
      <c r="C85" s="437">
        <f t="shared" si="16"/>
        <v>4189345</v>
      </c>
      <c r="D85" s="437">
        <f t="shared" si="16"/>
        <v>4981</v>
      </c>
      <c r="E85" s="437">
        <f t="shared" si="16"/>
        <v>3563822</v>
      </c>
      <c r="F85" s="437">
        <f t="shared" si="16"/>
        <v>4938</v>
      </c>
      <c r="G85" s="437">
        <f t="shared" si="16"/>
        <v>4345204</v>
      </c>
      <c r="H85" s="437">
        <f t="shared" si="16"/>
        <v>4040</v>
      </c>
      <c r="I85" s="437">
        <f t="shared" si="16"/>
        <v>2474863</v>
      </c>
      <c r="J85" s="438">
        <f t="shared" si="16"/>
        <v>3564</v>
      </c>
      <c r="K85" s="439">
        <f>SUM(K86:K95)</f>
        <v>3664756</v>
      </c>
      <c r="L85" s="437">
        <f t="shared" si="16"/>
        <v>6992</v>
      </c>
      <c r="M85" s="437">
        <f t="shared" si="16"/>
        <v>7057607</v>
      </c>
      <c r="N85" s="437">
        <f t="shared" si="16"/>
        <v>9419</v>
      </c>
      <c r="O85" s="437">
        <f t="shared" si="16"/>
        <v>9080258</v>
      </c>
      <c r="P85" s="437">
        <f t="shared" si="16"/>
        <v>18596</v>
      </c>
      <c r="Q85" s="437">
        <f t="shared" si="16"/>
        <v>13272347</v>
      </c>
      <c r="R85" s="437">
        <f t="shared" si="16"/>
        <v>16559</v>
      </c>
      <c r="S85" s="437">
        <f t="shared" si="16"/>
        <v>10409447</v>
      </c>
      <c r="T85" s="437">
        <f t="shared" si="16"/>
        <v>9960</v>
      </c>
      <c r="U85" s="437">
        <f t="shared" si="16"/>
        <v>6716352</v>
      </c>
      <c r="V85" s="437">
        <f>SUM(V86:V95)</f>
        <v>10701</v>
      </c>
      <c r="W85" s="437">
        <f>SUM(W86:W95)</f>
        <v>9725369</v>
      </c>
      <c r="X85" s="437">
        <f t="shared" si="16"/>
        <v>14699</v>
      </c>
      <c r="Y85" s="437">
        <f t="shared" si="16"/>
        <v>10190062</v>
      </c>
      <c r="Z85" s="423">
        <f t="shared" ref="Z85:Z95" si="17">SUM(B85,D85,F85,H85,J85,L85,N85,P85,R85,T85,V85,X85)</f>
        <v>109029</v>
      </c>
      <c r="AA85" s="423">
        <f t="shared" ref="AA85:AA95" si="18">SUM(C85,E85,G85,I85,K85,M85,O85,Q85,S85,U85,W85,Y85)</f>
        <v>84689432</v>
      </c>
    </row>
    <row r="86" spans="1:27">
      <c r="A86" s="453" t="s">
        <v>175</v>
      </c>
      <c r="B86" s="416">
        <v>4150</v>
      </c>
      <c r="C86" s="416">
        <v>3694908</v>
      </c>
      <c r="D86" s="416">
        <v>4032</v>
      </c>
      <c r="E86" s="416">
        <v>2636975</v>
      </c>
      <c r="F86" s="416">
        <v>4087</v>
      </c>
      <c r="G86" s="416">
        <v>3599502</v>
      </c>
      <c r="H86" s="416">
        <v>3562</v>
      </c>
      <c r="I86" s="416">
        <v>1835676</v>
      </c>
      <c r="J86" s="417">
        <v>2839</v>
      </c>
      <c r="K86" s="418">
        <v>2636423</v>
      </c>
      <c r="L86" s="416">
        <v>5737</v>
      </c>
      <c r="M86" s="416">
        <v>5468499</v>
      </c>
      <c r="N86" s="430">
        <v>7440</v>
      </c>
      <c r="O86" s="430">
        <v>6804533</v>
      </c>
      <c r="P86" s="416">
        <v>15662</v>
      </c>
      <c r="Q86" s="416">
        <v>10198676</v>
      </c>
      <c r="R86" s="416">
        <v>14530</v>
      </c>
      <c r="S86" s="416">
        <v>8126261</v>
      </c>
      <c r="T86" s="416">
        <v>8369</v>
      </c>
      <c r="U86" s="416">
        <v>5188023</v>
      </c>
      <c r="V86" s="416">
        <f>_xlfn.IFNA(VLOOKUP(A86,[3]進出口值表查詢結果!$C$11:$F$68,4,0),-[4]整車!$B$22)</f>
        <v>8737</v>
      </c>
      <c r="W86" s="416">
        <f>_xlfn.IFNA(VLOOKUP(A86,[3]進出口值表查詢結果!$C$11:$F$68,3,0),-[4]整車!$B$22)</f>
        <v>7518300</v>
      </c>
      <c r="X86" s="416">
        <f>_xlfn.IFNA(VLOOKUP(A86,[5]進出口值表查詢結果!$C$11:$F$68,4,0),-[4]整車!$B$22)</f>
        <v>12512</v>
      </c>
      <c r="Y86" s="416">
        <f>_xlfn.IFNA(VLOOKUP(A86,[5]進出口值表查詢結果!$C$11:$F$68,3,0),-[4]整車!$B$22)</f>
        <v>8168473</v>
      </c>
      <c r="Z86" s="410">
        <f t="shared" si="17"/>
        <v>91657</v>
      </c>
      <c r="AA86" s="410">
        <f t="shared" si="18"/>
        <v>65876249</v>
      </c>
    </row>
    <row r="87" spans="1:27">
      <c r="A87" s="453" t="s">
        <v>288</v>
      </c>
      <c r="B87" s="416"/>
      <c r="C87" s="416"/>
      <c r="D87" s="416"/>
      <c r="E87" s="416"/>
      <c r="F87" s="416">
        <v>0</v>
      </c>
      <c r="G87" s="416"/>
      <c r="H87" s="416">
        <v>0</v>
      </c>
      <c r="I87" s="416">
        <v>0</v>
      </c>
      <c r="J87" s="417">
        <v>0</v>
      </c>
      <c r="K87" s="420">
        <v>0</v>
      </c>
      <c r="L87" s="416">
        <v>0</v>
      </c>
      <c r="M87" s="416">
        <v>0</v>
      </c>
      <c r="N87" s="416">
        <v>0</v>
      </c>
      <c r="O87" s="416">
        <v>0</v>
      </c>
      <c r="P87" s="416">
        <v>0</v>
      </c>
      <c r="Q87" s="416">
        <v>0</v>
      </c>
      <c r="R87" s="416">
        <v>0</v>
      </c>
      <c r="S87" s="416">
        <v>0</v>
      </c>
      <c r="T87" s="416"/>
      <c r="U87" s="416"/>
      <c r="V87" s="416">
        <f>_xlfn.IFNA(VLOOKUP(A87,[3]進出口值表查詢結果!$C$11:$F$68,4,0),-[4]整車!$B$22)</f>
        <v>0</v>
      </c>
      <c r="W87" s="416">
        <f>_xlfn.IFNA(VLOOKUP(A87,[3]進出口值表查詢結果!$C$11:$F$68,3,0),-[4]整車!$B$22)</f>
        <v>0</v>
      </c>
      <c r="X87" s="416">
        <f>_xlfn.IFNA(VLOOKUP(A87,[5]進出口值表查詢結果!$C$11:$F$68,4,0),-[4]整車!$B$22)</f>
        <v>0</v>
      </c>
      <c r="Y87" s="416">
        <f>_xlfn.IFNA(VLOOKUP(A87,[5]進出口值表查詢結果!$C$11:$F$68,3,0),-[4]整車!$B$22)</f>
        <v>0</v>
      </c>
      <c r="Z87" s="410">
        <f t="shared" si="17"/>
        <v>0</v>
      </c>
      <c r="AA87" s="410">
        <f t="shared" si="18"/>
        <v>0</v>
      </c>
    </row>
    <row r="88" spans="1:27">
      <c r="A88" s="453" t="s">
        <v>174</v>
      </c>
      <c r="B88" s="416">
        <v>399</v>
      </c>
      <c r="C88" s="416">
        <v>445420</v>
      </c>
      <c r="D88" s="416">
        <v>924</v>
      </c>
      <c r="E88" s="416">
        <v>877548</v>
      </c>
      <c r="F88" s="416">
        <v>851</v>
      </c>
      <c r="G88" s="416">
        <v>745702</v>
      </c>
      <c r="H88" s="416">
        <v>478</v>
      </c>
      <c r="I88" s="416">
        <v>639187</v>
      </c>
      <c r="J88" s="417">
        <v>694</v>
      </c>
      <c r="K88" s="418">
        <v>961243</v>
      </c>
      <c r="L88" s="416">
        <v>1089</v>
      </c>
      <c r="M88" s="416">
        <v>1332104</v>
      </c>
      <c r="N88" s="430">
        <v>1942</v>
      </c>
      <c r="O88" s="430">
        <v>2269776</v>
      </c>
      <c r="P88" s="416">
        <v>2862</v>
      </c>
      <c r="Q88" s="416">
        <v>2963505</v>
      </c>
      <c r="R88" s="416">
        <v>2009</v>
      </c>
      <c r="S88" s="416">
        <v>2248234</v>
      </c>
      <c r="T88" s="416">
        <v>1565</v>
      </c>
      <c r="U88" s="416">
        <v>1482993</v>
      </c>
      <c r="V88" s="416">
        <f>_xlfn.IFNA(VLOOKUP(A88,[3]進出口值表查詢結果!$C$11:$F$68,4,0),-[4]整車!$B$22)</f>
        <v>1783</v>
      </c>
      <c r="W88" s="416">
        <f>_xlfn.IFNA(VLOOKUP(A88,[3]進出口值表查詢結果!$C$11:$F$68,3,0),-[4]整車!$B$22)</f>
        <v>1858681</v>
      </c>
      <c r="X88" s="416">
        <f>_xlfn.IFNA(VLOOKUP(A88,[5]進出口值表查詢結果!$C$11:$F$68,4,0),-[4]整車!$B$22)</f>
        <v>2182</v>
      </c>
      <c r="Y88" s="416">
        <f>_xlfn.IFNA(VLOOKUP(A88,[5]進出口值表查詢結果!$C$11:$F$68,3,0),-[4]整車!$B$22)</f>
        <v>2014871</v>
      </c>
      <c r="Z88" s="410">
        <f t="shared" si="17"/>
        <v>16778</v>
      </c>
      <c r="AA88" s="410">
        <f t="shared" si="18"/>
        <v>17839264</v>
      </c>
    </row>
    <row r="89" spans="1:27">
      <c r="A89" s="453" t="s">
        <v>291</v>
      </c>
      <c r="B89" s="416"/>
      <c r="C89" s="416"/>
      <c r="D89" s="416"/>
      <c r="E89" s="416"/>
      <c r="F89" s="416">
        <v>0</v>
      </c>
      <c r="G89" s="416"/>
      <c r="H89" s="416">
        <v>0</v>
      </c>
      <c r="I89" s="416">
        <v>0</v>
      </c>
      <c r="J89" s="417" t="s">
        <v>60</v>
      </c>
      <c r="K89" s="420">
        <v>0</v>
      </c>
      <c r="L89" s="416">
        <v>0</v>
      </c>
      <c r="M89" s="416">
        <v>0</v>
      </c>
      <c r="N89" s="416">
        <v>0</v>
      </c>
      <c r="O89" s="416">
        <v>0</v>
      </c>
      <c r="P89" s="416">
        <v>0</v>
      </c>
      <c r="Q89" s="416">
        <v>0</v>
      </c>
      <c r="R89" s="416">
        <v>0</v>
      </c>
      <c r="S89" s="416">
        <v>0</v>
      </c>
      <c r="T89" s="416"/>
      <c r="U89" s="416"/>
      <c r="V89" s="416">
        <f>_xlfn.IFNA(VLOOKUP(A89,[3]進出口值表查詢結果!$C$11:$F$68,4,0),-[4]整車!$B$22)</f>
        <v>0</v>
      </c>
      <c r="W89" s="416">
        <f>_xlfn.IFNA(VLOOKUP(A89,[3]進出口值表查詢結果!$C$11:$F$68,3,0),-[4]整車!$B$22)</f>
        <v>0</v>
      </c>
      <c r="X89" s="416">
        <f>_xlfn.IFNA(VLOOKUP(A89,[5]進出口值表查詢結果!$C$11:$F$68,4,0),-[4]整車!$B$22)</f>
        <v>0</v>
      </c>
      <c r="Y89" s="416">
        <f>_xlfn.IFNA(VLOOKUP(A89,[5]進出口值表查詢結果!$C$11:$F$68,3,0),-[4]整車!$B$22)</f>
        <v>0</v>
      </c>
      <c r="Z89" s="410">
        <f t="shared" si="17"/>
        <v>0</v>
      </c>
      <c r="AA89" s="410">
        <f t="shared" si="18"/>
        <v>0</v>
      </c>
    </row>
    <row r="90" spans="1:27">
      <c r="A90" s="453" t="s">
        <v>290</v>
      </c>
      <c r="B90" s="416">
        <v>5</v>
      </c>
      <c r="C90" s="416">
        <v>13029</v>
      </c>
      <c r="D90" s="416">
        <v>25</v>
      </c>
      <c r="E90" s="416">
        <v>49299</v>
      </c>
      <c r="F90" s="416">
        <v>0</v>
      </c>
      <c r="G90" s="416"/>
      <c r="H90" s="416">
        <v>0</v>
      </c>
      <c r="I90" s="416">
        <v>0</v>
      </c>
      <c r="J90" s="417">
        <v>31</v>
      </c>
      <c r="K90" s="418">
        <v>67090</v>
      </c>
      <c r="L90" s="416">
        <v>166</v>
      </c>
      <c r="M90" s="416">
        <v>257004</v>
      </c>
      <c r="N90" s="430">
        <v>2</v>
      </c>
      <c r="O90" s="416">
        <v>2535</v>
      </c>
      <c r="P90" s="416">
        <v>72</v>
      </c>
      <c r="Q90" s="416">
        <v>110166</v>
      </c>
      <c r="R90" s="416">
        <v>20</v>
      </c>
      <c r="S90" s="416">
        <v>34952</v>
      </c>
      <c r="T90" s="416">
        <v>26</v>
      </c>
      <c r="U90" s="416">
        <v>45336</v>
      </c>
      <c r="V90" s="416">
        <f>_xlfn.IFNA(VLOOKUP(A90,[3]進出口值表查詢結果!$C$11:$F$68,4,0),-[4]整車!$B$22)</f>
        <v>156</v>
      </c>
      <c r="W90" s="416">
        <f>_xlfn.IFNA(VLOOKUP(A90,[3]進出口值表查詢結果!$C$11:$F$68,3,0),-[4]整車!$B$22)</f>
        <v>316499</v>
      </c>
      <c r="X90" s="416">
        <f>_xlfn.IFNA(VLOOKUP(A90,[5]進出口值表查詢結果!$C$11:$F$68,4,0),-[4]整車!$B$22)</f>
        <v>5</v>
      </c>
      <c r="Y90" s="416">
        <f>_xlfn.IFNA(VLOOKUP(A90,[5]進出口值表查詢結果!$C$11:$F$68,3,0),-[4]整車!$B$22)</f>
        <v>6718</v>
      </c>
      <c r="Z90" s="410">
        <f t="shared" si="17"/>
        <v>508</v>
      </c>
      <c r="AA90" s="410">
        <f t="shared" si="18"/>
        <v>902628</v>
      </c>
    </row>
    <row r="91" spans="1:27">
      <c r="A91" s="453" t="s">
        <v>292</v>
      </c>
      <c r="B91" s="416"/>
      <c r="C91" s="416"/>
      <c r="D91" s="416"/>
      <c r="E91" s="416"/>
      <c r="F91" s="416">
        <v>0</v>
      </c>
      <c r="G91" s="416"/>
      <c r="H91" s="416">
        <v>0</v>
      </c>
      <c r="I91" s="416">
        <v>0</v>
      </c>
      <c r="J91" s="417" t="s">
        <v>60</v>
      </c>
      <c r="K91" s="420">
        <v>0</v>
      </c>
      <c r="L91" s="416">
        <v>0</v>
      </c>
      <c r="M91" s="416">
        <v>0</v>
      </c>
      <c r="N91" s="416">
        <v>0</v>
      </c>
      <c r="O91" s="416">
        <v>0</v>
      </c>
      <c r="P91" s="416">
        <v>0</v>
      </c>
      <c r="Q91" s="416">
        <v>0</v>
      </c>
      <c r="R91" s="416">
        <v>0</v>
      </c>
      <c r="S91" s="416">
        <v>0</v>
      </c>
      <c r="T91" s="416"/>
      <c r="U91" s="416"/>
      <c r="V91" s="416">
        <f>_xlfn.IFNA(VLOOKUP(A91,[3]進出口值表查詢結果!$C$11:$F$68,4,0),-[4]整車!$B$22)</f>
        <v>0</v>
      </c>
      <c r="W91" s="416">
        <f>_xlfn.IFNA(VLOOKUP(A91,[3]進出口值表查詢結果!$C$11:$F$68,3,0),-[4]整車!$B$22)</f>
        <v>0</v>
      </c>
      <c r="X91" s="416">
        <f>_xlfn.IFNA(VLOOKUP(A91,[5]進出口值表查詢結果!$C$11:$F$68,4,0),-[4]整車!$B$22)</f>
        <v>0</v>
      </c>
      <c r="Y91" s="416">
        <f>_xlfn.IFNA(VLOOKUP(A91,[5]進出口值表查詢結果!$C$11:$F$68,3,0),-[4]整車!$B$22)</f>
        <v>0</v>
      </c>
      <c r="Z91" s="410">
        <f t="shared" si="17"/>
        <v>0</v>
      </c>
      <c r="AA91" s="410">
        <f t="shared" si="18"/>
        <v>0</v>
      </c>
    </row>
    <row r="92" spans="1:27">
      <c r="A92" s="453" t="s">
        <v>394</v>
      </c>
      <c r="B92" s="416">
        <v>26</v>
      </c>
      <c r="C92" s="416">
        <v>35988</v>
      </c>
      <c r="D92" s="416"/>
      <c r="E92" s="416"/>
      <c r="F92" s="416">
        <v>0</v>
      </c>
      <c r="G92" s="416"/>
      <c r="H92" s="416">
        <v>0</v>
      </c>
      <c r="I92" s="416">
        <v>0</v>
      </c>
      <c r="J92" s="417" t="s">
        <v>60</v>
      </c>
      <c r="K92" s="420">
        <v>0</v>
      </c>
      <c r="L92" s="416">
        <v>0</v>
      </c>
      <c r="M92" s="416">
        <v>0</v>
      </c>
      <c r="N92" s="416">
        <v>0</v>
      </c>
      <c r="O92" s="416">
        <v>0</v>
      </c>
      <c r="P92" s="416">
        <v>0</v>
      </c>
      <c r="Q92" s="416">
        <v>0</v>
      </c>
      <c r="R92" s="416">
        <v>0</v>
      </c>
      <c r="S92" s="416">
        <v>0</v>
      </c>
      <c r="T92" s="416"/>
      <c r="U92" s="416"/>
      <c r="V92" s="416">
        <f>_xlfn.IFNA(VLOOKUP(A92,[3]進出口值表查詢結果!$C$11:$F$68,4,0),-[4]整車!$B$22)</f>
        <v>25</v>
      </c>
      <c r="W92" s="416">
        <f>_xlfn.IFNA(VLOOKUP(A92,[3]進出口值表查詢結果!$C$11:$F$68,3,0),-[4]整車!$B$22)</f>
        <v>31889</v>
      </c>
      <c r="X92" s="416">
        <f>_xlfn.IFNA(VLOOKUP(A92,[5]進出口值表查詢結果!$C$11:$F$68,4,0),-[4]整車!$B$22)</f>
        <v>0</v>
      </c>
      <c r="Y92" s="416">
        <f>_xlfn.IFNA(VLOOKUP(A92,[5]進出口值表查詢結果!$C$11:$F$68,3,0),-[4]整車!$B$22)</f>
        <v>0</v>
      </c>
      <c r="Z92" s="410">
        <f t="shared" si="17"/>
        <v>51</v>
      </c>
      <c r="AA92" s="410">
        <f t="shared" si="18"/>
        <v>67877</v>
      </c>
    </row>
    <row r="93" spans="1:27">
      <c r="A93" s="453" t="s">
        <v>294</v>
      </c>
      <c r="B93" s="416"/>
      <c r="C93" s="416"/>
      <c r="D93" s="416"/>
      <c r="E93" s="416"/>
      <c r="F93" s="416">
        <v>0</v>
      </c>
      <c r="G93" s="416"/>
      <c r="H93" s="416">
        <v>0</v>
      </c>
      <c r="I93" s="416">
        <v>0</v>
      </c>
      <c r="J93" s="417" t="s">
        <v>60</v>
      </c>
      <c r="K93" s="420">
        <v>0</v>
      </c>
      <c r="L93" s="416">
        <v>0</v>
      </c>
      <c r="M93" s="416">
        <v>0</v>
      </c>
      <c r="N93" s="430">
        <v>35</v>
      </c>
      <c r="O93" s="430">
        <v>3414</v>
      </c>
      <c r="P93" s="416">
        <v>0</v>
      </c>
      <c r="Q93" s="416">
        <v>0</v>
      </c>
      <c r="R93" s="416">
        <v>0</v>
      </c>
      <c r="S93" s="416">
        <v>0</v>
      </c>
      <c r="T93" s="416"/>
      <c r="U93" s="416"/>
      <c r="V93" s="416">
        <f>_xlfn.IFNA(VLOOKUP(A93,[3]進出口值表查詢結果!$C$11:$F$68,4,0),-[4]整車!$B$22)</f>
        <v>0</v>
      </c>
      <c r="W93" s="416">
        <f>_xlfn.IFNA(VLOOKUP(A93,[3]進出口值表查詢結果!$C$11:$F$68,3,0),-[4]整車!$B$22)</f>
        <v>0</v>
      </c>
      <c r="X93" s="416">
        <f>_xlfn.IFNA(VLOOKUP(A93,[5]進出口值表查詢結果!$C$11:$F$68,4,0),-[4]整車!$B$22)</f>
        <v>0</v>
      </c>
      <c r="Y93" s="416">
        <f>_xlfn.IFNA(VLOOKUP(A93,[5]進出口值表查詢結果!$C$11:$F$68,3,0),-[4]整車!$B$22)</f>
        <v>0</v>
      </c>
      <c r="Z93" s="410">
        <f t="shared" si="17"/>
        <v>35</v>
      </c>
      <c r="AA93" s="410">
        <f t="shared" si="18"/>
        <v>3414</v>
      </c>
    </row>
    <row r="94" spans="1:27">
      <c r="A94" s="453" t="s">
        <v>293</v>
      </c>
      <c r="B94" s="416"/>
      <c r="C94" s="416"/>
      <c r="D94" s="416"/>
      <c r="E94" s="416"/>
      <c r="F94" s="416">
        <v>0</v>
      </c>
      <c r="G94" s="416"/>
      <c r="H94" s="416">
        <v>0</v>
      </c>
      <c r="I94" s="416">
        <v>0</v>
      </c>
      <c r="J94" s="417" t="s">
        <v>60</v>
      </c>
      <c r="K94" s="420">
        <v>0</v>
      </c>
      <c r="L94" s="416">
        <v>0</v>
      </c>
      <c r="M94" s="416">
        <v>0</v>
      </c>
      <c r="N94" s="416">
        <v>0</v>
      </c>
      <c r="O94" s="416">
        <v>0</v>
      </c>
      <c r="P94" s="416">
        <v>0</v>
      </c>
      <c r="Q94" s="416">
        <v>0</v>
      </c>
      <c r="R94" s="416">
        <v>0</v>
      </c>
      <c r="S94" s="416">
        <v>0</v>
      </c>
      <c r="T94" s="416"/>
      <c r="U94" s="416"/>
      <c r="V94" s="416">
        <f>_xlfn.IFNA(VLOOKUP(A94,[3]進出口值表查詢結果!$C$11:$F$68,4,0),-[4]整車!$B$22)</f>
        <v>0</v>
      </c>
      <c r="W94" s="416">
        <f>_xlfn.IFNA(VLOOKUP(A94,[3]進出口值表查詢結果!$C$11:$F$68,3,0),-[4]整車!$B$22)</f>
        <v>0</v>
      </c>
      <c r="X94" s="416">
        <f>_xlfn.IFNA(VLOOKUP(A94,[5]進出口值表查詢結果!$C$11:$F$68,4,0),-[4]整車!$B$22)</f>
        <v>0</v>
      </c>
      <c r="Y94" s="416">
        <f>_xlfn.IFNA(VLOOKUP(A94,[5]進出口值表查詢結果!$C$11:$F$68,3,0),-[4]整車!$B$22)</f>
        <v>0</v>
      </c>
      <c r="Z94" s="410">
        <f t="shared" si="17"/>
        <v>0</v>
      </c>
      <c r="AA94" s="410">
        <f t="shared" si="18"/>
        <v>0</v>
      </c>
    </row>
    <row r="95" spans="1:27">
      <c r="A95" s="455" t="s">
        <v>295</v>
      </c>
      <c r="B95" s="410"/>
      <c r="C95" s="410"/>
      <c r="D95" s="410"/>
      <c r="E95" s="416"/>
      <c r="F95" s="410">
        <v>0</v>
      </c>
      <c r="G95" s="410"/>
      <c r="H95" s="416">
        <v>0</v>
      </c>
      <c r="I95" s="416">
        <v>0</v>
      </c>
      <c r="J95" s="403" t="s">
        <v>60</v>
      </c>
      <c r="K95" s="420">
        <v>0</v>
      </c>
      <c r="L95" s="410">
        <v>0</v>
      </c>
      <c r="M95" s="410">
        <v>0</v>
      </c>
      <c r="N95" s="410">
        <v>0</v>
      </c>
      <c r="O95" s="410">
        <v>0</v>
      </c>
      <c r="P95" s="416">
        <v>0</v>
      </c>
      <c r="Q95" s="416">
        <v>0</v>
      </c>
      <c r="R95" s="416">
        <v>0</v>
      </c>
      <c r="S95" s="416">
        <v>0</v>
      </c>
      <c r="T95" s="410"/>
      <c r="U95" s="410"/>
      <c r="V95" s="416">
        <f>_xlfn.IFNA(VLOOKUP(A95,[3]進出口值表查詢結果!$C$11:$F$68,4,0),-[4]整車!$B$22)</f>
        <v>0</v>
      </c>
      <c r="W95" s="416">
        <f>_xlfn.IFNA(VLOOKUP(A95,[3]進出口值表查詢結果!$C$11:$F$68,3,0),-[4]整車!$B$22)</f>
        <v>0</v>
      </c>
      <c r="X95" s="416">
        <f>_xlfn.IFNA(VLOOKUP(A95,[5]進出口值表查詢結果!$C$11:$F$68,4,0),-[4]整車!$B$22)</f>
        <v>0</v>
      </c>
      <c r="Y95" s="416">
        <f>_xlfn.IFNA(VLOOKUP(A95,[5]進出口值表查詢結果!$C$11:$F$68,3,0),-[4]整車!$B$22)</f>
        <v>0</v>
      </c>
      <c r="Z95" s="410">
        <f t="shared" si="17"/>
        <v>0</v>
      </c>
      <c r="AA95" s="410">
        <f t="shared" si="18"/>
        <v>0</v>
      </c>
    </row>
    <row r="96" spans="1:27">
      <c r="A96" s="409"/>
      <c r="B96" s="410"/>
      <c r="C96" s="410"/>
      <c r="D96" s="410"/>
      <c r="E96" s="410"/>
      <c r="F96" s="410"/>
      <c r="G96" s="410"/>
      <c r="H96" s="410"/>
      <c r="I96" s="410"/>
      <c r="J96" s="403"/>
      <c r="K96" s="404"/>
      <c r="L96" s="410"/>
      <c r="M96" s="410"/>
      <c r="N96" s="410"/>
      <c r="O96" s="410"/>
      <c r="P96" s="410"/>
      <c r="Q96" s="410"/>
      <c r="R96" s="410"/>
      <c r="S96" s="410"/>
      <c r="T96" s="410"/>
      <c r="U96" s="410"/>
      <c r="V96" s="410"/>
      <c r="W96" s="410"/>
      <c r="X96" s="410"/>
      <c r="Y96" s="410"/>
      <c r="Z96" s="410"/>
      <c r="AA96" s="410"/>
    </row>
    <row r="97" spans="1:27">
      <c r="A97" s="436" t="s">
        <v>144</v>
      </c>
      <c r="B97" s="437">
        <f t="shared" ref="B97:Y97" si="19">SUM(B98:B100)</f>
        <v>52798</v>
      </c>
      <c r="C97" s="437">
        <f t="shared" si="19"/>
        <v>33121696</v>
      </c>
      <c r="D97" s="437">
        <f t="shared" si="19"/>
        <v>50400</v>
      </c>
      <c r="E97" s="437">
        <f t="shared" si="19"/>
        <v>31534279</v>
      </c>
      <c r="F97" s="437">
        <f t="shared" si="19"/>
        <v>40988</v>
      </c>
      <c r="G97" s="437">
        <f t="shared" si="19"/>
        <v>23973578</v>
      </c>
      <c r="H97" s="437">
        <f t="shared" si="19"/>
        <v>42311</v>
      </c>
      <c r="I97" s="437">
        <f t="shared" si="19"/>
        <v>22157100</v>
      </c>
      <c r="J97" s="438">
        <f t="shared" si="19"/>
        <v>68862</v>
      </c>
      <c r="K97" s="439">
        <f t="shared" si="19"/>
        <v>39539255</v>
      </c>
      <c r="L97" s="437">
        <f t="shared" si="19"/>
        <v>61547</v>
      </c>
      <c r="M97" s="437">
        <f t="shared" si="19"/>
        <v>41765283</v>
      </c>
      <c r="N97" s="437">
        <f t="shared" si="19"/>
        <v>57860</v>
      </c>
      <c r="O97" s="437">
        <f t="shared" si="19"/>
        <v>47576440</v>
      </c>
      <c r="P97" s="437">
        <f t="shared" si="19"/>
        <v>70020</v>
      </c>
      <c r="Q97" s="437">
        <f t="shared" si="19"/>
        <v>47975910</v>
      </c>
      <c r="R97" s="437">
        <f t="shared" si="19"/>
        <v>57029</v>
      </c>
      <c r="S97" s="437">
        <f t="shared" si="19"/>
        <v>32139611</v>
      </c>
      <c r="T97" s="437">
        <f t="shared" si="19"/>
        <v>68638</v>
      </c>
      <c r="U97" s="437">
        <f t="shared" si="19"/>
        <v>38723065</v>
      </c>
      <c r="V97" s="437">
        <f>SUM(V98:V100)</f>
        <v>76863</v>
      </c>
      <c r="W97" s="437">
        <f>SUM(W98:W100)</f>
        <v>36987555</v>
      </c>
      <c r="X97" s="437">
        <f t="shared" si="19"/>
        <v>64518</v>
      </c>
      <c r="Y97" s="437">
        <f t="shared" si="19"/>
        <v>35209517</v>
      </c>
      <c r="Z97" s="423">
        <f t="shared" ref="Z97:AA100" si="20">SUM(B97,D97,F97,H97,J97,L97,N97,P97,R97,T97,V97,X97)</f>
        <v>711834</v>
      </c>
      <c r="AA97" s="423">
        <f t="shared" si="20"/>
        <v>430703289</v>
      </c>
    </row>
    <row r="98" spans="1:27">
      <c r="A98" s="453" t="s">
        <v>163</v>
      </c>
      <c r="B98" s="416">
        <v>48120</v>
      </c>
      <c r="C98" s="416">
        <v>29498633</v>
      </c>
      <c r="D98" s="416">
        <v>44184</v>
      </c>
      <c r="E98" s="416">
        <v>25012824</v>
      </c>
      <c r="F98" s="416">
        <v>37364</v>
      </c>
      <c r="G98" s="416">
        <v>20911414</v>
      </c>
      <c r="H98" s="416">
        <v>40429</v>
      </c>
      <c r="I98" s="416">
        <v>20039545</v>
      </c>
      <c r="J98" s="417">
        <v>65721</v>
      </c>
      <c r="K98" s="418">
        <v>36235280</v>
      </c>
      <c r="L98" s="416">
        <v>57262</v>
      </c>
      <c r="M98" s="416">
        <v>37300973</v>
      </c>
      <c r="N98" s="416">
        <v>52826</v>
      </c>
      <c r="O98" s="416">
        <v>41788643</v>
      </c>
      <c r="P98" s="416">
        <v>65538</v>
      </c>
      <c r="Q98" s="416">
        <v>42663542</v>
      </c>
      <c r="R98" s="416">
        <v>54118</v>
      </c>
      <c r="S98" s="416">
        <v>29005811</v>
      </c>
      <c r="T98" s="416">
        <v>65331</v>
      </c>
      <c r="U98" s="416">
        <v>34634631</v>
      </c>
      <c r="V98" s="416">
        <f>_xlfn.IFNA(VLOOKUP(A98,[3]進出口值表查詢結果!$C$11:$F$68,4,0),-[4]整車!$B$22)</f>
        <v>73370</v>
      </c>
      <c r="W98" s="416">
        <f>_xlfn.IFNA(VLOOKUP(A98,[3]進出口值表查詢結果!$C$11:$F$68,3,0),-[4]整車!$B$22)</f>
        <v>33547174</v>
      </c>
      <c r="X98" s="416">
        <f>_xlfn.IFNA(VLOOKUP(A98,[5]進出口值表查詢結果!$C$11:$F$68,4,0),-[4]整車!$B$22)</f>
        <v>60970</v>
      </c>
      <c r="Y98" s="416">
        <f>_xlfn.IFNA(VLOOKUP(A98,[5]進出口值表查詢結果!$C$11:$F$68,3,0),-[4]整車!$B$22)</f>
        <v>32188211</v>
      </c>
      <c r="Z98" s="410">
        <f t="shared" si="20"/>
        <v>665233</v>
      </c>
      <c r="AA98" s="410">
        <f t="shared" si="20"/>
        <v>382826681</v>
      </c>
    </row>
    <row r="99" spans="1:27">
      <c r="A99" s="453" t="s">
        <v>173</v>
      </c>
      <c r="B99" s="416">
        <v>4285</v>
      </c>
      <c r="C99" s="416">
        <v>3224729</v>
      </c>
      <c r="D99" s="416">
        <v>5520</v>
      </c>
      <c r="E99" s="416">
        <v>5948302</v>
      </c>
      <c r="F99" s="416">
        <v>3453</v>
      </c>
      <c r="G99" s="416">
        <v>2889944</v>
      </c>
      <c r="H99" s="416">
        <v>1520</v>
      </c>
      <c r="I99" s="416">
        <v>1622558</v>
      </c>
      <c r="J99" s="417">
        <v>2611</v>
      </c>
      <c r="K99" s="418">
        <v>2499831</v>
      </c>
      <c r="L99" s="416">
        <v>3403</v>
      </c>
      <c r="M99" s="416">
        <v>3630698</v>
      </c>
      <c r="N99" s="416">
        <v>3856</v>
      </c>
      <c r="O99" s="416">
        <v>4296622</v>
      </c>
      <c r="P99" s="416">
        <v>3208</v>
      </c>
      <c r="Q99" s="416">
        <v>3679701</v>
      </c>
      <c r="R99" s="416">
        <v>2427</v>
      </c>
      <c r="S99" s="416">
        <v>2612605</v>
      </c>
      <c r="T99" s="416">
        <v>2276</v>
      </c>
      <c r="U99" s="416">
        <v>3152428</v>
      </c>
      <c r="V99" s="416">
        <f>_xlfn.IFNA(VLOOKUP(A99,[3]進出口值表查詢結果!$C$11:$F$68,4,0),-[4]整車!$B$22)</f>
        <v>2267</v>
      </c>
      <c r="W99" s="416">
        <f>_xlfn.IFNA(VLOOKUP(A99,[3]進出口值表查詢結果!$C$11:$F$68,3,0),-[4]整車!$B$22)</f>
        <v>2558579</v>
      </c>
      <c r="X99" s="416">
        <f>_xlfn.IFNA(VLOOKUP(A99,[5]進出口值表查詢結果!$C$11:$F$68,4,0),-[4]整車!$B$22)</f>
        <v>3014</v>
      </c>
      <c r="Y99" s="416">
        <f>_xlfn.IFNA(VLOOKUP(A99,[5]進出口值表查詢結果!$C$11:$F$68,3,0),-[4]整車!$B$22)</f>
        <v>2345835</v>
      </c>
      <c r="Z99" s="410">
        <f t="shared" si="20"/>
        <v>37840</v>
      </c>
      <c r="AA99" s="410">
        <f t="shared" si="20"/>
        <v>38461832</v>
      </c>
    </row>
    <row r="100" spans="1:27">
      <c r="A100" s="453" t="s">
        <v>196</v>
      </c>
      <c r="B100" s="416">
        <v>393</v>
      </c>
      <c r="C100" s="416">
        <v>398334</v>
      </c>
      <c r="D100" s="416">
        <v>696</v>
      </c>
      <c r="E100" s="416">
        <v>573153</v>
      </c>
      <c r="F100" s="416">
        <v>171</v>
      </c>
      <c r="G100" s="416">
        <v>172220</v>
      </c>
      <c r="H100" s="416">
        <v>362</v>
      </c>
      <c r="I100" s="416">
        <v>494997</v>
      </c>
      <c r="J100" s="417">
        <v>530</v>
      </c>
      <c r="K100" s="420">
        <v>804144</v>
      </c>
      <c r="L100" s="416">
        <v>882</v>
      </c>
      <c r="M100" s="416">
        <v>833612</v>
      </c>
      <c r="N100" s="416">
        <v>1178</v>
      </c>
      <c r="O100" s="416">
        <v>1491175</v>
      </c>
      <c r="P100" s="416">
        <v>1274</v>
      </c>
      <c r="Q100" s="416">
        <v>1632667</v>
      </c>
      <c r="R100" s="416">
        <v>484</v>
      </c>
      <c r="S100" s="416">
        <v>521195</v>
      </c>
      <c r="T100" s="416">
        <v>1031</v>
      </c>
      <c r="U100" s="416">
        <v>936006</v>
      </c>
      <c r="V100" s="416">
        <f>_xlfn.IFNA(VLOOKUP(A100,[3]進出口值表查詢結果!$C$11:$F$68,4,0),-[4]整車!$B$22)</f>
        <v>1226</v>
      </c>
      <c r="W100" s="416">
        <f>_xlfn.IFNA(VLOOKUP(A100,[3]進出口值表查詢結果!$C$11:$F$68,3,0),-[4]整車!$B$22)</f>
        <v>881802</v>
      </c>
      <c r="X100" s="416">
        <f>_xlfn.IFNA(VLOOKUP(A100,[5]進出口值表查詢結果!$C$11:$F$68,4,0),-[4]整車!$B$22)</f>
        <v>534</v>
      </c>
      <c r="Y100" s="416">
        <f>_xlfn.IFNA(VLOOKUP(A100,[5]進出口值表查詢結果!$C$11:$F$68,3,0),-[4]整車!$B$22)</f>
        <v>675471</v>
      </c>
      <c r="Z100" s="410">
        <f t="shared" si="20"/>
        <v>8761</v>
      </c>
      <c r="AA100" s="410">
        <f t="shared" si="20"/>
        <v>9414776</v>
      </c>
    </row>
    <row r="101" spans="1:27">
      <c r="A101" s="419"/>
      <c r="B101" s="416"/>
      <c r="C101" s="416"/>
      <c r="D101" s="416"/>
      <c r="E101" s="416"/>
      <c r="F101" s="416"/>
      <c r="G101" s="416"/>
      <c r="H101" s="416"/>
      <c r="I101" s="416"/>
      <c r="J101" s="417"/>
      <c r="K101" s="418"/>
      <c r="L101" s="416"/>
      <c r="M101" s="416"/>
      <c r="N101" s="416"/>
      <c r="O101" s="416"/>
      <c r="P101" s="416"/>
      <c r="Q101" s="416"/>
      <c r="R101" s="416"/>
      <c r="S101" s="416"/>
      <c r="T101" s="416"/>
      <c r="U101" s="416"/>
      <c r="V101" s="416"/>
      <c r="W101" s="416"/>
      <c r="X101" s="416"/>
      <c r="Y101" s="416"/>
      <c r="Z101" s="410"/>
      <c r="AA101" s="410"/>
    </row>
    <row r="102" spans="1:27">
      <c r="A102" s="436" t="s">
        <v>45</v>
      </c>
      <c r="B102" s="437">
        <f t="shared" ref="B102:Y102" si="21">SUM(B103:B134)</f>
        <v>1934</v>
      </c>
      <c r="C102" s="437">
        <f t="shared" si="21"/>
        <v>1731089</v>
      </c>
      <c r="D102" s="437">
        <f t="shared" si="21"/>
        <v>1633</v>
      </c>
      <c r="E102" s="437">
        <f t="shared" si="21"/>
        <v>1772448</v>
      </c>
      <c r="F102" s="437">
        <f t="shared" si="21"/>
        <v>1822</v>
      </c>
      <c r="G102" s="437">
        <f t="shared" si="21"/>
        <v>2077067</v>
      </c>
      <c r="H102" s="437">
        <f t="shared" si="21"/>
        <v>906</v>
      </c>
      <c r="I102" s="437">
        <f t="shared" si="21"/>
        <v>1075357</v>
      </c>
      <c r="J102" s="438">
        <f t="shared" si="21"/>
        <v>1957</v>
      </c>
      <c r="K102" s="439">
        <f t="shared" si="21"/>
        <v>3078550</v>
      </c>
      <c r="L102" s="437">
        <f t="shared" si="21"/>
        <v>3212</v>
      </c>
      <c r="M102" s="437">
        <f t="shared" si="21"/>
        <v>4353020</v>
      </c>
      <c r="N102" s="437">
        <f t="shared" si="21"/>
        <v>3748</v>
      </c>
      <c r="O102" s="437">
        <f t="shared" si="21"/>
        <v>4915548</v>
      </c>
      <c r="P102" s="437">
        <f t="shared" si="21"/>
        <v>2931</v>
      </c>
      <c r="Q102" s="437">
        <f t="shared" si="21"/>
        <v>4038698</v>
      </c>
      <c r="R102" s="437">
        <f t="shared" si="21"/>
        <v>2759</v>
      </c>
      <c r="S102" s="437">
        <f t="shared" si="21"/>
        <v>3387332</v>
      </c>
      <c r="T102" s="437">
        <f t="shared" si="21"/>
        <v>2949</v>
      </c>
      <c r="U102" s="437">
        <f t="shared" si="21"/>
        <v>3052841</v>
      </c>
      <c r="V102" s="437">
        <f>SUM(V103:V134)</f>
        <v>1812</v>
      </c>
      <c r="W102" s="437">
        <f>SUM(W103:W134)</f>
        <v>2019548</v>
      </c>
      <c r="X102" s="437">
        <f t="shared" si="21"/>
        <v>2688</v>
      </c>
      <c r="Y102" s="437">
        <f t="shared" si="21"/>
        <v>2319383</v>
      </c>
      <c r="Z102" s="423">
        <f t="shared" ref="Z102:Z134" si="22">SUM(B102,D102,F102,H102,J102,L102,N102,P102,R102,T102,V102,X102)</f>
        <v>28351</v>
      </c>
      <c r="AA102" s="423">
        <f t="shared" ref="AA102:AA134" si="23">SUM(C102,E102,G102,I102,K102,M102,O102,Q102,S102,U102,W102,Y102)</f>
        <v>33820881</v>
      </c>
    </row>
    <row r="103" spans="1:27">
      <c r="A103" s="453" t="s">
        <v>296</v>
      </c>
      <c r="B103" s="416"/>
      <c r="C103" s="416"/>
      <c r="D103" s="416"/>
      <c r="E103" s="416"/>
      <c r="F103" s="416">
        <v>0</v>
      </c>
      <c r="G103" s="416"/>
      <c r="H103" s="416">
        <v>0</v>
      </c>
      <c r="I103" s="416">
        <v>0</v>
      </c>
      <c r="J103" s="417" t="s">
        <v>60</v>
      </c>
      <c r="K103" s="420" t="s">
        <v>60</v>
      </c>
      <c r="L103" s="416"/>
      <c r="M103" s="416"/>
      <c r="N103" s="416"/>
      <c r="O103" s="416"/>
      <c r="P103" s="416">
        <v>0</v>
      </c>
      <c r="Q103" s="416">
        <v>0</v>
      </c>
      <c r="R103" s="416">
        <v>0</v>
      </c>
      <c r="S103" s="416">
        <v>0</v>
      </c>
      <c r="T103" s="416"/>
      <c r="U103" s="416"/>
      <c r="V103" s="416">
        <f>_xlfn.IFNA(VLOOKUP(A103,[3]進出口值表查詢結果!$C$11:$F$68,4,0),-[4]整車!$B$22)</f>
        <v>0</v>
      </c>
      <c r="W103" s="416">
        <f>_xlfn.IFNA(VLOOKUP(A103,[3]進出口值表查詢結果!$C$11:$F$68,3,0),-[4]整車!$B$22)</f>
        <v>0</v>
      </c>
      <c r="X103" s="416">
        <f>_xlfn.IFNA(VLOOKUP(A103,[5]進出口值表查詢結果!$C$11:$F$68,4,0),-[4]整車!$B$22)</f>
        <v>0</v>
      </c>
      <c r="Y103" s="416">
        <f>_xlfn.IFNA(VLOOKUP(A103,[5]進出口值表查詢結果!$C$11:$F$68,3,0),-[4]整車!$B$22)</f>
        <v>0</v>
      </c>
      <c r="Z103" s="410">
        <f t="shared" si="22"/>
        <v>0</v>
      </c>
      <c r="AA103" s="410">
        <f t="shared" si="23"/>
        <v>0</v>
      </c>
    </row>
    <row r="104" spans="1:27">
      <c r="A104" s="453" t="s">
        <v>297</v>
      </c>
      <c r="B104" s="416"/>
      <c r="C104" s="416"/>
      <c r="D104" s="416"/>
      <c r="E104" s="416"/>
      <c r="F104" s="416">
        <v>0</v>
      </c>
      <c r="G104" s="416"/>
      <c r="H104" s="416">
        <v>0</v>
      </c>
      <c r="I104" s="416">
        <v>0</v>
      </c>
      <c r="J104" s="417" t="s">
        <v>60</v>
      </c>
      <c r="K104" s="420" t="s">
        <v>60</v>
      </c>
      <c r="L104" s="416"/>
      <c r="M104" s="416"/>
      <c r="N104" s="416"/>
      <c r="O104" s="416"/>
      <c r="P104" s="416">
        <v>0</v>
      </c>
      <c r="Q104" s="416">
        <v>0</v>
      </c>
      <c r="R104" s="416">
        <v>0</v>
      </c>
      <c r="S104" s="416">
        <v>0</v>
      </c>
      <c r="T104" s="416"/>
      <c r="U104" s="416"/>
      <c r="V104" s="416">
        <f>_xlfn.IFNA(VLOOKUP(A104,[3]進出口值表查詢結果!$C$11:$F$68,4,0),-[4]整車!$B$22)</f>
        <v>0</v>
      </c>
      <c r="W104" s="416">
        <f>_xlfn.IFNA(VLOOKUP(A104,[3]進出口值表查詢結果!$C$11:$F$68,3,0),-[4]整車!$B$22)</f>
        <v>0</v>
      </c>
      <c r="X104" s="416">
        <f>_xlfn.IFNA(VLOOKUP(A104,[5]進出口值表查詢結果!$C$11:$F$68,4,0),-[4]整車!$B$22)</f>
        <v>0</v>
      </c>
      <c r="Y104" s="416">
        <f>_xlfn.IFNA(VLOOKUP(A104,[5]進出口值表查詢結果!$C$11:$F$68,3,0),-[4]整車!$B$22)</f>
        <v>0</v>
      </c>
      <c r="Z104" s="410">
        <f t="shared" si="22"/>
        <v>0</v>
      </c>
      <c r="AA104" s="410">
        <f t="shared" si="23"/>
        <v>0</v>
      </c>
    </row>
    <row r="105" spans="1:27">
      <c r="A105" s="453" t="s">
        <v>189</v>
      </c>
      <c r="B105" s="416">
        <v>382</v>
      </c>
      <c r="C105" s="416">
        <v>382841</v>
      </c>
      <c r="D105" s="416">
        <v>506</v>
      </c>
      <c r="E105" s="416">
        <v>765722</v>
      </c>
      <c r="F105" s="416">
        <v>527</v>
      </c>
      <c r="G105" s="416">
        <v>600067</v>
      </c>
      <c r="H105" s="416">
        <v>281</v>
      </c>
      <c r="I105" s="416">
        <v>404903</v>
      </c>
      <c r="J105" s="417">
        <v>848</v>
      </c>
      <c r="K105" s="418">
        <v>1410992</v>
      </c>
      <c r="L105" s="416">
        <v>1653</v>
      </c>
      <c r="M105" s="416">
        <v>2346012</v>
      </c>
      <c r="N105" s="430">
        <v>944</v>
      </c>
      <c r="O105" s="430">
        <v>1389114</v>
      </c>
      <c r="P105" s="416">
        <v>509</v>
      </c>
      <c r="Q105" s="416">
        <v>808506</v>
      </c>
      <c r="R105" s="416">
        <v>533</v>
      </c>
      <c r="S105" s="416">
        <v>864334</v>
      </c>
      <c r="T105" s="416">
        <v>159</v>
      </c>
      <c r="U105" s="416">
        <v>215147</v>
      </c>
      <c r="V105" s="416">
        <f>_xlfn.IFNA(VLOOKUP(A105,[3]進出口值表查詢結果!$C$11:$F$68,4,0),-[4]整車!$B$22)</f>
        <v>323</v>
      </c>
      <c r="W105" s="416">
        <f>_xlfn.IFNA(VLOOKUP(A105,[3]進出口值表查詢結果!$C$11:$F$68,3,0),-[4]整車!$B$22)</f>
        <v>284126</v>
      </c>
      <c r="X105" s="416">
        <f>_xlfn.IFNA(VLOOKUP(A105,[5]進出口值表查詢結果!$C$11:$F$68,4,0),-[4]整車!$B$22)</f>
        <v>146</v>
      </c>
      <c r="Y105" s="416">
        <f>_xlfn.IFNA(VLOOKUP(A105,[5]進出口值表查詢結果!$C$11:$F$68,3,0),-[4]整車!$B$22)</f>
        <v>145591</v>
      </c>
      <c r="Z105" s="410">
        <f t="shared" si="22"/>
        <v>6811</v>
      </c>
      <c r="AA105" s="410">
        <f t="shared" si="23"/>
        <v>9617355</v>
      </c>
    </row>
    <row r="106" spans="1:27">
      <c r="A106" s="453" t="s">
        <v>299</v>
      </c>
      <c r="B106" s="416">
        <v>192</v>
      </c>
      <c r="C106" s="416">
        <v>147251</v>
      </c>
      <c r="D106" s="416">
        <v>186</v>
      </c>
      <c r="E106" s="416">
        <v>185042</v>
      </c>
      <c r="F106" s="416">
        <v>10</v>
      </c>
      <c r="G106" s="416">
        <v>16229</v>
      </c>
      <c r="H106" s="416">
        <v>0</v>
      </c>
      <c r="I106" s="416">
        <v>0</v>
      </c>
      <c r="J106" s="417" t="s">
        <v>60</v>
      </c>
      <c r="K106" s="420" t="s">
        <v>60</v>
      </c>
      <c r="L106" s="416">
        <v>204</v>
      </c>
      <c r="M106" s="416">
        <v>355563</v>
      </c>
      <c r="N106" s="430">
        <v>92</v>
      </c>
      <c r="O106" s="430">
        <v>125017</v>
      </c>
      <c r="P106" s="416">
        <v>232</v>
      </c>
      <c r="Q106" s="416">
        <v>213453</v>
      </c>
      <c r="R106" s="416">
        <v>211</v>
      </c>
      <c r="S106" s="416">
        <v>248506</v>
      </c>
      <c r="T106" s="416">
        <v>234</v>
      </c>
      <c r="U106" s="416">
        <v>172701</v>
      </c>
      <c r="V106" s="416">
        <f>_xlfn.IFNA(VLOOKUP(A106,[3]進出口值表查詢結果!$C$11:$F$68,4,0),-[4]整車!$B$22)</f>
        <v>169</v>
      </c>
      <c r="W106" s="416">
        <f>_xlfn.IFNA(VLOOKUP(A106,[3]進出口值表查詢結果!$C$11:$F$68,3,0),-[4]整車!$B$22)</f>
        <v>193761</v>
      </c>
      <c r="X106" s="416">
        <f>_xlfn.IFNA(VLOOKUP(A106,[5]進出口值表查詢結果!$C$11:$F$68,4,0),-[4]整車!$B$22)</f>
        <v>364</v>
      </c>
      <c r="Y106" s="416">
        <f>_xlfn.IFNA(VLOOKUP(A106,[5]進出口值表查詢結果!$C$11:$F$68,3,0),-[4]整車!$B$22)</f>
        <v>300945</v>
      </c>
      <c r="Z106" s="410">
        <f t="shared" si="22"/>
        <v>1894</v>
      </c>
      <c r="AA106" s="410">
        <f t="shared" si="23"/>
        <v>1958468</v>
      </c>
    </row>
    <row r="107" spans="1:27">
      <c r="A107" s="453" t="s">
        <v>300</v>
      </c>
      <c r="B107" s="416">
        <v>781</v>
      </c>
      <c r="C107" s="416">
        <v>548150</v>
      </c>
      <c r="D107" s="416">
        <v>111</v>
      </c>
      <c r="E107" s="416">
        <v>89240</v>
      </c>
      <c r="F107" s="416">
        <v>351</v>
      </c>
      <c r="G107" s="416">
        <v>470294</v>
      </c>
      <c r="H107" s="416">
        <v>198</v>
      </c>
      <c r="I107" s="416">
        <v>307652</v>
      </c>
      <c r="J107" s="417">
        <v>229</v>
      </c>
      <c r="K107" s="418">
        <v>430170</v>
      </c>
      <c r="L107" s="416">
        <v>510</v>
      </c>
      <c r="M107" s="416">
        <v>633446</v>
      </c>
      <c r="N107" s="430">
        <v>1151</v>
      </c>
      <c r="O107" s="430">
        <v>1551960</v>
      </c>
      <c r="P107" s="416">
        <v>889</v>
      </c>
      <c r="Q107" s="416">
        <v>1212809</v>
      </c>
      <c r="R107" s="416">
        <v>540</v>
      </c>
      <c r="S107" s="416">
        <v>582846</v>
      </c>
      <c r="T107" s="416">
        <v>602</v>
      </c>
      <c r="U107" s="416">
        <v>676489</v>
      </c>
      <c r="V107" s="416">
        <f>_xlfn.IFNA(VLOOKUP(A107,[3]進出口值表查詢結果!$C$11:$F$68,4,0),-[4]整車!$B$22)</f>
        <v>546</v>
      </c>
      <c r="W107" s="416">
        <f>_xlfn.IFNA(VLOOKUP(A107,[3]進出口值表查詢結果!$C$11:$F$68,3,0),-[4]整車!$B$22)</f>
        <v>727903</v>
      </c>
      <c r="X107" s="416">
        <f>_xlfn.IFNA(VLOOKUP(A107,[5]進出口值表查詢結果!$C$11:$F$68,4,0),-[4]整車!$B$22)</f>
        <v>233</v>
      </c>
      <c r="Y107" s="416">
        <f>_xlfn.IFNA(VLOOKUP(A107,[5]進出口值表查詢結果!$C$11:$F$68,3,0),-[4]整車!$B$22)</f>
        <v>261722</v>
      </c>
      <c r="Z107" s="410">
        <f t="shared" si="22"/>
        <v>6141</v>
      </c>
      <c r="AA107" s="410">
        <f t="shared" si="23"/>
        <v>7492681</v>
      </c>
    </row>
    <row r="108" spans="1:27">
      <c r="A108" s="453" t="s">
        <v>301</v>
      </c>
      <c r="B108" s="416">
        <v>17</v>
      </c>
      <c r="C108" s="416">
        <v>25258</v>
      </c>
      <c r="D108" s="416"/>
      <c r="E108" s="416"/>
      <c r="F108" s="416">
        <v>35</v>
      </c>
      <c r="G108" s="416">
        <v>25788</v>
      </c>
      <c r="H108" s="416">
        <v>12</v>
      </c>
      <c r="I108" s="416">
        <v>16694</v>
      </c>
      <c r="J108" s="417">
        <v>206</v>
      </c>
      <c r="K108" s="420">
        <v>450652</v>
      </c>
      <c r="L108" s="416">
        <v>105</v>
      </c>
      <c r="M108" s="416">
        <v>123626</v>
      </c>
      <c r="N108" s="416">
        <v>201</v>
      </c>
      <c r="O108" s="430">
        <v>350913</v>
      </c>
      <c r="P108" s="416">
        <v>238</v>
      </c>
      <c r="Q108" s="416">
        <v>267808</v>
      </c>
      <c r="R108" s="416">
        <v>35</v>
      </c>
      <c r="S108" s="416">
        <v>51563</v>
      </c>
      <c r="T108" s="416">
        <v>445</v>
      </c>
      <c r="U108" s="416">
        <v>486920</v>
      </c>
      <c r="V108" s="416">
        <f>_xlfn.IFNA(VLOOKUP(A108,[3]進出口值表查詢結果!$C$11:$F$68,4,0),-[4]整車!$B$22)</f>
        <v>432</v>
      </c>
      <c r="W108" s="416">
        <f>_xlfn.IFNA(VLOOKUP(A108,[3]進出口值表查詢結果!$C$11:$F$68,3,0),-[4]整車!$B$22)</f>
        <v>333448</v>
      </c>
      <c r="X108" s="416">
        <f>_xlfn.IFNA(VLOOKUP(A108,[5]進出口值表查詢結果!$C$11:$F$68,4,0),-[4]整車!$B$22)</f>
        <v>408</v>
      </c>
      <c r="Y108" s="416">
        <f>_xlfn.IFNA(VLOOKUP(A108,[5]進出口值表查詢結果!$C$11:$F$68,3,0),-[4]整車!$B$22)</f>
        <v>492827</v>
      </c>
      <c r="Z108" s="410">
        <f t="shared" si="22"/>
        <v>2134</v>
      </c>
      <c r="AA108" s="410">
        <f t="shared" si="23"/>
        <v>2625497</v>
      </c>
    </row>
    <row r="109" spans="1:27">
      <c r="A109" s="453" t="s">
        <v>395</v>
      </c>
      <c r="B109" s="416">
        <v>21</v>
      </c>
      <c r="C109" s="416">
        <v>26824</v>
      </c>
      <c r="D109" s="416"/>
      <c r="E109" s="416"/>
      <c r="F109" s="416">
        <v>99</v>
      </c>
      <c r="G109" s="416">
        <v>93761</v>
      </c>
      <c r="H109" s="416">
        <v>0</v>
      </c>
      <c r="I109" s="416">
        <v>0</v>
      </c>
      <c r="J109" s="417">
        <v>106</v>
      </c>
      <c r="K109" s="418">
        <v>83461</v>
      </c>
      <c r="L109" s="416">
        <v>38</v>
      </c>
      <c r="M109" s="416">
        <v>42862</v>
      </c>
      <c r="N109" s="430">
        <v>99</v>
      </c>
      <c r="O109" s="430">
        <v>102704</v>
      </c>
      <c r="P109" s="416">
        <v>90</v>
      </c>
      <c r="Q109" s="416">
        <v>90308</v>
      </c>
      <c r="R109" s="416">
        <v>58</v>
      </c>
      <c r="S109" s="416">
        <v>70380</v>
      </c>
      <c r="T109" s="416">
        <v>106</v>
      </c>
      <c r="U109" s="416">
        <v>106953</v>
      </c>
      <c r="V109" s="416">
        <f>_xlfn.IFNA(VLOOKUP(A109,[3]進出口值表查詢結果!$C$11:$F$68,4,0),-[4]整車!$B$22)</f>
        <v>50</v>
      </c>
      <c r="W109" s="416">
        <f>_xlfn.IFNA(VLOOKUP(A109,[3]進出口值表查詢結果!$C$11:$F$68,3,0),-[4]整車!$B$22)</f>
        <v>61248</v>
      </c>
      <c r="X109" s="416">
        <f>_xlfn.IFNA(VLOOKUP(A109,[5]進出口值表查詢結果!$C$11:$F$68,4,0),-[4]整車!$B$22)</f>
        <v>24</v>
      </c>
      <c r="Y109" s="416">
        <f>_xlfn.IFNA(VLOOKUP(A109,[5]進出口值表查詢結果!$C$11:$F$68,3,0),-[4]整車!$B$22)</f>
        <v>4829</v>
      </c>
      <c r="Z109" s="410">
        <f t="shared" si="22"/>
        <v>691</v>
      </c>
      <c r="AA109" s="410">
        <f t="shared" si="23"/>
        <v>683330</v>
      </c>
    </row>
    <row r="110" spans="1:27">
      <c r="A110" s="453" t="s">
        <v>302</v>
      </c>
      <c r="B110" s="416"/>
      <c r="C110" s="416"/>
      <c r="D110" s="416">
        <v>26</v>
      </c>
      <c r="E110" s="416">
        <v>36509</v>
      </c>
      <c r="F110" s="416">
        <v>69</v>
      </c>
      <c r="G110" s="416">
        <v>58115</v>
      </c>
      <c r="H110" s="416">
        <v>0</v>
      </c>
      <c r="I110" s="416">
        <v>0</v>
      </c>
      <c r="J110" s="417" t="s">
        <v>60</v>
      </c>
      <c r="K110" s="420" t="s">
        <v>60</v>
      </c>
      <c r="L110" s="416"/>
      <c r="M110" s="416"/>
      <c r="N110" s="416"/>
      <c r="O110" s="416"/>
      <c r="P110" s="416">
        <v>0</v>
      </c>
      <c r="Q110" s="416">
        <v>0</v>
      </c>
      <c r="R110" s="416">
        <v>0</v>
      </c>
      <c r="S110" s="416">
        <v>0</v>
      </c>
      <c r="T110" s="416"/>
      <c r="U110" s="416"/>
      <c r="V110" s="416">
        <f>_xlfn.IFNA(VLOOKUP(A110,[3]進出口值表查詢結果!$C$11:$F$68,4,0),-[4]整車!$B$22)</f>
        <v>0</v>
      </c>
      <c r="W110" s="416">
        <f>_xlfn.IFNA(VLOOKUP(A110,[3]進出口值表查詢結果!$C$11:$F$68,3,0),-[4]整車!$B$22)</f>
        <v>0</v>
      </c>
      <c r="X110" s="416">
        <f>_xlfn.IFNA(VLOOKUP(A110,[5]進出口值表查詢結果!$C$11:$F$68,4,0),-[4]整車!$B$22)</f>
        <v>0</v>
      </c>
      <c r="Y110" s="416">
        <f>_xlfn.IFNA(VLOOKUP(A110,[5]進出口值表查詢結果!$C$11:$F$68,3,0),-[4]整車!$B$22)</f>
        <v>0</v>
      </c>
      <c r="Z110" s="410">
        <f t="shared" si="22"/>
        <v>95</v>
      </c>
      <c r="AA110" s="410">
        <f t="shared" si="23"/>
        <v>94624</v>
      </c>
    </row>
    <row r="111" spans="1:27">
      <c r="A111" s="453" t="s">
        <v>303</v>
      </c>
      <c r="B111" s="416">
        <v>38</v>
      </c>
      <c r="C111" s="416">
        <v>57613</v>
      </c>
      <c r="D111" s="416">
        <v>239</v>
      </c>
      <c r="E111" s="416">
        <v>192071</v>
      </c>
      <c r="F111" s="416">
        <v>218</v>
      </c>
      <c r="G111" s="416">
        <v>140890</v>
      </c>
      <c r="H111" s="416">
        <v>5</v>
      </c>
      <c r="I111" s="416">
        <v>10500</v>
      </c>
      <c r="J111" s="417">
        <v>175</v>
      </c>
      <c r="K111" s="420">
        <v>220849</v>
      </c>
      <c r="L111" s="416">
        <v>319</v>
      </c>
      <c r="M111" s="416">
        <v>305430</v>
      </c>
      <c r="N111" s="430">
        <v>392</v>
      </c>
      <c r="O111" s="430">
        <v>586309</v>
      </c>
      <c r="P111" s="416">
        <v>106</v>
      </c>
      <c r="Q111" s="416">
        <v>196069</v>
      </c>
      <c r="R111" s="416">
        <v>435</v>
      </c>
      <c r="S111" s="416">
        <v>558493</v>
      </c>
      <c r="T111" s="416">
        <v>345</v>
      </c>
      <c r="U111" s="416">
        <v>422823</v>
      </c>
      <c r="V111" s="416">
        <f>_xlfn.IFNA(VLOOKUP(A111,[3]進出口值表查詢結果!$C$11:$F$68,4,0),-[4]整車!$B$22)</f>
        <v>81</v>
      </c>
      <c r="W111" s="416">
        <f>_xlfn.IFNA(VLOOKUP(A111,[3]進出口值表查詢結果!$C$11:$F$68,3,0),-[4]整車!$B$22)</f>
        <v>132131</v>
      </c>
      <c r="X111" s="416">
        <f>_xlfn.IFNA(VLOOKUP(A111,[5]進出口值表查詢結果!$C$11:$F$68,4,0),-[4]整車!$B$22)</f>
        <v>22</v>
      </c>
      <c r="Y111" s="416">
        <f>_xlfn.IFNA(VLOOKUP(A111,[5]進出口值表查詢結果!$C$11:$F$68,3,0),-[4]整車!$B$22)</f>
        <v>32015</v>
      </c>
      <c r="Z111" s="410">
        <f t="shared" si="22"/>
        <v>2375</v>
      </c>
      <c r="AA111" s="410">
        <f t="shared" si="23"/>
        <v>2855193</v>
      </c>
    </row>
    <row r="112" spans="1:27">
      <c r="A112" s="453" t="s">
        <v>305</v>
      </c>
      <c r="B112" s="416">
        <v>271</v>
      </c>
      <c r="C112" s="416">
        <v>335554</v>
      </c>
      <c r="D112" s="416">
        <v>333</v>
      </c>
      <c r="E112" s="416">
        <v>314324</v>
      </c>
      <c r="F112" s="416">
        <v>378</v>
      </c>
      <c r="G112" s="416">
        <v>429439</v>
      </c>
      <c r="H112" s="416">
        <v>379</v>
      </c>
      <c r="I112" s="416">
        <v>273535</v>
      </c>
      <c r="J112" s="417">
        <v>257</v>
      </c>
      <c r="K112" s="418">
        <v>307852</v>
      </c>
      <c r="L112" s="416">
        <v>224</v>
      </c>
      <c r="M112" s="416">
        <v>305162</v>
      </c>
      <c r="N112" s="430">
        <v>431</v>
      </c>
      <c r="O112" s="430">
        <v>330830</v>
      </c>
      <c r="P112" s="416">
        <v>626</v>
      </c>
      <c r="Q112" s="416">
        <v>920976</v>
      </c>
      <c r="R112" s="416">
        <v>781</v>
      </c>
      <c r="S112" s="416">
        <v>864845</v>
      </c>
      <c r="T112" s="416">
        <v>613</v>
      </c>
      <c r="U112" s="416">
        <v>641240</v>
      </c>
      <c r="V112" s="416">
        <f>_xlfn.IFNA(VLOOKUP(A112,[3]進出口值表查詢結果!$C$11:$F$68,4,0),-[4]整車!$B$22)</f>
        <v>188</v>
      </c>
      <c r="W112" s="416">
        <f>_xlfn.IFNA(VLOOKUP(A112,[3]進出口值表查詢結果!$C$11:$F$68,3,0),-[4]整車!$B$22)</f>
        <v>254834</v>
      </c>
      <c r="X112" s="416">
        <f>_xlfn.IFNA(VLOOKUP(A112,[5]進出口值表查詢結果!$C$11:$F$68,4,0),-[4]整車!$B$22)</f>
        <v>933</v>
      </c>
      <c r="Y112" s="416">
        <f>_xlfn.IFNA(VLOOKUP(A112,[5]進出口值表查詢結果!$C$11:$F$68,3,0),-[4]整車!$B$22)</f>
        <v>495836</v>
      </c>
      <c r="Z112" s="410">
        <f t="shared" si="22"/>
        <v>5414</v>
      </c>
      <c r="AA112" s="410">
        <f t="shared" si="23"/>
        <v>5474427</v>
      </c>
    </row>
    <row r="113" spans="1:27">
      <c r="A113" s="453" t="s">
        <v>306</v>
      </c>
      <c r="B113" s="416"/>
      <c r="C113" s="416"/>
      <c r="D113" s="416">
        <v>64</v>
      </c>
      <c r="E113" s="416">
        <v>60093</v>
      </c>
      <c r="F113" s="416">
        <v>13</v>
      </c>
      <c r="G113" s="416">
        <v>12413</v>
      </c>
      <c r="H113" s="416">
        <v>0</v>
      </c>
      <c r="I113" s="416">
        <v>0</v>
      </c>
      <c r="J113" s="417">
        <v>52</v>
      </c>
      <c r="K113" s="420">
        <v>77514</v>
      </c>
      <c r="L113" s="416">
        <v>0</v>
      </c>
      <c r="M113" s="416">
        <v>0</v>
      </c>
      <c r="N113" s="430">
        <v>105</v>
      </c>
      <c r="O113" s="430">
        <v>127620</v>
      </c>
      <c r="P113" s="416">
        <v>125</v>
      </c>
      <c r="Q113" s="416">
        <v>149169</v>
      </c>
      <c r="R113" s="416">
        <v>27</v>
      </c>
      <c r="S113" s="416">
        <v>36039</v>
      </c>
      <c r="T113" s="416">
        <v>211</v>
      </c>
      <c r="U113" s="416">
        <v>20138</v>
      </c>
      <c r="V113" s="416">
        <f>_xlfn.IFNA(VLOOKUP(A113,[3]進出口值表查詢結果!$C$11:$F$68,4,0),-[4]整車!$B$22)</f>
        <v>0</v>
      </c>
      <c r="W113" s="416">
        <f>_xlfn.IFNA(VLOOKUP(A113,[3]進出口值表查詢結果!$C$11:$F$68,3,0),-[4]整車!$B$22)</f>
        <v>0</v>
      </c>
      <c r="X113" s="416">
        <f>_xlfn.IFNA(VLOOKUP(A113,[5]進出口值表查詢結果!$C$11:$F$68,4,0),-[4]整車!$B$22)</f>
        <v>38</v>
      </c>
      <c r="Y113" s="416">
        <f>_xlfn.IFNA(VLOOKUP(A113,[5]進出口值表查詢結果!$C$11:$F$68,3,0),-[4]整車!$B$22)</f>
        <v>41358</v>
      </c>
      <c r="Z113" s="410">
        <f t="shared" si="22"/>
        <v>635</v>
      </c>
      <c r="AA113" s="410">
        <f t="shared" si="23"/>
        <v>524344</v>
      </c>
    </row>
    <row r="114" spans="1:27">
      <c r="A114" s="453" t="s">
        <v>307</v>
      </c>
      <c r="B114" s="416"/>
      <c r="C114" s="416"/>
      <c r="D114" s="416"/>
      <c r="E114" s="416"/>
      <c r="F114" s="416">
        <v>0</v>
      </c>
      <c r="G114" s="416"/>
      <c r="H114" s="416">
        <v>0</v>
      </c>
      <c r="I114" s="416">
        <v>0</v>
      </c>
      <c r="J114" s="417" t="s">
        <v>60</v>
      </c>
      <c r="K114" s="420" t="s">
        <v>60</v>
      </c>
      <c r="L114" s="416">
        <v>0</v>
      </c>
      <c r="M114" s="416">
        <v>0</v>
      </c>
      <c r="N114" s="416">
        <v>0</v>
      </c>
      <c r="O114" s="416">
        <v>0</v>
      </c>
      <c r="P114" s="416">
        <v>0</v>
      </c>
      <c r="Q114" s="416">
        <v>0</v>
      </c>
      <c r="R114" s="416">
        <v>65</v>
      </c>
      <c r="S114" s="416">
        <v>16882</v>
      </c>
      <c r="T114" s="416"/>
      <c r="U114" s="416"/>
      <c r="V114" s="416">
        <f>_xlfn.IFNA(VLOOKUP(A114,[3]進出口值表查詢結果!$C$11:$F$68,4,0),-[4]整車!$B$22)</f>
        <v>0</v>
      </c>
      <c r="W114" s="416">
        <f>_xlfn.IFNA(VLOOKUP(A114,[3]進出口值表查詢結果!$C$11:$F$68,3,0),-[4]整車!$B$22)</f>
        <v>0</v>
      </c>
      <c r="X114" s="416">
        <f>_xlfn.IFNA(VLOOKUP(A114,[5]進出口值表查詢結果!$C$11:$F$68,4,0),-[4]整車!$B$22)</f>
        <v>0</v>
      </c>
      <c r="Y114" s="416">
        <f>_xlfn.IFNA(VLOOKUP(A114,[5]進出口值表查詢結果!$C$11:$F$68,3,0),-[4]整車!$B$22)</f>
        <v>0</v>
      </c>
      <c r="Z114" s="410">
        <f t="shared" si="22"/>
        <v>65</v>
      </c>
      <c r="AA114" s="410">
        <f t="shared" si="23"/>
        <v>16882</v>
      </c>
    </row>
    <row r="115" spans="1:27">
      <c r="A115" s="453" t="s">
        <v>187</v>
      </c>
      <c r="B115" s="416"/>
      <c r="C115" s="416"/>
      <c r="D115" s="416"/>
      <c r="E115" s="416"/>
      <c r="F115" s="416">
        <v>0</v>
      </c>
      <c r="G115" s="416"/>
      <c r="H115" s="416">
        <v>0</v>
      </c>
      <c r="I115" s="416">
        <v>0</v>
      </c>
      <c r="J115" s="417" t="s">
        <v>60</v>
      </c>
      <c r="K115" s="420" t="s">
        <v>60</v>
      </c>
      <c r="L115" s="416">
        <v>0</v>
      </c>
      <c r="M115" s="416">
        <v>0</v>
      </c>
      <c r="N115" s="430">
        <v>36</v>
      </c>
      <c r="O115" s="430">
        <v>54902</v>
      </c>
      <c r="P115" s="416">
        <v>0</v>
      </c>
      <c r="Q115" s="416">
        <v>0</v>
      </c>
      <c r="R115" s="416">
        <v>59</v>
      </c>
      <c r="S115" s="416">
        <v>60292</v>
      </c>
      <c r="T115" s="416">
        <v>13</v>
      </c>
      <c r="U115" s="416">
        <v>24991</v>
      </c>
      <c r="V115" s="416">
        <f>_xlfn.IFNA(VLOOKUP(A115,[3]進出口值表查詢結果!$C$11:$F$68,4,0),-[4]整車!$B$22)</f>
        <v>0</v>
      </c>
      <c r="W115" s="416">
        <f>_xlfn.IFNA(VLOOKUP(A115,[3]進出口值表查詢結果!$C$11:$F$68,3,0),-[4]整車!$B$22)</f>
        <v>0</v>
      </c>
      <c r="X115" s="416">
        <f>_xlfn.IFNA(VLOOKUP(A115,[5]進出口值表查詢結果!$C$11:$F$68,4,0),-[4]整車!$B$22)</f>
        <v>90</v>
      </c>
      <c r="Y115" s="416">
        <f>_xlfn.IFNA(VLOOKUP(A115,[5]進出口值表查詢結果!$C$11:$F$68,3,0),-[4]整車!$B$22)</f>
        <v>155913</v>
      </c>
      <c r="Z115" s="410">
        <f t="shared" si="22"/>
        <v>198</v>
      </c>
      <c r="AA115" s="410">
        <f t="shared" si="23"/>
        <v>296098</v>
      </c>
    </row>
    <row r="116" spans="1:27">
      <c r="A116" s="453" t="s">
        <v>308</v>
      </c>
      <c r="B116" s="416"/>
      <c r="C116" s="416"/>
      <c r="D116" s="416">
        <v>58</v>
      </c>
      <c r="E116" s="416">
        <v>17155</v>
      </c>
      <c r="F116" s="416">
        <v>0</v>
      </c>
      <c r="G116" s="416"/>
      <c r="H116" s="416">
        <v>0</v>
      </c>
      <c r="I116" s="416">
        <v>0</v>
      </c>
      <c r="J116" s="417" t="s">
        <v>60</v>
      </c>
      <c r="K116" s="420" t="s">
        <v>60</v>
      </c>
      <c r="L116" s="416">
        <v>66</v>
      </c>
      <c r="M116" s="416">
        <v>91388</v>
      </c>
      <c r="N116" s="430">
        <v>93</v>
      </c>
      <c r="O116" s="430">
        <v>28161</v>
      </c>
      <c r="P116" s="416">
        <v>1</v>
      </c>
      <c r="Q116" s="416">
        <v>1898</v>
      </c>
      <c r="R116" s="416">
        <v>0</v>
      </c>
      <c r="S116" s="416">
        <v>0</v>
      </c>
      <c r="T116" s="416">
        <v>70</v>
      </c>
      <c r="U116" s="416">
        <v>76661</v>
      </c>
      <c r="V116" s="416">
        <f>_xlfn.IFNA(VLOOKUP(A116,[3]進出口值表查詢結果!$C$11:$F$68,4,0),-[4]整車!$B$22)</f>
        <v>0</v>
      </c>
      <c r="W116" s="416">
        <f>_xlfn.IFNA(VLOOKUP(A116,[3]進出口值表查詢結果!$C$11:$F$68,3,0),-[4]整車!$B$22)</f>
        <v>0</v>
      </c>
      <c r="X116" s="416">
        <f>_xlfn.IFNA(VLOOKUP(A116,[5]進出口值表查詢結果!$C$11:$F$68,4,0),-[4]整車!$B$22)</f>
        <v>0</v>
      </c>
      <c r="Y116" s="416">
        <f>_xlfn.IFNA(VLOOKUP(A116,[5]進出口值表查詢結果!$C$11:$F$68,3,0),-[4]整車!$B$22)</f>
        <v>0</v>
      </c>
      <c r="Z116" s="410">
        <f t="shared" si="22"/>
        <v>288</v>
      </c>
      <c r="AA116" s="410">
        <f t="shared" si="23"/>
        <v>215263</v>
      </c>
    </row>
    <row r="117" spans="1:27">
      <c r="A117" s="453" t="s">
        <v>309</v>
      </c>
      <c r="B117" s="416">
        <v>91</v>
      </c>
      <c r="C117" s="416">
        <v>105365</v>
      </c>
      <c r="D117" s="416"/>
      <c r="E117" s="416"/>
      <c r="F117" s="416">
        <v>0</v>
      </c>
      <c r="G117" s="416"/>
      <c r="H117" s="416">
        <v>0</v>
      </c>
      <c r="I117" s="416">
        <v>0</v>
      </c>
      <c r="J117" s="417" t="s">
        <v>60</v>
      </c>
      <c r="K117" s="420" t="s">
        <v>60</v>
      </c>
      <c r="L117" s="416">
        <v>0</v>
      </c>
      <c r="M117" s="416">
        <v>0</v>
      </c>
      <c r="N117" s="430">
        <v>92</v>
      </c>
      <c r="O117" s="430">
        <v>98850</v>
      </c>
      <c r="P117" s="416">
        <v>0</v>
      </c>
      <c r="Q117" s="416">
        <v>0</v>
      </c>
      <c r="R117" s="416">
        <v>0</v>
      </c>
      <c r="S117" s="416">
        <v>0</v>
      </c>
      <c r="T117" s="416"/>
      <c r="U117" s="416"/>
      <c r="V117" s="416">
        <f>_xlfn.IFNA(VLOOKUP(A117,[3]進出口值表查詢結果!$C$11:$F$68,4,0),-[4]整車!$B$22)</f>
        <v>22</v>
      </c>
      <c r="W117" s="416">
        <f>_xlfn.IFNA(VLOOKUP(A117,[3]進出口值表查詢結果!$C$11:$F$68,3,0),-[4]整車!$B$22)</f>
        <v>28492</v>
      </c>
      <c r="X117" s="416">
        <f>_xlfn.IFNA(VLOOKUP(A117,[5]進出口值表查詢結果!$C$11:$F$68,4,0),-[4]整車!$B$22)</f>
        <v>0</v>
      </c>
      <c r="Y117" s="416">
        <f>_xlfn.IFNA(VLOOKUP(A117,[5]進出口值表查詢結果!$C$11:$F$68,3,0),-[4]整車!$B$22)</f>
        <v>0</v>
      </c>
      <c r="Z117" s="410">
        <f t="shared" si="22"/>
        <v>205</v>
      </c>
      <c r="AA117" s="410">
        <f t="shared" si="23"/>
        <v>232707</v>
      </c>
    </row>
    <row r="118" spans="1:27">
      <c r="A118" s="453" t="s">
        <v>310</v>
      </c>
      <c r="B118" s="416"/>
      <c r="C118" s="416"/>
      <c r="D118" s="416"/>
      <c r="E118" s="416"/>
      <c r="F118" s="416">
        <v>0</v>
      </c>
      <c r="G118" s="416"/>
      <c r="H118" s="416">
        <v>0</v>
      </c>
      <c r="I118" s="416">
        <v>0</v>
      </c>
      <c r="J118" s="417" t="s">
        <v>60</v>
      </c>
      <c r="K118" s="420" t="s">
        <v>60</v>
      </c>
      <c r="L118" s="416">
        <v>0</v>
      </c>
      <c r="M118" s="416">
        <v>0</v>
      </c>
      <c r="N118" s="416">
        <v>0</v>
      </c>
      <c r="O118" s="416">
        <v>0</v>
      </c>
      <c r="P118" s="416">
        <v>0</v>
      </c>
      <c r="Q118" s="416">
        <v>0</v>
      </c>
      <c r="R118" s="416">
        <v>4</v>
      </c>
      <c r="S118" s="416">
        <v>4008</v>
      </c>
      <c r="T118" s="416"/>
      <c r="U118" s="416"/>
      <c r="V118" s="416">
        <f>_xlfn.IFNA(VLOOKUP(A118,[3]進出口值表查詢結果!$C$11:$F$68,4,0),-[4]整車!$B$22)</f>
        <v>0</v>
      </c>
      <c r="W118" s="416">
        <f>_xlfn.IFNA(VLOOKUP(A118,[3]進出口值表查詢結果!$C$11:$F$68,3,0),-[4]整車!$B$22)</f>
        <v>0</v>
      </c>
      <c r="X118" s="416">
        <f>_xlfn.IFNA(VLOOKUP(A118,[5]進出口值表查詢結果!$C$11:$F$68,4,0),-[4]整車!$B$22)</f>
        <v>0</v>
      </c>
      <c r="Y118" s="416">
        <f>_xlfn.IFNA(VLOOKUP(A118,[5]進出口值表查詢結果!$C$11:$F$68,3,0),-[4]整車!$B$22)</f>
        <v>0</v>
      </c>
      <c r="Z118" s="410">
        <f t="shared" si="22"/>
        <v>4</v>
      </c>
      <c r="AA118" s="410">
        <f t="shared" si="23"/>
        <v>4008</v>
      </c>
    </row>
    <row r="119" spans="1:27">
      <c r="A119" s="453" t="s">
        <v>311</v>
      </c>
      <c r="B119" s="416"/>
      <c r="C119" s="416"/>
      <c r="D119" s="416"/>
      <c r="E119" s="416"/>
      <c r="F119" s="416">
        <v>0</v>
      </c>
      <c r="G119" s="416"/>
      <c r="H119" s="416">
        <v>0</v>
      </c>
      <c r="I119" s="416">
        <v>0</v>
      </c>
      <c r="J119" s="417" t="s">
        <v>60</v>
      </c>
      <c r="K119" s="420" t="s">
        <v>60</v>
      </c>
      <c r="L119" s="416">
        <v>0</v>
      </c>
      <c r="M119" s="416">
        <v>0</v>
      </c>
      <c r="N119" s="416">
        <v>0</v>
      </c>
      <c r="O119" s="416">
        <v>0</v>
      </c>
      <c r="P119" s="416">
        <v>0</v>
      </c>
      <c r="Q119" s="416">
        <v>0</v>
      </c>
      <c r="R119" s="416">
        <v>0</v>
      </c>
      <c r="S119" s="416">
        <v>0</v>
      </c>
      <c r="T119" s="416"/>
      <c r="U119" s="416"/>
      <c r="V119" s="416">
        <f>_xlfn.IFNA(VLOOKUP(A119,[3]進出口值表查詢結果!$C$11:$F$68,4,0),-[4]整車!$B$22)</f>
        <v>0</v>
      </c>
      <c r="W119" s="416">
        <f>_xlfn.IFNA(VLOOKUP(A119,[3]進出口值表查詢結果!$C$11:$F$68,3,0),-[4]整車!$B$22)</f>
        <v>0</v>
      </c>
      <c r="X119" s="416">
        <f>_xlfn.IFNA(VLOOKUP(A119,[5]進出口值表查詢結果!$C$11:$F$68,4,0),-[4]整車!$B$22)</f>
        <v>0</v>
      </c>
      <c r="Y119" s="416">
        <f>_xlfn.IFNA(VLOOKUP(A119,[5]進出口值表查詢結果!$C$11:$F$68,3,0),-[4]整車!$B$22)</f>
        <v>0</v>
      </c>
      <c r="Z119" s="410">
        <f t="shared" si="22"/>
        <v>0</v>
      </c>
      <c r="AA119" s="410">
        <f t="shared" si="23"/>
        <v>0</v>
      </c>
    </row>
    <row r="120" spans="1:27">
      <c r="A120" s="453" t="s">
        <v>396</v>
      </c>
      <c r="B120" s="416">
        <v>30</v>
      </c>
      <c r="C120" s="416">
        <v>47684</v>
      </c>
      <c r="D120" s="416">
        <v>18</v>
      </c>
      <c r="E120" s="416">
        <v>21652</v>
      </c>
      <c r="F120" s="416">
        <v>40</v>
      </c>
      <c r="G120" s="416">
        <v>80054</v>
      </c>
      <c r="H120" s="416">
        <v>31</v>
      </c>
      <c r="I120" s="416">
        <v>62073</v>
      </c>
      <c r="J120" s="417" t="s">
        <v>60</v>
      </c>
      <c r="K120" s="420" t="s">
        <v>60</v>
      </c>
      <c r="L120" s="416">
        <v>93</v>
      </c>
      <c r="M120" s="416">
        <v>149531</v>
      </c>
      <c r="N120" s="430">
        <v>44</v>
      </c>
      <c r="O120" s="430">
        <v>69675</v>
      </c>
      <c r="P120" s="416">
        <v>115</v>
      </c>
      <c r="Q120" s="416">
        <v>177702</v>
      </c>
      <c r="R120" s="416">
        <v>11</v>
      </c>
      <c r="S120" s="416">
        <v>29144</v>
      </c>
      <c r="T120" s="416">
        <v>86</v>
      </c>
      <c r="U120" s="416">
        <v>116179</v>
      </c>
      <c r="V120" s="416">
        <f>_xlfn.IFNA(VLOOKUP(A120,[3]進出口值表查詢結果!$C$11:$F$68,4,0),-[4]整車!$B$22)</f>
        <v>1</v>
      </c>
      <c r="W120" s="416">
        <f>_xlfn.IFNA(VLOOKUP(A120,[3]進出口值表查詢結果!$C$11:$F$68,3,0),-[4]整車!$B$22)</f>
        <v>3605</v>
      </c>
      <c r="X120" s="416">
        <f>_xlfn.IFNA(VLOOKUP(A120,[5]進出口值表查詢結果!$C$11:$F$68,4,0),-[4]整車!$B$22)</f>
        <v>246</v>
      </c>
      <c r="Y120" s="416">
        <f>_xlfn.IFNA(VLOOKUP(A120,[5]進出口值表查詢結果!$C$11:$F$68,3,0),-[4]整車!$B$22)</f>
        <v>224562</v>
      </c>
      <c r="Z120" s="410">
        <f t="shared" si="22"/>
        <v>715</v>
      </c>
      <c r="AA120" s="410">
        <f t="shared" si="23"/>
        <v>981861</v>
      </c>
    </row>
    <row r="121" spans="1:27">
      <c r="A121" s="453" t="s">
        <v>312</v>
      </c>
      <c r="B121" s="416"/>
      <c r="C121" s="416"/>
      <c r="D121" s="416"/>
      <c r="E121" s="416"/>
      <c r="F121" s="416">
        <v>0</v>
      </c>
      <c r="G121" s="416"/>
      <c r="H121" s="416">
        <v>0</v>
      </c>
      <c r="I121" s="416">
        <v>0</v>
      </c>
      <c r="J121" s="417" t="s">
        <v>60</v>
      </c>
      <c r="K121" s="420" t="s">
        <v>60</v>
      </c>
      <c r="L121" s="416">
        <v>0</v>
      </c>
      <c r="M121" s="416">
        <v>0</v>
      </c>
      <c r="N121" s="416">
        <v>0</v>
      </c>
      <c r="O121" s="416">
        <v>0</v>
      </c>
      <c r="P121" s="416">
        <v>0</v>
      </c>
      <c r="Q121" s="416">
        <v>0</v>
      </c>
      <c r="R121" s="416">
        <v>0</v>
      </c>
      <c r="S121" s="416">
        <v>0</v>
      </c>
      <c r="T121" s="416"/>
      <c r="U121" s="416"/>
      <c r="V121" s="416">
        <f>_xlfn.IFNA(VLOOKUP(A121,[3]進出口值表查詢結果!$C$11:$F$68,4,0),-[4]整車!$B$22)</f>
        <v>0</v>
      </c>
      <c r="W121" s="416">
        <f>_xlfn.IFNA(VLOOKUP(A121,[3]進出口值表查詢結果!$C$11:$F$68,3,0),-[4]整車!$B$22)</f>
        <v>0</v>
      </c>
      <c r="X121" s="416">
        <f>_xlfn.IFNA(VLOOKUP(A121,[5]進出口值表查詢結果!$C$11:$F$68,4,0),-[4]整車!$B$22)</f>
        <v>0</v>
      </c>
      <c r="Y121" s="416">
        <f>_xlfn.IFNA(VLOOKUP(A121,[5]進出口值表查詢結果!$C$11:$F$68,3,0),-[4]整車!$B$22)</f>
        <v>0</v>
      </c>
      <c r="Z121" s="410">
        <f t="shared" si="22"/>
        <v>0</v>
      </c>
      <c r="AA121" s="410">
        <f t="shared" si="23"/>
        <v>0</v>
      </c>
    </row>
    <row r="122" spans="1:27">
      <c r="A122" s="453" t="s">
        <v>313</v>
      </c>
      <c r="B122" s="416"/>
      <c r="C122" s="416"/>
      <c r="D122" s="416"/>
      <c r="E122" s="416"/>
      <c r="F122" s="416">
        <v>0</v>
      </c>
      <c r="G122" s="416"/>
      <c r="H122" s="416">
        <v>0</v>
      </c>
      <c r="I122" s="416">
        <v>0</v>
      </c>
      <c r="J122" s="417" t="s">
        <v>60</v>
      </c>
      <c r="K122" s="420" t="s">
        <v>60</v>
      </c>
      <c r="L122" s="416">
        <v>0</v>
      </c>
      <c r="M122" s="416">
        <v>0</v>
      </c>
      <c r="N122" s="416">
        <v>0</v>
      </c>
      <c r="O122" s="416">
        <v>0</v>
      </c>
      <c r="P122" s="416">
        <v>0</v>
      </c>
      <c r="Q122" s="416">
        <v>0</v>
      </c>
      <c r="R122" s="416">
        <v>0</v>
      </c>
      <c r="S122" s="416">
        <v>0</v>
      </c>
      <c r="T122" s="416"/>
      <c r="U122" s="416"/>
      <c r="V122" s="416">
        <f>_xlfn.IFNA(VLOOKUP(A122,[3]進出口值表查詢結果!$C$11:$F$68,4,0),-[4]整車!$B$22)</f>
        <v>0</v>
      </c>
      <c r="W122" s="416">
        <f>_xlfn.IFNA(VLOOKUP(A122,[3]進出口值表查詢結果!$C$11:$F$68,3,0),-[4]整車!$B$22)</f>
        <v>0</v>
      </c>
      <c r="X122" s="416">
        <f>_xlfn.IFNA(VLOOKUP(A122,[5]進出口值表查詢結果!$C$11:$F$68,4,0),-[4]整車!$B$22)</f>
        <v>0</v>
      </c>
      <c r="Y122" s="416">
        <f>_xlfn.IFNA(VLOOKUP(A122,[5]進出口值表查詢結果!$C$11:$F$68,3,0),-[4]整車!$B$22)</f>
        <v>0</v>
      </c>
      <c r="Z122" s="410">
        <f t="shared" si="22"/>
        <v>0</v>
      </c>
      <c r="AA122" s="410">
        <f t="shared" si="23"/>
        <v>0</v>
      </c>
    </row>
    <row r="123" spans="1:27">
      <c r="A123" s="453" t="s">
        <v>314</v>
      </c>
      <c r="B123" s="416"/>
      <c r="C123" s="416"/>
      <c r="D123" s="416"/>
      <c r="E123" s="416"/>
      <c r="F123" s="416">
        <v>0</v>
      </c>
      <c r="G123" s="416"/>
      <c r="H123" s="416">
        <v>0</v>
      </c>
      <c r="I123" s="416">
        <v>0</v>
      </c>
      <c r="J123" s="417" t="s">
        <v>60</v>
      </c>
      <c r="K123" s="420" t="s">
        <v>60</v>
      </c>
      <c r="L123" s="416">
        <v>0</v>
      </c>
      <c r="M123" s="416">
        <v>0</v>
      </c>
      <c r="N123" s="416">
        <v>0</v>
      </c>
      <c r="O123" s="416">
        <v>0</v>
      </c>
      <c r="P123" s="416">
        <v>0</v>
      </c>
      <c r="Q123" s="416">
        <v>0</v>
      </c>
      <c r="R123" s="416">
        <v>0</v>
      </c>
      <c r="S123" s="416">
        <v>0</v>
      </c>
      <c r="T123" s="416"/>
      <c r="U123" s="416"/>
      <c r="V123" s="416">
        <f>_xlfn.IFNA(VLOOKUP(A123,[3]進出口值表查詢結果!$C$11:$F$68,4,0),-[4]整車!$B$22)</f>
        <v>0</v>
      </c>
      <c r="W123" s="416">
        <f>_xlfn.IFNA(VLOOKUP(A123,[3]進出口值表查詢結果!$C$11:$F$68,3,0),-[4]整車!$B$22)</f>
        <v>0</v>
      </c>
      <c r="X123" s="416">
        <f>_xlfn.IFNA(VLOOKUP(A123,[5]進出口值表查詢結果!$C$11:$F$68,4,0),-[4]整車!$B$22)</f>
        <v>0</v>
      </c>
      <c r="Y123" s="416">
        <f>_xlfn.IFNA(VLOOKUP(A123,[5]進出口值表查詢結果!$C$11:$F$68,3,0),-[4]整車!$B$22)</f>
        <v>0</v>
      </c>
      <c r="Z123" s="410">
        <f t="shared" si="22"/>
        <v>0</v>
      </c>
      <c r="AA123" s="410">
        <f t="shared" si="23"/>
        <v>0</v>
      </c>
    </row>
    <row r="124" spans="1:27">
      <c r="A124" s="453" t="s">
        <v>315</v>
      </c>
      <c r="B124" s="416"/>
      <c r="C124" s="416"/>
      <c r="D124" s="416"/>
      <c r="E124" s="416"/>
      <c r="F124" s="416">
        <v>0</v>
      </c>
      <c r="G124" s="416"/>
      <c r="H124" s="416">
        <v>0</v>
      </c>
      <c r="I124" s="416">
        <v>0</v>
      </c>
      <c r="J124" s="417" t="s">
        <v>60</v>
      </c>
      <c r="K124" s="420" t="s">
        <v>60</v>
      </c>
      <c r="L124" s="416">
        <v>0</v>
      </c>
      <c r="M124" s="416">
        <v>0</v>
      </c>
      <c r="N124" s="416">
        <v>0</v>
      </c>
      <c r="O124" s="416">
        <v>0</v>
      </c>
      <c r="P124" s="416">
        <v>0</v>
      </c>
      <c r="Q124" s="416">
        <v>0</v>
      </c>
      <c r="R124" s="416">
        <v>0</v>
      </c>
      <c r="S124" s="416">
        <v>0</v>
      </c>
      <c r="T124" s="416"/>
      <c r="U124" s="416"/>
      <c r="V124" s="416">
        <f>_xlfn.IFNA(VLOOKUP(A124,[3]進出口值表查詢結果!$C$11:$F$68,4,0),-[4]整車!$B$22)</f>
        <v>0</v>
      </c>
      <c r="W124" s="416">
        <f>_xlfn.IFNA(VLOOKUP(A124,[3]進出口值表查詢結果!$C$11:$F$68,3,0),-[4]整車!$B$22)</f>
        <v>0</v>
      </c>
      <c r="X124" s="416">
        <f>_xlfn.IFNA(VLOOKUP(A124,[5]進出口值表查詢結果!$C$11:$F$68,4,0),-[4]整車!$B$22)</f>
        <v>0</v>
      </c>
      <c r="Y124" s="416">
        <f>_xlfn.IFNA(VLOOKUP(A124,[5]進出口值表查詢結果!$C$11:$F$68,3,0),-[4]整車!$B$22)</f>
        <v>0</v>
      </c>
      <c r="Z124" s="410">
        <f t="shared" si="22"/>
        <v>0</v>
      </c>
      <c r="AA124" s="410">
        <f t="shared" si="23"/>
        <v>0</v>
      </c>
    </row>
    <row r="125" spans="1:27">
      <c r="A125" s="453" t="s">
        <v>316</v>
      </c>
      <c r="B125" s="416"/>
      <c r="C125" s="416"/>
      <c r="D125" s="416"/>
      <c r="E125" s="416"/>
      <c r="F125" s="416">
        <v>0</v>
      </c>
      <c r="G125" s="416"/>
      <c r="H125" s="416">
        <v>0</v>
      </c>
      <c r="I125" s="416">
        <v>0</v>
      </c>
      <c r="J125" s="417" t="s">
        <v>60</v>
      </c>
      <c r="K125" s="420" t="s">
        <v>60</v>
      </c>
      <c r="L125" s="416">
        <v>0</v>
      </c>
      <c r="M125" s="416">
        <v>0</v>
      </c>
      <c r="N125" s="416">
        <v>0</v>
      </c>
      <c r="O125" s="416">
        <v>0</v>
      </c>
      <c r="P125" s="416">
        <v>0</v>
      </c>
      <c r="Q125" s="416">
        <v>0</v>
      </c>
      <c r="R125" s="416">
        <v>0</v>
      </c>
      <c r="S125" s="416">
        <v>0</v>
      </c>
      <c r="T125" s="416"/>
      <c r="U125" s="416"/>
      <c r="V125" s="416">
        <f>_xlfn.IFNA(VLOOKUP(A125,[3]進出口值表查詢結果!$C$11:$F$68,4,0),-[4]整車!$B$22)</f>
        <v>0</v>
      </c>
      <c r="W125" s="416">
        <f>_xlfn.IFNA(VLOOKUP(A125,[3]進出口值表查詢結果!$C$11:$F$68,3,0),-[4]整車!$B$22)</f>
        <v>0</v>
      </c>
      <c r="X125" s="416">
        <f>_xlfn.IFNA(VLOOKUP(A125,[5]進出口值表查詢結果!$C$11:$F$68,4,0),-[4]整車!$B$22)</f>
        <v>0</v>
      </c>
      <c r="Y125" s="416">
        <f>_xlfn.IFNA(VLOOKUP(A125,[5]進出口值表查詢結果!$C$11:$F$68,3,0),-[4]整車!$B$22)</f>
        <v>0</v>
      </c>
      <c r="Z125" s="410">
        <f t="shared" si="22"/>
        <v>0</v>
      </c>
      <c r="AA125" s="410">
        <f t="shared" si="23"/>
        <v>0</v>
      </c>
    </row>
    <row r="126" spans="1:27">
      <c r="A126" s="453" t="s">
        <v>193</v>
      </c>
      <c r="B126" s="416"/>
      <c r="C126" s="416"/>
      <c r="D126" s="416"/>
      <c r="E126" s="416"/>
      <c r="F126" s="416">
        <v>0</v>
      </c>
      <c r="G126" s="416"/>
      <c r="H126" s="416">
        <v>0</v>
      </c>
      <c r="I126" s="416">
        <v>0</v>
      </c>
      <c r="J126" s="417" t="s">
        <v>60</v>
      </c>
      <c r="K126" s="420" t="s">
        <v>60</v>
      </c>
      <c r="L126" s="416">
        <v>0</v>
      </c>
      <c r="M126" s="416">
        <v>0</v>
      </c>
      <c r="N126" s="416">
        <v>0</v>
      </c>
      <c r="O126" s="416">
        <v>0</v>
      </c>
      <c r="P126" s="416">
        <v>0</v>
      </c>
      <c r="Q126" s="416">
        <v>0</v>
      </c>
      <c r="R126" s="416">
        <v>0</v>
      </c>
      <c r="S126" s="416">
        <v>0</v>
      </c>
      <c r="T126" s="416"/>
      <c r="U126" s="416"/>
      <c r="V126" s="416">
        <f>_xlfn.IFNA(VLOOKUP(A126,[3]進出口值表查詢結果!$C$11:$F$68,4,0),-[4]整車!$B$22)</f>
        <v>0</v>
      </c>
      <c r="W126" s="416">
        <f>_xlfn.IFNA(VLOOKUP(A126,[3]進出口值表查詢結果!$C$11:$F$68,3,0),-[4]整車!$B$22)</f>
        <v>0</v>
      </c>
      <c r="X126" s="416">
        <f>_xlfn.IFNA(VLOOKUP(A126,[5]進出口值表查詢結果!$C$11:$F$68,4,0),-[4]整車!$B$22)</f>
        <v>0</v>
      </c>
      <c r="Y126" s="416">
        <f>_xlfn.IFNA(VLOOKUP(A126,[5]進出口值表查詢結果!$C$11:$F$68,3,0),-[4]整車!$B$22)</f>
        <v>0</v>
      </c>
      <c r="Z126" s="410">
        <f t="shared" si="22"/>
        <v>0</v>
      </c>
      <c r="AA126" s="410">
        <f t="shared" si="23"/>
        <v>0</v>
      </c>
    </row>
    <row r="127" spans="1:27">
      <c r="A127" s="453" t="s">
        <v>317</v>
      </c>
      <c r="B127" s="416">
        <v>111</v>
      </c>
      <c r="C127" s="416">
        <v>54549</v>
      </c>
      <c r="D127" s="416">
        <v>92</v>
      </c>
      <c r="E127" s="416">
        <v>90640</v>
      </c>
      <c r="F127" s="416">
        <v>82</v>
      </c>
      <c r="G127" s="416">
        <v>150017</v>
      </c>
      <c r="H127" s="416">
        <v>0</v>
      </c>
      <c r="I127" s="416">
        <v>0</v>
      </c>
      <c r="J127" s="417">
        <v>84</v>
      </c>
      <c r="K127" s="418">
        <v>97060</v>
      </c>
      <c r="L127" s="416">
        <v>0</v>
      </c>
      <c r="M127" s="416">
        <v>0</v>
      </c>
      <c r="N127" s="430">
        <v>68</v>
      </c>
      <c r="O127" s="430">
        <v>99493</v>
      </c>
      <c r="P127" s="416">
        <v>0</v>
      </c>
      <c r="Q127" s="416">
        <v>0</v>
      </c>
      <c r="R127" s="416">
        <v>0</v>
      </c>
      <c r="S127" s="416">
        <v>0</v>
      </c>
      <c r="T127" s="416">
        <v>65</v>
      </c>
      <c r="U127" s="416">
        <v>92599</v>
      </c>
      <c r="V127" s="416">
        <f>_xlfn.IFNA(VLOOKUP(A127,[3]進出口值表查詢結果!$C$11:$F$68,4,0),-[4]整車!$B$22)</f>
        <v>0</v>
      </c>
      <c r="W127" s="416">
        <f>_xlfn.IFNA(VLOOKUP(A127,[3]進出口值表查詢結果!$C$11:$F$68,3,0),-[4]整車!$B$22)</f>
        <v>0</v>
      </c>
      <c r="X127" s="416">
        <f>_xlfn.IFNA(VLOOKUP(A127,[5]進出口值表查詢結果!$C$11:$F$68,4,0),-[4]整車!$B$22)</f>
        <v>184</v>
      </c>
      <c r="Y127" s="416">
        <f>_xlfn.IFNA(VLOOKUP(A127,[5]進出口值表查詢結果!$C$11:$F$68,3,0),-[4]整車!$B$22)</f>
        <v>163785</v>
      </c>
      <c r="Z127" s="410">
        <f t="shared" si="22"/>
        <v>686</v>
      </c>
      <c r="AA127" s="410">
        <f t="shared" si="23"/>
        <v>748143</v>
      </c>
    </row>
    <row r="128" spans="1:27">
      <c r="A128" s="453" t="s">
        <v>318</v>
      </c>
      <c r="B128" s="416"/>
      <c r="C128" s="416"/>
      <c r="D128" s="416"/>
      <c r="E128" s="416"/>
      <c r="F128" s="416">
        <v>0</v>
      </c>
      <c r="G128" s="416"/>
      <c r="H128" s="416">
        <v>0</v>
      </c>
      <c r="I128" s="416">
        <v>0</v>
      </c>
      <c r="J128" s="417" t="s">
        <v>60</v>
      </c>
      <c r="K128" s="420" t="s">
        <v>60</v>
      </c>
      <c r="L128" s="416">
        <v>0</v>
      </c>
      <c r="M128" s="416">
        <v>0</v>
      </c>
      <c r="N128" s="416">
        <v>0</v>
      </c>
      <c r="O128" s="416">
        <v>0</v>
      </c>
      <c r="P128" s="416">
        <v>0</v>
      </c>
      <c r="Q128" s="416">
        <v>0</v>
      </c>
      <c r="R128" s="416">
        <v>0</v>
      </c>
      <c r="S128" s="416">
        <v>0</v>
      </c>
      <c r="T128" s="416"/>
      <c r="U128" s="416"/>
      <c r="V128" s="416">
        <f>_xlfn.IFNA(VLOOKUP(A128,[3]進出口值表查詢結果!$C$11:$F$68,4,0),-[4]整車!$B$22)</f>
        <v>0</v>
      </c>
      <c r="W128" s="416">
        <f>_xlfn.IFNA(VLOOKUP(A128,[3]進出口值表查詢結果!$C$11:$F$68,3,0),-[4]整車!$B$22)</f>
        <v>0</v>
      </c>
      <c r="X128" s="416">
        <f>_xlfn.IFNA(VLOOKUP(A128,[5]進出口值表查詢結果!$C$11:$F$68,4,0),-[4]整車!$B$22)</f>
        <v>0</v>
      </c>
      <c r="Y128" s="416">
        <f>_xlfn.IFNA(VLOOKUP(A128,[5]進出口值表查詢結果!$C$11:$F$68,3,0),-[4]整車!$B$22)</f>
        <v>0</v>
      </c>
      <c r="Z128" s="410">
        <f t="shared" si="22"/>
        <v>0</v>
      </c>
      <c r="AA128" s="410">
        <f t="shared" si="23"/>
        <v>0</v>
      </c>
    </row>
    <row r="129" spans="1:27">
      <c r="A129" s="453" t="s">
        <v>319</v>
      </c>
      <c r="B129" s="416"/>
      <c r="C129" s="416"/>
      <c r="D129" s="416"/>
      <c r="E129" s="416"/>
      <c r="F129" s="416">
        <v>0</v>
      </c>
      <c r="G129" s="416"/>
      <c r="H129" s="416">
        <v>0</v>
      </c>
      <c r="I129" s="416">
        <v>0</v>
      </c>
      <c r="J129" s="417" t="s">
        <v>60</v>
      </c>
      <c r="K129" s="420" t="s">
        <v>60</v>
      </c>
      <c r="L129" s="416">
        <v>0</v>
      </c>
      <c r="M129" s="416">
        <v>0</v>
      </c>
      <c r="N129" s="416">
        <v>0</v>
      </c>
      <c r="O129" s="416">
        <v>0</v>
      </c>
      <c r="P129" s="416">
        <v>0</v>
      </c>
      <c r="Q129" s="416">
        <v>0</v>
      </c>
      <c r="R129" s="416">
        <v>0</v>
      </c>
      <c r="S129" s="416">
        <v>0</v>
      </c>
      <c r="T129" s="416"/>
      <c r="U129" s="416"/>
      <c r="V129" s="416">
        <f>_xlfn.IFNA(VLOOKUP(A129,[3]進出口值表查詢結果!$C$11:$F$68,4,0),-[4]整車!$B$22)</f>
        <v>0</v>
      </c>
      <c r="W129" s="416">
        <f>_xlfn.IFNA(VLOOKUP(A129,[3]進出口值表查詢結果!$C$11:$F$68,3,0),-[4]整車!$B$22)</f>
        <v>0</v>
      </c>
      <c r="X129" s="416">
        <f>_xlfn.IFNA(VLOOKUP(A129,[5]進出口值表查詢結果!$C$11:$F$68,4,0),-[4]整車!$B$22)</f>
        <v>0</v>
      </c>
      <c r="Y129" s="416">
        <f>_xlfn.IFNA(VLOOKUP(A129,[5]進出口值表查詢結果!$C$11:$F$68,3,0),-[4]整車!$B$22)</f>
        <v>0</v>
      </c>
      <c r="Z129" s="410">
        <f t="shared" si="22"/>
        <v>0</v>
      </c>
      <c r="AA129" s="410">
        <f t="shared" si="23"/>
        <v>0</v>
      </c>
    </row>
    <row r="130" spans="1:27">
      <c r="A130" s="415" t="s">
        <v>320</v>
      </c>
      <c r="B130" s="416"/>
      <c r="C130" s="416"/>
      <c r="D130" s="416"/>
      <c r="E130" s="416"/>
      <c r="F130" s="416">
        <v>0</v>
      </c>
      <c r="G130" s="416"/>
      <c r="H130" s="416">
        <v>0</v>
      </c>
      <c r="I130" s="416">
        <v>0</v>
      </c>
      <c r="J130" s="417" t="s">
        <v>60</v>
      </c>
      <c r="K130" s="420" t="s">
        <v>60</v>
      </c>
      <c r="L130" s="416">
        <v>0</v>
      </c>
      <c r="M130" s="416">
        <v>0</v>
      </c>
      <c r="N130" s="416">
        <v>0</v>
      </c>
      <c r="O130" s="416">
        <v>0</v>
      </c>
      <c r="P130" s="416">
        <v>0</v>
      </c>
      <c r="Q130" s="416">
        <v>0</v>
      </c>
      <c r="R130" s="416">
        <v>0</v>
      </c>
      <c r="S130" s="416">
        <v>0</v>
      </c>
      <c r="T130" s="416"/>
      <c r="U130" s="416"/>
      <c r="V130" s="416">
        <f>_xlfn.IFNA(VLOOKUP(A130,[3]進出口值表查詢結果!$C$11:$F$68,4,0),-[4]整車!$B$22)</f>
        <v>0</v>
      </c>
      <c r="W130" s="416">
        <f>_xlfn.IFNA(VLOOKUP(A130,[3]進出口值表查詢結果!$C$11:$F$68,3,0),-[4]整車!$B$22)</f>
        <v>0</v>
      </c>
      <c r="X130" s="416">
        <f>_xlfn.IFNA(VLOOKUP(A130,[5]進出口值表查詢結果!$C$11:$F$68,4,0),-[4]整車!$B$22)</f>
        <v>0</v>
      </c>
      <c r="Y130" s="416">
        <f>_xlfn.IFNA(VLOOKUP(A130,[5]進出口值表查詢結果!$C$11:$F$68,3,0),-[4]整車!$B$22)</f>
        <v>0</v>
      </c>
      <c r="Z130" s="410">
        <f t="shared" si="22"/>
        <v>0</v>
      </c>
      <c r="AA130" s="410">
        <f t="shared" si="23"/>
        <v>0</v>
      </c>
    </row>
    <row r="131" spans="1:27">
      <c r="A131" s="453" t="s">
        <v>321</v>
      </c>
      <c r="B131" s="416"/>
      <c r="C131" s="416"/>
      <c r="D131" s="416"/>
      <c r="E131" s="416"/>
      <c r="F131" s="416">
        <v>0</v>
      </c>
      <c r="G131" s="416"/>
      <c r="H131" s="416">
        <v>0</v>
      </c>
      <c r="I131" s="416">
        <v>0</v>
      </c>
      <c r="J131" s="417" t="s">
        <v>60</v>
      </c>
      <c r="K131" s="420" t="s">
        <v>60</v>
      </c>
      <c r="L131" s="416">
        <v>0</v>
      </c>
      <c r="M131" s="416">
        <v>0</v>
      </c>
      <c r="N131" s="416">
        <v>0</v>
      </c>
      <c r="O131" s="416">
        <v>0</v>
      </c>
      <c r="P131" s="416">
        <v>0</v>
      </c>
      <c r="Q131" s="416">
        <v>0</v>
      </c>
      <c r="R131" s="416">
        <v>0</v>
      </c>
      <c r="S131" s="416">
        <v>0</v>
      </c>
      <c r="T131" s="416"/>
      <c r="U131" s="416"/>
      <c r="V131" s="416">
        <f>_xlfn.IFNA(VLOOKUP(A131,[3]進出口值表查詢結果!$C$11:$F$68,4,0),-[4]整車!$B$22)</f>
        <v>0</v>
      </c>
      <c r="W131" s="416">
        <f>_xlfn.IFNA(VLOOKUP(A131,[3]進出口值表查詢結果!$C$11:$F$68,3,0),-[4]整車!$B$22)</f>
        <v>0</v>
      </c>
      <c r="X131" s="416">
        <f>_xlfn.IFNA(VLOOKUP(A131,[5]進出口值表查詢結果!$C$11:$F$68,4,0),-[4]整車!$B$22)</f>
        <v>0</v>
      </c>
      <c r="Y131" s="416">
        <f>_xlfn.IFNA(VLOOKUP(A131,[5]進出口值表查詢結果!$C$11:$F$68,3,0),-[4]整車!$B$22)</f>
        <v>0</v>
      </c>
      <c r="Z131" s="410">
        <f t="shared" si="22"/>
        <v>0</v>
      </c>
      <c r="AA131" s="410">
        <f t="shared" si="23"/>
        <v>0</v>
      </c>
    </row>
    <row r="132" spans="1:27">
      <c r="A132" s="453" t="s">
        <v>322</v>
      </c>
      <c r="B132" s="416"/>
      <c r="C132" s="416"/>
      <c r="D132" s="416"/>
      <c r="E132" s="416"/>
      <c r="F132" s="416">
        <v>0</v>
      </c>
      <c r="G132" s="416"/>
      <c r="H132" s="416">
        <v>0</v>
      </c>
      <c r="I132" s="416">
        <v>0</v>
      </c>
      <c r="J132" s="417" t="s">
        <v>60</v>
      </c>
      <c r="K132" s="420" t="s">
        <v>60</v>
      </c>
      <c r="L132" s="416">
        <v>0</v>
      </c>
      <c r="M132" s="416">
        <v>0</v>
      </c>
      <c r="N132" s="416">
        <v>0</v>
      </c>
      <c r="O132" s="416">
        <v>0</v>
      </c>
      <c r="P132" s="416">
        <v>0</v>
      </c>
      <c r="Q132" s="416">
        <v>0</v>
      </c>
      <c r="R132" s="416">
        <v>0</v>
      </c>
      <c r="S132" s="416">
        <v>0</v>
      </c>
      <c r="T132" s="416"/>
      <c r="U132" s="416"/>
      <c r="V132" s="416">
        <f>_xlfn.IFNA(VLOOKUP(A132,[3]進出口值表查詢結果!$C$11:$F$68,4,0),-[4]整車!$B$22)</f>
        <v>0</v>
      </c>
      <c r="W132" s="416">
        <f>_xlfn.IFNA(VLOOKUP(A132,[3]進出口值表查詢結果!$C$11:$F$68,3,0),-[4]整車!$B$22)</f>
        <v>0</v>
      </c>
      <c r="X132" s="416">
        <f>_xlfn.IFNA(VLOOKUP(A132,[5]進出口值表查詢結果!$C$11:$F$68,4,0),-[4]整車!$B$22)</f>
        <v>0</v>
      </c>
      <c r="Y132" s="416">
        <f>_xlfn.IFNA(VLOOKUP(A132,[5]進出口值表查詢結果!$C$11:$F$68,3,0),-[4]整車!$B$22)</f>
        <v>0</v>
      </c>
      <c r="Z132" s="410">
        <f t="shared" si="22"/>
        <v>0</v>
      </c>
      <c r="AA132" s="410">
        <f t="shared" si="23"/>
        <v>0</v>
      </c>
    </row>
    <row r="133" spans="1:27">
      <c r="A133" s="453" t="s">
        <v>323</v>
      </c>
      <c r="B133" s="416"/>
      <c r="C133" s="416"/>
      <c r="D133" s="416"/>
      <c r="E133" s="416"/>
      <c r="F133" s="416">
        <v>0</v>
      </c>
      <c r="G133" s="416"/>
      <c r="H133" s="416">
        <v>0</v>
      </c>
      <c r="I133" s="416">
        <v>0</v>
      </c>
      <c r="J133" s="417" t="s">
        <v>60</v>
      </c>
      <c r="K133" s="420" t="s">
        <v>60</v>
      </c>
      <c r="L133" s="416">
        <v>0</v>
      </c>
      <c r="M133" s="416">
        <v>0</v>
      </c>
      <c r="N133" s="416">
        <v>0</v>
      </c>
      <c r="O133" s="416">
        <v>0</v>
      </c>
      <c r="P133" s="416">
        <v>0</v>
      </c>
      <c r="Q133" s="416">
        <v>0</v>
      </c>
      <c r="R133" s="416">
        <v>0</v>
      </c>
      <c r="S133" s="416">
        <v>0</v>
      </c>
      <c r="T133" s="416"/>
      <c r="U133" s="416"/>
      <c r="V133" s="416">
        <f>_xlfn.IFNA(VLOOKUP(A133,[3]進出口值表查詢結果!$C$11:$F$68,4,0),-[4]整車!$B$22)</f>
        <v>0</v>
      </c>
      <c r="W133" s="416">
        <f>_xlfn.IFNA(VLOOKUP(A133,[3]進出口值表查詢結果!$C$11:$F$68,3,0),-[4]整車!$B$22)</f>
        <v>0</v>
      </c>
      <c r="X133" s="416">
        <f>_xlfn.IFNA(VLOOKUP(A133,[5]進出口值表查詢結果!$C$11:$F$68,4,0),-[4]整車!$B$22)</f>
        <v>0</v>
      </c>
      <c r="Y133" s="416">
        <f>_xlfn.IFNA(VLOOKUP(A133,[5]進出口值表查詢結果!$C$11:$F$68,3,0),-[4]整車!$B$22)</f>
        <v>0</v>
      </c>
      <c r="Z133" s="410">
        <f t="shared" si="22"/>
        <v>0</v>
      </c>
      <c r="AA133" s="410">
        <f t="shared" si="23"/>
        <v>0</v>
      </c>
    </row>
    <row r="134" spans="1:27">
      <c r="A134" s="453" t="s">
        <v>324</v>
      </c>
      <c r="B134" s="416"/>
      <c r="C134" s="416"/>
      <c r="D134" s="416"/>
      <c r="E134" s="416"/>
      <c r="F134" s="416">
        <v>0</v>
      </c>
      <c r="G134" s="416"/>
      <c r="H134" s="416">
        <v>0</v>
      </c>
      <c r="I134" s="416">
        <v>0</v>
      </c>
      <c r="J134" s="417" t="s">
        <v>60</v>
      </c>
      <c r="K134" s="440" t="s">
        <v>60</v>
      </c>
      <c r="L134" s="416">
        <v>0</v>
      </c>
      <c r="M134" s="416">
        <v>0</v>
      </c>
      <c r="N134" s="416">
        <v>0</v>
      </c>
      <c r="O134" s="416">
        <v>0</v>
      </c>
      <c r="P134" s="416">
        <v>0</v>
      </c>
      <c r="Q134" s="416">
        <v>0</v>
      </c>
      <c r="R134" s="416">
        <v>0</v>
      </c>
      <c r="S134" s="416">
        <v>0</v>
      </c>
      <c r="T134" s="416"/>
      <c r="U134" s="416"/>
      <c r="V134" s="416">
        <f>_xlfn.IFNA(VLOOKUP(A134,[3]進出口值表查詢結果!$C$11:$F$68,4,0),-[4]整車!$B$22)</f>
        <v>0</v>
      </c>
      <c r="W134" s="416">
        <f>_xlfn.IFNA(VLOOKUP(A134,[3]進出口值表查詢結果!$C$11:$F$68,3,0),-[4]整車!$B$22)</f>
        <v>0</v>
      </c>
      <c r="X134" s="416">
        <f>_xlfn.IFNA(VLOOKUP(A134,[5]進出口值表查詢結果!$C$11:$F$68,4,0),-[4]整車!$B$22)</f>
        <v>0</v>
      </c>
      <c r="Y134" s="416">
        <f>_xlfn.IFNA(VLOOKUP(A134,[5]進出口值表查詢結果!$C$11:$F$68,3,0),-[4]整車!$B$22)</f>
        <v>0</v>
      </c>
      <c r="Z134" s="410">
        <f t="shared" si="22"/>
        <v>0</v>
      </c>
      <c r="AA134" s="410">
        <f t="shared" si="23"/>
        <v>0</v>
      </c>
    </row>
    <row r="135" spans="1:27">
      <c r="A135" s="419"/>
      <c r="B135" s="416"/>
      <c r="C135" s="416"/>
      <c r="D135" s="416"/>
      <c r="E135" s="416"/>
      <c r="F135" s="416"/>
      <c r="G135" s="416"/>
      <c r="H135" s="416"/>
      <c r="I135" s="416"/>
      <c r="J135" s="417"/>
      <c r="K135" s="418"/>
      <c r="L135" s="416"/>
      <c r="M135" s="416"/>
      <c r="N135" s="416"/>
      <c r="O135" s="416"/>
      <c r="P135" s="416"/>
      <c r="Q135" s="416"/>
      <c r="R135" s="416"/>
      <c r="S135" s="416"/>
      <c r="T135" s="416"/>
      <c r="U135" s="416"/>
      <c r="V135" s="416"/>
      <c r="W135" s="416"/>
      <c r="X135" s="416"/>
      <c r="Y135" s="416"/>
      <c r="Z135" s="410"/>
      <c r="AA135" s="410"/>
    </row>
    <row r="136" spans="1:27">
      <c r="A136" s="436" t="s">
        <v>145</v>
      </c>
      <c r="B136" s="437">
        <f t="shared" ref="B136:M136" si="24">SUM(B137:B150)</f>
        <v>391</v>
      </c>
      <c r="C136" s="437">
        <f t="shared" si="24"/>
        <v>601333</v>
      </c>
      <c r="D136" s="437">
        <f t="shared" si="24"/>
        <v>195</v>
      </c>
      <c r="E136" s="437">
        <f t="shared" si="24"/>
        <v>250399</v>
      </c>
      <c r="F136" s="437">
        <f t="shared" si="24"/>
        <v>714</v>
      </c>
      <c r="G136" s="437">
        <f t="shared" si="24"/>
        <v>599636</v>
      </c>
      <c r="H136" s="437">
        <f t="shared" si="24"/>
        <v>1024</v>
      </c>
      <c r="I136" s="437">
        <f t="shared" si="24"/>
        <v>190726</v>
      </c>
      <c r="J136" s="438">
        <f t="shared" si="24"/>
        <v>1213</v>
      </c>
      <c r="K136" s="439">
        <f t="shared" si="24"/>
        <v>446610</v>
      </c>
      <c r="L136" s="437">
        <f t="shared" si="24"/>
        <v>517</v>
      </c>
      <c r="M136" s="437">
        <f t="shared" si="24"/>
        <v>504422</v>
      </c>
      <c r="N136" s="437">
        <f>SUM(N137:N150)</f>
        <v>1680</v>
      </c>
      <c r="O136" s="437">
        <f>SUM(O137:O150)</f>
        <v>1034923</v>
      </c>
      <c r="P136" s="437">
        <f>SUM(P137:P149)</f>
        <v>1055</v>
      </c>
      <c r="Q136" s="437">
        <f>SUM(Q137:Q149)</f>
        <v>1060011</v>
      </c>
      <c r="R136" s="437">
        <f t="shared" ref="R136:Y136" si="25">SUM(R137:R150)</f>
        <v>1394</v>
      </c>
      <c r="S136" s="437">
        <f t="shared" si="25"/>
        <v>1001461</v>
      </c>
      <c r="T136" s="437">
        <f t="shared" si="25"/>
        <v>2073</v>
      </c>
      <c r="U136" s="437">
        <f t="shared" si="25"/>
        <v>1401961</v>
      </c>
      <c r="V136" s="437">
        <f>SUM(V137:V150)</f>
        <v>747</v>
      </c>
      <c r="W136" s="437">
        <f>SUM(W137:W150)</f>
        <v>547003</v>
      </c>
      <c r="X136" s="437">
        <f t="shared" si="25"/>
        <v>325</v>
      </c>
      <c r="Y136" s="437">
        <f t="shared" si="25"/>
        <v>457417</v>
      </c>
      <c r="Z136" s="423">
        <f t="shared" ref="Z136:Z167" si="26">SUM(B136,D136,F136,H136,J136,L136,N136,P136,R136,T136,V136,X136)</f>
        <v>11328</v>
      </c>
      <c r="AA136" s="423">
        <f t="shared" ref="AA136:AA167" si="27">SUM(C136,E136,G136,I136,K136,M136,O136,Q136,S136,U136,W136,Y136)</f>
        <v>8095902</v>
      </c>
    </row>
    <row r="137" spans="1:27">
      <c r="A137" s="458" t="s">
        <v>223</v>
      </c>
      <c r="B137" s="416">
        <v>7</v>
      </c>
      <c r="C137" s="416">
        <v>13229</v>
      </c>
      <c r="D137" s="416">
        <v>3</v>
      </c>
      <c r="E137" s="416">
        <v>2398</v>
      </c>
      <c r="F137" s="416">
        <v>74</v>
      </c>
      <c r="G137" s="416">
        <v>133887</v>
      </c>
      <c r="H137" s="416">
        <v>96</v>
      </c>
      <c r="I137" s="416">
        <v>168964</v>
      </c>
      <c r="J137" s="417"/>
      <c r="K137" s="418"/>
      <c r="L137" s="416">
        <v>198</v>
      </c>
      <c r="M137" s="416">
        <v>94268</v>
      </c>
      <c r="N137" s="416">
        <v>356</v>
      </c>
      <c r="O137" s="416">
        <v>453280</v>
      </c>
      <c r="P137" s="416">
        <v>591</v>
      </c>
      <c r="Q137" s="416">
        <v>597186</v>
      </c>
      <c r="R137" s="416">
        <v>397</v>
      </c>
      <c r="S137" s="416">
        <v>182473</v>
      </c>
      <c r="T137" s="416">
        <v>225</v>
      </c>
      <c r="U137" s="416">
        <v>224164</v>
      </c>
      <c r="V137" s="416">
        <f>_xlfn.IFNA(VLOOKUP(A137,[3]進出口值表查詢結果!$C$11:$F$68,4,0),-[4]整車!$B$22)</f>
        <v>121</v>
      </c>
      <c r="W137" s="416">
        <f>_xlfn.IFNA(VLOOKUP(A137,[3]進出口值表查詢結果!$C$11:$F$68,3,0),-[4]整車!$B$22)</f>
        <v>63501</v>
      </c>
      <c r="X137" s="416">
        <f>_xlfn.IFNA(VLOOKUP(A137,[5]進出口值表查詢結果!$C$11:$F$68,4,0),-[4]整車!$B$22)</f>
        <v>123</v>
      </c>
      <c r="Y137" s="416">
        <f>_xlfn.IFNA(VLOOKUP(A137,[5]進出口值表查詢結果!$C$11:$F$68,3,0),-[4]整車!$B$22)</f>
        <v>156263</v>
      </c>
      <c r="Z137" s="410">
        <f t="shared" si="26"/>
        <v>2191</v>
      </c>
      <c r="AA137" s="410">
        <f t="shared" si="27"/>
        <v>2089613</v>
      </c>
    </row>
    <row r="138" spans="1:27">
      <c r="A138" s="453" t="s">
        <v>167</v>
      </c>
      <c r="B138" s="416"/>
      <c r="C138" s="416"/>
      <c r="D138" s="416"/>
      <c r="E138" s="416"/>
      <c r="F138" s="416">
        <v>0</v>
      </c>
      <c r="G138" s="416"/>
      <c r="H138" s="416">
        <v>0</v>
      </c>
      <c r="I138" s="416">
        <v>0</v>
      </c>
      <c r="J138" s="417"/>
      <c r="K138" s="418"/>
      <c r="L138" s="416">
        <v>0</v>
      </c>
      <c r="M138" s="416">
        <v>0</v>
      </c>
      <c r="N138" s="416">
        <v>123</v>
      </c>
      <c r="O138" s="416">
        <v>61292</v>
      </c>
      <c r="P138" s="416">
        <v>0</v>
      </c>
      <c r="Q138" s="416">
        <v>0</v>
      </c>
      <c r="R138" s="416">
        <v>0</v>
      </c>
      <c r="S138" s="416">
        <v>0</v>
      </c>
      <c r="T138" s="416">
        <v>84</v>
      </c>
      <c r="U138" s="416">
        <v>105611</v>
      </c>
      <c r="V138" s="416">
        <f>_xlfn.IFNA(VLOOKUP(A138,[3]進出口值表查詢結果!$C$11:$F$68,4,0),-[4]整車!$B$22)</f>
        <v>68</v>
      </c>
      <c r="W138" s="416">
        <f>_xlfn.IFNA(VLOOKUP(A138,[3]進出口值表查詢結果!$C$11:$F$68,3,0),-[4]整車!$B$22)</f>
        <v>64056</v>
      </c>
      <c r="X138" s="416">
        <f>_xlfn.IFNA(VLOOKUP(A138,[5]進出口值表查詢結果!$C$11:$F$68,4,0),-[4]整車!$B$22)</f>
        <v>0</v>
      </c>
      <c r="Y138" s="416">
        <f>_xlfn.IFNA(VLOOKUP(A138,[5]進出口值表查詢結果!$C$11:$F$68,3,0),-[4]整車!$B$22)</f>
        <v>0</v>
      </c>
      <c r="Z138" s="410">
        <f t="shared" si="26"/>
        <v>275</v>
      </c>
      <c r="AA138" s="410">
        <f t="shared" si="27"/>
        <v>230959</v>
      </c>
    </row>
    <row r="139" spans="1:27">
      <c r="A139" s="453" t="s">
        <v>195</v>
      </c>
      <c r="B139" s="416">
        <v>280</v>
      </c>
      <c r="C139" s="416">
        <v>479573</v>
      </c>
      <c r="D139" s="416">
        <v>172</v>
      </c>
      <c r="E139" s="416">
        <v>228214</v>
      </c>
      <c r="F139" s="416">
        <v>600</v>
      </c>
      <c r="G139" s="416">
        <v>459244</v>
      </c>
      <c r="H139" s="416">
        <v>0</v>
      </c>
      <c r="I139" s="416">
        <v>0</v>
      </c>
      <c r="J139" s="417">
        <v>1213</v>
      </c>
      <c r="K139" s="418">
        <v>446610</v>
      </c>
      <c r="L139" s="416">
        <v>165</v>
      </c>
      <c r="M139" s="416">
        <v>220979</v>
      </c>
      <c r="N139" s="416">
        <v>339</v>
      </c>
      <c r="O139" s="416">
        <v>507640</v>
      </c>
      <c r="P139" s="416">
        <v>425</v>
      </c>
      <c r="Q139" s="416">
        <v>413046</v>
      </c>
      <c r="R139" s="416">
        <v>740</v>
      </c>
      <c r="S139" s="416">
        <v>667120</v>
      </c>
      <c r="T139" s="416">
        <v>1704</v>
      </c>
      <c r="U139" s="416">
        <v>1071291</v>
      </c>
      <c r="V139" s="416">
        <f>_xlfn.IFNA(VLOOKUP(A139,[3]進出口值表查詢結果!$C$11:$F$68,4,0),-[4]整車!$B$22)</f>
        <v>552</v>
      </c>
      <c r="W139" s="416">
        <f>_xlfn.IFNA(VLOOKUP(A139,[3]進出口值表查詢結果!$C$11:$F$68,3,0),-[4]整車!$B$22)</f>
        <v>411890</v>
      </c>
      <c r="X139" s="416">
        <f>_xlfn.IFNA(VLOOKUP(A139,[5]進出口值表查詢結果!$C$11:$F$68,4,0),-[4]整車!$B$22)</f>
        <v>108</v>
      </c>
      <c r="Y139" s="416">
        <f>_xlfn.IFNA(VLOOKUP(A139,[5]進出口值表查詢結果!$C$11:$F$68,3,0),-[4]整車!$B$22)</f>
        <v>192722</v>
      </c>
      <c r="Z139" s="410">
        <f t="shared" si="26"/>
        <v>6298</v>
      </c>
      <c r="AA139" s="410">
        <f t="shared" si="27"/>
        <v>5098329</v>
      </c>
    </row>
    <row r="140" spans="1:27">
      <c r="A140" s="453" t="s">
        <v>325</v>
      </c>
      <c r="B140" s="416"/>
      <c r="C140" s="416"/>
      <c r="D140" s="416"/>
      <c r="E140" s="416"/>
      <c r="F140" s="416">
        <v>0</v>
      </c>
      <c r="G140" s="416"/>
      <c r="H140" s="416">
        <v>0</v>
      </c>
      <c r="I140" s="416">
        <v>0</v>
      </c>
      <c r="J140" s="417"/>
      <c r="K140" s="418"/>
      <c r="L140" s="416">
        <v>0</v>
      </c>
      <c r="M140" s="416">
        <v>0</v>
      </c>
      <c r="N140" s="416">
        <v>0</v>
      </c>
      <c r="O140" s="416">
        <v>0</v>
      </c>
      <c r="P140" s="416">
        <v>0</v>
      </c>
      <c r="Q140" s="416">
        <v>0</v>
      </c>
      <c r="R140" s="416">
        <v>0</v>
      </c>
      <c r="S140" s="416">
        <v>0</v>
      </c>
      <c r="T140" s="416"/>
      <c r="U140" s="416"/>
      <c r="V140" s="416">
        <f>_xlfn.IFNA(VLOOKUP(A140,[3]進出口值表查詢結果!$C$11:$F$68,4,0),-[4]整車!$B$22)</f>
        <v>0</v>
      </c>
      <c r="W140" s="416">
        <f>_xlfn.IFNA(VLOOKUP(A140,[3]進出口值表查詢結果!$C$11:$F$68,3,0),-[4]整車!$B$22)</f>
        <v>0</v>
      </c>
      <c r="X140" s="416">
        <f>_xlfn.IFNA(VLOOKUP(A140,[5]進出口值表查詢結果!$C$11:$F$68,4,0),-[4]整車!$B$22)</f>
        <v>0</v>
      </c>
      <c r="Y140" s="416">
        <f>_xlfn.IFNA(VLOOKUP(A140,[5]進出口值表查詢結果!$C$11:$F$68,3,0),-[4]整車!$B$22)</f>
        <v>0</v>
      </c>
      <c r="Z140" s="410">
        <f t="shared" si="26"/>
        <v>0</v>
      </c>
      <c r="AA140" s="410">
        <f t="shared" si="27"/>
        <v>0</v>
      </c>
    </row>
    <row r="141" spans="1:27">
      <c r="A141" s="453" t="s">
        <v>326</v>
      </c>
      <c r="B141" s="416"/>
      <c r="C141" s="416"/>
      <c r="D141" s="416"/>
      <c r="E141" s="416"/>
      <c r="F141" s="416">
        <v>0</v>
      </c>
      <c r="G141" s="416"/>
      <c r="H141" s="416">
        <v>0</v>
      </c>
      <c r="I141" s="416">
        <v>0</v>
      </c>
      <c r="J141" s="417"/>
      <c r="K141" s="418"/>
      <c r="L141" s="416">
        <v>0</v>
      </c>
      <c r="M141" s="416">
        <v>0</v>
      </c>
      <c r="N141" s="416">
        <v>0</v>
      </c>
      <c r="O141" s="416">
        <v>0</v>
      </c>
      <c r="P141" s="416">
        <v>0</v>
      </c>
      <c r="Q141" s="416">
        <v>0</v>
      </c>
      <c r="R141" s="416">
        <v>0</v>
      </c>
      <c r="S141" s="416">
        <v>0</v>
      </c>
      <c r="T141" s="416"/>
      <c r="U141" s="416"/>
      <c r="V141" s="416">
        <f>_xlfn.IFNA(VLOOKUP(A141,[3]進出口值表查詢結果!$C$11:$F$68,4,0),-[4]整車!$B$22)</f>
        <v>0</v>
      </c>
      <c r="W141" s="416">
        <f>_xlfn.IFNA(VLOOKUP(A141,[3]進出口值表查詢結果!$C$11:$F$68,3,0),-[4]整車!$B$22)</f>
        <v>0</v>
      </c>
      <c r="X141" s="416">
        <f>_xlfn.IFNA(VLOOKUP(A141,[5]進出口值表查詢結果!$C$11:$F$68,4,0),-[4]整車!$B$22)</f>
        <v>0</v>
      </c>
      <c r="Y141" s="416">
        <f>_xlfn.IFNA(VLOOKUP(A141,[5]進出口值表查詢結果!$C$11:$F$68,3,0),-[4]整車!$B$22)</f>
        <v>0</v>
      </c>
      <c r="Z141" s="410">
        <f t="shared" si="26"/>
        <v>0</v>
      </c>
      <c r="AA141" s="410">
        <f t="shared" si="27"/>
        <v>0</v>
      </c>
    </row>
    <row r="142" spans="1:27">
      <c r="A142" s="453" t="s">
        <v>327</v>
      </c>
      <c r="B142" s="416">
        <v>77</v>
      </c>
      <c r="C142" s="416">
        <v>80740</v>
      </c>
      <c r="D142" s="416"/>
      <c r="E142" s="416"/>
      <c r="F142" s="416">
        <v>40</v>
      </c>
      <c r="G142" s="416">
        <v>6505</v>
      </c>
      <c r="H142" s="416">
        <v>0</v>
      </c>
      <c r="I142" s="416">
        <v>0</v>
      </c>
      <c r="J142" s="417"/>
      <c r="K142" s="418"/>
      <c r="L142" s="416">
        <v>101</v>
      </c>
      <c r="M142" s="416">
        <v>139946</v>
      </c>
      <c r="N142" s="416">
        <v>0</v>
      </c>
      <c r="O142" s="416">
        <v>0</v>
      </c>
      <c r="P142" s="416">
        <v>0</v>
      </c>
      <c r="Q142" s="416">
        <v>0</v>
      </c>
      <c r="R142" s="416">
        <v>0</v>
      </c>
      <c r="S142" s="416">
        <v>0</v>
      </c>
      <c r="T142" s="416"/>
      <c r="U142" s="416"/>
      <c r="V142" s="416">
        <f>_xlfn.IFNA(VLOOKUP(A142,[3]進出口值表查詢結果!$C$11:$F$68,4,0),-[4]整車!$B$22)</f>
        <v>0</v>
      </c>
      <c r="W142" s="416">
        <f>_xlfn.IFNA(VLOOKUP(A142,[3]進出口值表查詢結果!$C$11:$F$68,3,0),-[4]整車!$B$22)</f>
        <v>0</v>
      </c>
      <c r="X142" s="416">
        <f>_xlfn.IFNA(VLOOKUP(A142,[5]進出口值表查詢結果!$C$11:$F$68,4,0),-[4]整車!$B$22)</f>
        <v>94</v>
      </c>
      <c r="Y142" s="416">
        <f>_xlfn.IFNA(VLOOKUP(A142,[5]進出口值表查詢結果!$C$11:$F$68,3,0),-[4]整車!$B$22)</f>
        <v>108432</v>
      </c>
      <c r="Z142" s="410">
        <f t="shared" si="26"/>
        <v>312</v>
      </c>
      <c r="AA142" s="410">
        <f t="shared" si="27"/>
        <v>335623</v>
      </c>
    </row>
    <row r="143" spans="1:27">
      <c r="A143" s="453" t="s">
        <v>328</v>
      </c>
      <c r="B143" s="416"/>
      <c r="C143" s="416"/>
      <c r="D143" s="416"/>
      <c r="E143" s="416"/>
      <c r="F143" s="416">
        <v>0</v>
      </c>
      <c r="G143" s="416"/>
      <c r="H143" s="416">
        <v>0</v>
      </c>
      <c r="I143" s="416">
        <v>0</v>
      </c>
      <c r="J143" s="417"/>
      <c r="K143" s="418"/>
      <c r="L143" s="416">
        <v>25</v>
      </c>
      <c r="M143" s="416">
        <v>25972</v>
      </c>
      <c r="N143" s="416">
        <v>2</v>
      </c>
      <c r="O143" s="416">
        <v>3989</v>
      </c>
      <c r="P143" s="416">
        <v>6</v>
      </c>
      <c r="Q143" s="416">
        <v>5727</v>
      </c>
      <c r="R143" s="416">
        <v>5</v>
      </c>
      <c r="S143" s="416">
        <v>5843</v>
      </c>
      <c r="T143" s="416"/>
      <c r="U143" s="416"/>
      <c r="V143" s="416">
        <f>_xlfn.IFNA(VLOOKUP(A143,[3]進出口值表查詢結果!$C$11:$F$68,4,0),-[4]整車!$B$22)</f>
        <v>6</v>
      </c>
      <c r="W143" s="416">
        <f>_xlfn.IFNA(VLOOKUP(A143,[3]進出口值表查詢結果!$C$11:$F$68,3,0),-[4]整車!$B$22)</f>
        <v>7556</v>
      </c>
      <c r="X143" s="416">
        <f>_xlfn.IFNA(VLOOKUP(A143,[5]進出口值表查詢結果!$C$11:$F$68,4,0),-[4]整車!$B$22)</f>
        <v>0</v>
      </c>
      <c r="Y143" s="416">
        <f>_xlfn.IFNA(VLOOKUP(A143,[5]進出口值表查詢結果!$C$11:$F$68,3,0),-[4]整車!$B$22)</f>
        <v>0</v>
      </c>
      <c r="Z143" s="410">
        <f t="shared" si="26"/>
        <v>44</v>
      </c>
      <c r="AA143" s="410">
        <f t="shared" si="27"/>
        <v>49087</v>
      </c>
    </row>
    <row r="144" spans="1:27">
      <c r="A144" s="453" t="s">
        <v>329</v>
      </c>
      <c r="B144" s="416"/>
      <c r="C144" s="416"/>
      <c r="D144" s="416"/>
      <c r="E144" s="416"/>
      <c r="F144" s="416">
        <v>0</v>
      </c>
      <c r="G144" s="416"/>
      <c r="H144" s="416">
        <v>0</v>
      </c>
      <c r="I144" s="416">
        <v>0</v>
      </c>
      <c r="J144" s="417"/>
      <c r="K144" s="418"/>
      <c r="L144" s="416">
        <v>0</v>
      </c>
      <c r="M144" s="416">
        <v>0</v>
      </c>
      <c r="N144" s="416">
        <v>0</v>
      </c>
      <c r="O144" s="416">
        <v>0</v>
      </c>
      <c r="P144" s="416">
        <v>0</v>
      </c>
      <c r="Q144" s="416">
        <v>0</v>
      </c>
      <c r="R144" s="416">
        <v>0</v>
      </c>
      <c r="S144" s="416">
        <v>0</v>
      </c>
      <c r="T144" s="416"/>
      <c r="U144" s="416"/>
      <c r="V144" s="416">
        <f>_xlfn.IFNA(VLOOKUP(A144,[3]進出口值表查詢結果!$C$11:$F$68,4,0),-[4]整車!$B$22)</f>
        <v>0</v>
      </c>
      <c r="W144" s="416">
        <f>_xlfn.IFNA(VLOOKUP(A144,[3]進出口值表查詢結果!$C$11:$F$68,3,0),-[4]整車!$B$22)</f>
        <v>0</v>
      </c>
      <c r="X144" s="416">
        <f>_xlfn.IFNA(VLOOKUP(A144,[5]進出口值表查詢結果!$C$11:$F$68,4,0),-[4]整車!$B$22)</f>
        <v>0</v>
      </c>
      <c r="Y144" s="416">
        <f>_xlfn.IFNA(VLOOKUP(A144,[5]進出口值表查詢結果!$C$11:$F$68,3,0),-[4]整車!$B$22)</f>
        <v>0</v>
      </c>
      <c r="Z144" s="410">
        <f t="shared" si="26"/>
        <v>0</v>
      </c>
      <c r="AA144" s="410">
        <f t="shared" si="27"/>
        <v>0</v>
      </c>
    </row>
    <row r="145" spans="1:27">
      <c r="A145" s="453" t="s">
        <v>330</v>
      </c>
      <c r="B145" s="416"/>
      <c r="C145" s="416"/>
      <c r="D145" s="416">
        <v>20</v>
      </c>
      <c r="E145" s="416">
        <v>19787</v>
      </c>
      <c r="F145" s="416">
        <v>0</v>
      </c>
      <c r="G145" s="416"/>
      <c r="H145" s="416">
        <v>0</v>
      </c>
      <c r="I145" s="416">
        <v>0</v>
      </c>
      <c r="J145" s="417"/>
      <c r="K145" s="418"/>
      <c r="L145" s="416">
        <v>0</v>
      </c>
      <c r="M145" s="416">
        <v>0</v>
      </c>
      <c r="N145" s="416">
        <v>0</v>
      </c>
      <c r="O145" s="416">
        <v>0</v>
      </c>
      <c r="P145" s="416">
        <v>0</v>
      </c>
      <c r="Q145" s="416">
        <v>0</v>
      </c>
      <c r="R145" s="416">
        <v>0</v>
      </c>
      <c r="S145" s="416">
        <v>0</v>
      </c>
      <c r="T145" s="416"/>
      <c r="U145" s="416"/>
      <c r="V145" s="416">
        <f>_xlfn.IFNA(VLOOKUP(A145,[3]進出口值表查詢結果!$C$11:$F$68,4,0),-[4]整車!$B$22)</f>
        <v>0</v>
      </c>
      <c r="W145" s="416">
        <f>_xlfn.IFNA(VLOOKUP(A145,[3]進出口值表查詢結果!$C$11:$F$68,3,0),-[4]整車!$B$22)</f>
        <v>0</v>
      </c>
      <c r="X145" s="416">
        <f>_xlfn.IFNA(VLOOKUP(A145,[5]進出口值表查詢結果!$C$11:$F$68,4,0),-[4]整車!$B$22)</f>
        <v>0</v>
      </c>
      <c r="Y145" s="416">
        <f>_xlfn.IFNA(VLOOKUP(A145,[5]進出口值表查詢結果!$C$11:$F$68,3,0),-[4]整車!$B$22)</f>
        <v>0</v>
      </c>
      <c r="Z145" s="410">
        <f t="shared" si="26"/>
        <v>20</v>
      </c>
      <c r="AA145" s="410">
        <f t="shared" si="27"/>
        <v>19787</v>
      </c>
    </row>
    <row r="146" spans="1:27">
      <c r="A146" s="453" t="s">
        <v>331</v>
      </c>
      <c r="B146" s="416"/>
      <c r="C146" s="416"/>
      <c r="D146" s="416"/>
      <c r="E146" s="416"/>
      <c r="F146" s="416">
        <v>0</v>
      </c>
      <c r="G146" s="416"/>
      <c r="H146" s="416">
        <v>0</v>
      </c>
      <c r="I146" s="416">
        <v>0</v>
      </c>
      <c r="J146" s="417"/>
      <c r="K146" s="418"/>
      <c r="L146" s="416">
        <v>0</v>
      </c>
      <c r="M146" s="416">
        <v>0</v>
      </c>
      <c r="N146" s="416">
        <v>0</v>
      </c>
      <c r="O146" s="416">
        <v>0</v>
      </c>
      <c r="P146" s="416">
        <v>0</v>
      </c>
      <c r="Q146" s="416">
        <v>0</v>
      </c>
      <c r="R146" s="416">
        <v>0</v>
      </c>
      <c r="S146" s="416">
        <v>0</v>
      </c>
      <c r="T146" s="416"/>
      <c r="U146" s="416"/>
      <c r="V146" s="416">
        <f>_xlfn.IFNA(VLOOKUP(A146,[3]進出口值表查詢結果!$C$11:$F$68,4,0),-[4]整車!$B$22)</f>
        <v>0</v>
      </c>
      <c r="W146" s="416">
        <f>_xlfn.IFNA(VLOOKUP(A146,[3]進出口值表查詢結果!$C$11:$F$68,3,0),-[4]整車!$B$22)</f>
        <v>0</v>
      </c>
      <c r="X146" s="416">
        <f>_xlfn.IFNA(VLOOKUP(A146,[5]進出口值表查詢結果!$C$11:$F$68,4,0),-[4]整車!$B$22)</f>
        <v>0</v>
      </c>
      <c r="Y146" s="416">
        <f>_xlfn.IFNA(VLOOKUP(A146,[5]進出口值表查詢結果!$C$11:$F$68,3,0),-[4]整車!$B$22)</f>
        <v>0</v>
      </c>
      <c r="Z146" s="410">
        <f t="shared" si="26"/>
        <v>0</v>
      </c>
      <c r="AA146" s="410">
        <f t="shared" si="27"/>
        <v>0</v>
      </c>
    </row>
    <row r="147" spans="1:27">
      <c r="A147" s="453" t="s">
        <v>332</v>
      </c>
      <c r="B147" s="416">
        <v>27</v>
      </c>
      <c r="C147" s="416">
        <v>27791</v>
      </c>
      <c r="D147" s="416"/>
      <c r="E147" s="416"/>
      <c r="F147" s="416">
        <v>0</v>
      </c>
      <c r="G147" s="416"/>
      <c r="H147" s="416">
        <v>16</v>
      </c>
      <c r="I147" s="416">
        <v>12686</v>
      </c>
      <c r="J147" s="417"/>
      <c r="K147" s="418"/>
      <c r="L147" s="416">
        <v>28</v>
      </c>
      <c r="M147" s="416">
        <v>23257</v>
      </c>
      <c r="N147" s="416">
        <v>0</v>
      </c>
      <c r="O147" s="416">
        <v>0</v>
      </c>
      <c r="P147" s="416">
        <v>33</v>
      </c>
      <c r="Q147" s="416">
        <v>44052</v>
      </c>
      <c r="R147" s="416">
        <v>252</v>
      </c>
      <c r="S147" s="416">
        <v>146025</v>
      </c>
      <c r="T147" s="416"/>
      <c r="U147" s="416"/>
      <c r="V147" s="416">
        <f>_xlfn.IFNA(VLOOKUP(A147,[3]進出口值表查詢結果!$C$11:$F$68,4,0),-[4]整車!$B$22)</f>
        <v>0</v>
      </c>
      <c r="W147" s="416">
        <f>_xlfn.IFNA(VLOOKUP(A147,[3]進出口值表查詢結果!$C$11:$F$68,3,0),-[4]整車!$B$22)</f>
        <v>0</v>
      </c>
      <c r="X147" s="416">
        <f>_xlfn.IFNA(VLOOKUP(A147,[5]進出口值表查詢結果!$C$11:$F$68,4,0),-[4]整車!$B$22)</f>
        <v>0</v>
      </c>
      <c r="Y147" s="416">
        <f>_xlfn.IFNA(VLOOKUP(A147,[5]進出口值表查詢結果!$C$11:$F$68,3,0),-[4]整車!$B$22)</f>
        <v>0</v>
      </c>
      <c r="Z147" s="410">
        <f t="shared" si="26"/>
        <v>356</v>
      </c>
      <c r="AA147" s="410">
        <f t="shared" si="27"/>
        <v>253811</v>
      </c>
    </row>
    <row r="148" spans="1:27">
      <c r="A148" s="453" t="s">
        <v>333</v>
      </c>
      <c r="B148" s="416"/>
      <c r="C148" s="416"/>
      <c r="D148" s="416"/>
      <c r="E148" s="416"/>
      <c r="F148" s="416">
        <v>0</v>
      </c>
      <c r="G148" s="416"/>
      <c r="H148" s="416">
        <v>0</v>
      </c>
      <c r="I148" s="416">
        <v>0</v>
      </c>
      <c r="J148" s="417"/>
      <c r="K148" s="418"/>
      <c r="L148" s="416">
        <v>0</v>
      </c>
      <c r="M148" s="416">
        <v>0</v>
      </c>
      <c r="N148" s="416">
        <v>0</v>
      </c>
      <c r="O148" s="416">
        <v>0</v>
      </c>
      <c r="P148" s="416">
        <v>0</v>
      </c>
      <c r="Q148" s="416">
        <v>0</v>
      </c>
      <c r="R148" s="416">
        <v>0</v>
      </c>
      <c r="S148" s="416">
        <v>0</v>
      </c>
      <c r="T148" s="416"/>
      <c r="U148" s="416"/>
      <c r="V148" s="416">
        <f>_xlfn.IFNA(VLOOKUP(A148,[3]進出口值表查詢結果!$C$11:$F$68,4,0),-[4]整車!$B$22)</f>
        <v>0</v>
      </c>
      <c r="W148" s="416">
        <f>_xlfn.IFNA(VLOOKUP(A148,[3]進出口值表查詢結果!$C$11:$F$68,3,0),-[4]整車!$B$22)</f>
        <v>0</v>
      </c>
      <c r="X148" s="416">
        <f>_xlfn.IFNA(VLOOKUP(A148,[5]進出口值表查詢結果!$C$11:$F$68,4,0),-[4]整車!$B$22)</f>
        <v>0</v>
      </c>
      <c r="Y148" s="416">
        <f>_xlfn.IFNA(VLOOKUP(A148,[5]進出口值表查詢結果!$C$11:$F$68,3,0),-[4]整車!$B$22)</f>
        <v>0</v>
      </c>
      <c r="Z148" s="410">
        <f t="shared" si="26"/>
        <v>0</v>
      </c>
      <c r="AA148" s="410">
        <f t="shared" si="27"/>
        <v>0</v>
      </c>
    </row>
    <row r="149" spans="1:27">
      <c r="A149" s="453" t="s">
        <v>334</v>
      </c>
      <c r="B149" s="416"/>
      <c r="C149" s="416"/>
      <c r="D149" s="416"/>
      <c r="E149" s="416"/>
      <c r="F149" s="416">
        <v>0</v>
      </c>
      <c r="G149" s="416"/>
      <c r="H149" s="416">
        <v>0</v>
      </c>
      <c r="I149" s="416">
        <v>0</v>
      </c>
      <c r="J149" s="417"/>
      <c r="K149" s="418"/>
      <c r="L149" s="416">
        <v>0</v>
      </c>
      <c r="M149" s="416">
        <v>0</v>
      </c>
      <c r="N149" s="416">
        <v>0</v>
      </c>
      <c r="O149" s="416">
        <v>0</v>
      </c>
      <c r="P149" s="416">
        <v>0</v>
      </c>
      <c r="Q149" s="416">
        <v>0</v>
      </c>
      <c r="R149" s="416">
        <v>0</v>
      </c>
      <c r="S149" s="416">
        <v>0</v>
      </c>
      <c r="T149" s="416"/>
      <c r="U149" s="416"/>
      <c r="V149" s="416">
        <f>_xlfn.IFNA(VLOOKUP(A149,[3]進出口值表查詢結果!$C$11:$F$68,4,0),-[4]整車!$B$22)</f>
        <v>0</v>
      </c>
      <c r="W149" s="416">
        <f>_xlfn.IFNA(VLOOKUP(A149,[3]進出口值表查詢結果!$C$11:$F$68,3,0),-[4]整車!$B$22)</f>
        <v>0</v>
      </c>
      <c r="X149" s="416">
        <f>_xlfn.IFNA(VLOOKUP(A149,[5]進出口值表查詢結果!$C$11:$F$68,4,0),-[4]整車!$B$22)</f>
        <v>0</v>
      </c>
      <c r="Y149" s="416">
        <f>_xlfn.IFNA(VLOOKUP(A149,[5]進出口值表查詢結果!$C$11:$F$68,3,0),-[4]整車!$B$22)</f>
        <v>0</v>
      </c>
      <c r="Z149" s="410">
        <f t="shared" si="26"/>
        <v>0</v>
      </c>
      <c r="AA149" s="410">
        <f t="shared" si="27"/>
        <v>0</v>
      </c>
    </row>
    <row r="150" spans="1:27">
      <c r="A150" s="453" t="s">
        <v>335</v>
      </c>
      <c r="B150" s="416"/>
      <c r="C150" s="416"/>
      <c r="D150" s="416"/>
      <c r="E150" s="416"/>
      <c r="F150" s="416">
        <v>0</v>
      </c>
      <c r="G150" s="416"/>
      <c r="H150" s="416">
        <v>912</v>
      </c>
      <c r="I150" s="416">
        <v>9076</v>
      </c>
      <c r="J150" s="417"/>
      <c r="K150" s="418"/>
      <c r="L150" s="416">
        <v>0</v>
      </c>
      <c r="M150" s="416">
        <v>0</v>
      </c>
      <c r="N150" s="416">
        <v>860</v>
      </c>
      <c r="O150" s="416">
        <v>8722</v>
      </c>
      <c r="P150" s="416">
        <v>0</v>
      </c>
      <c r="Q150" s="416">
        <v>0</v>
      </c>
      <c r="R150" s="416">
        <v>0</v>
      </c>
      <c r="S150" s="416">
        <v>0</v>
      </c>
      <c r="T150" s="416">
        <v>60</v>
      </c>
      <c r="U150" s="416">
        <v>895</v>
      </c>
      <c r="V150" s="416">
        <f>_xlfn.IFNA(VLOOKUP(A150,[3]進出口值表查詢結果!$C$11:$F$68,4,0),-[4]整車!$B$22)</f>
        <v>0</v>
      </c>
      <c r="W150" s="416">
        <f>_xlfn.IFNA(VLOOKUP(A150,[3]進出口值表查詢結果!$C$11:$F$68,3,0),-[4]整車!$B$22)</f>
        <v>0</v>
      </c>
      <c r="X150" s="416">
        <f>_xlfn.IFNA(VLOOKUP(A150,[5]進出口值表查詢結果!$C$11:$F$68,4,0),-[4]整車!$B$22)</f>
        <v>0</v>
      </c>
      <c r="Y150" s="416">
        <f>_xlfn.IFNA(VLOOKUP(A150,[5]進出口值表查詢結果!$C$11:$F$68,3,0),-[4]整車!$B$22)</f>
        <v>0</v>
      </c>
      <c r="Z150" s="410">
        <f t="shared" si="26"/>
        <v>1832</v>
      </c>
      <c r="AA150" s="410">
        <f t="shared" si="27"/>
        <v>18693</v>
      </c>
    </row>
    <row r="151" spans="1:27">
      <c r="A151" s="459" t="s">
        <v>336</v>
      </c>
      <c r="B151" s="437">
        <f t="shared" ref="B151:Y151" si="28">SUM(B152:B188)</f>
        <v>438</v>
      </c>
      <c r="C151" s="437">
        <f t="shared" si="28"/>
        <v>697135</v>
      </c>
      <c r="D151" s="437">
        <f t="shared" si="28"/>
        <v>255</v>
      </c>
      <c r="E151" s="437">
        <f t="shared" si="28"/>
        <v>237208</v>
      </c>
      <c r="F151" s="437">
        <f t="shared" si="28"/>
        <v>115</v>
      </c>
      <c r="G151" s="437">
        <f t="shared" si="28"/>
        <v>139562</v>
      </c>
      <c r="H151" s="437">
        <f t="shared" si="28"/>
        <v>86</v>
      </c>
      <c r="I151" s="437">
        <f t="shared" si="28"/>
        <v>117092</v>
      </c>
      <c r="J151" s="438">
        <f t="shared" si="28"/>
        <v>613</v>
      </c>
      <c r="K151" s="439">
        <f>SUM(K152:K188)</f>
        <v>1036854</v>
      </c>
      <c r="L151" s="437">
        <f t="shared" si="28"/>
        <v>427</v>
      </c>
      <c r="M151" s="437">
        <f t="shared" si="28"/>
        <v>494605</v>
      </c>
      <c r="N151" s="437">
        <f t="shared" si="28"/>
        <v>849</v>
      </c>
      <c r="O151" s="437">
        <f t="shared" si="28"/>
        <v>1256457</v>
      </c>
      <c r="P151" s="437">
        <f t="shared" si="28"/>
        <v>1223</v>
      </c>
      <c r="Q151" s="437">
        <f t="shared" si="28"/>
        <v>669332</v>
      </c>
      <c r="R151" s="437">
        <f t="shared" si="28"/>
        <v>709</v>
      </c>
      <c r="S151" s="437">
        <f t="shared" si="28"/>
        <v>987195</v>
      </c>
      <c r="T151" s="437">
        <f t="shared" si="28"/>
        <v>318</v>
      </c>
      <c r="U151" s="437">
        <f t="shared" si="28"/>
        <v>309983</v>
      </c>
      <c r="V151" s="437">
        <f>SUM(V152:V188)</f>
        <v>638</v>
      </c>
      <c r="W151" s="437">
        <f>SUM(W152:W188)</f>
        <v>766517</v>
      </c>
      <c r="X151" s="437">
        <f t="shared" si="28"/>
        <v>526</v>
      </c>
      <c r="Y151" s="437">
        <f t="shared" si="28"/>
        <v>550560</v>
      </c>
      <c r="Z151" s="423">
        <f t="shared" si="26"/>
        <v>6197</v>
      </c>
      <c r="AA151" s="423">
        <f t="shared" si="27"/>
        <v>7262500</v>
      </c>
    </row>
    <row r="152" spans="1:27">
      <c r="A152" s="453" t="s">
        <v>184</v>
      </c>
      <c r="B152" s="416">
        <v>384</v>
      </c>
      <c r="C152" s="416">
        <v>666044</v>
      </c>
      <c r="D152" s="416">
        <v>225</v>
      </c>
      <c r="E152" s="416">
        <v>237041</v>
      </c>
      <c r="F152" s="416">
        <v>111</v>
      </c>
      <c r="G152" s="416">
        <v>136011</v>
      </c>
      <c r="H152" s="416">
        <v>36</v>
      </c>
      <c r="I152" s="416">
        <v>67009</v>
      </c>
      <c r="J152" s="417">
        <v>449</v>
      </c>
      <c r="K152" s="418">
        <v>996359</v>
      </c>
      <c r="L152" s="416">
        <v>306</v>
      </c>
      <c r="M152" s="416">
        <v>433512</v>
      </c>
      <c r="N152" s="416">
        <v>849</v>
      </c>
      <c r="O152" s="416">
        <v>1256457</v>
      </c>
      <c r="P152" s="416">
        <v>395</v>
      </c>
      <c r="Q152" s="416">
        <v>604709</v>
      </c>
      <c r="R152" s="416">
        <v>684</v>
      </c>
      <c r="S152" s="416">
        <v>986787</v>
      </c>
      <c r="T152" s="416">
        <v>211</v>
      </c>
      <c r="U152" s="416">
        <v>279759</v>
      </c>
      <c r="V152" s="416">
        <f>_xlfn.IFNA(VLOOKUP(A152,[3]進出口值表查詢結果!$C$11:$F$68,4,0),-[4]整車!$B$22)</f>
        <v>506</v>
      </c>
      <c r="W152" s="416">
        <f>_xlfn.IFNA(VLOOKUP(A152,[3]進出口值表查詢結果!$C$11:$F$68,3,0),-[4]整車!$B$22)</f>
        <v>630607</v>
      </c>
      <c r="X152" s="416">
        <f>_xlfn.IFNA(VLOOKUP(A152,[5]進出口值表查詢結果!$C$11:$F$68,4,0),-[4]整車!$B$22)</f>
        <v>360</v>
      </c>
      <c r="Y152" s="416">
        <f>_xlfn.IFNA(VLOOKUP(A152,[5]進出口值表查詢結果!$C$11:$F$68,3,0),-[4]整車!$B$22)</f>
        <v>482820</v>
      </c>
      <c r="Z152" s="410">
        <f t="shared" si="26"/>
        <v>4516</v>
      </c>
      <c r="AA152" s="410">
        <f t="shared" si="27"/>
        <v>6777115</v>
      </c>
    </row>
    <row r="153" spans="1:27">
      <c r="A153" s="453" t="s">
        <v>338</v>
      </c>
      <c r="B153" s="416">
        <v>1</v>
      </c>
      <c r="C153" s="416">
        <v>2333</v>
      </c>
      <c r="D153" s="416"/>
      <c r="E153" s="416"/>
      <c r="F153" s="416">
        <v>0</v>
      </c>
      <c r="G153" s="416"/>
      <c r="H153" s="416">
        <v>15</v>
      </c>
      <c r="I153" s="416">
        <v>19675</v>
      </c>
      <c r="J153" s="417">
        <v>39</v>
      </c>
      <c r="K153" s="418">
        <v>39292</v>
      </c>
      <c r="L153" s="416">
        <v>0</v>
      </c>
      <c r="M153" s="416">
        <v>0</v>
      </c>
      <c r="N153" s="416">
        <v>0</v>
      </c>
      <c r="O153" s="416">
        <v>0</v>
      </c>
      <c r="P153" s="416">
        <v>0</v>
      </c>
      <c r="Q153" s="416">
        <v>0</v>
      </c>
      <c r="R153" s="416">
        <v>0</v>
      </c>
      <c r="S153" s="416">
        <v>0</v>
      </c>
      <c r="T153" s="416"/>
      <c r="U153" s="416"/>
      <c r="V153" s="416">
        <f>_xlfn.IFNA(VLOOKUP(A153,[3]進出口值表查詢結果!$C$11:$F$68,4,0),-[4]整車!$B$22)</f>
        <v>132</v>
      </c>
      <c r="W153" s="416">
        <f>_xlfn.IFNA(VLOOKUP(A153,[3]進出口值表查詢結果!$C$11:$F$68,3,0),-[4]整車!$B$22)</f>
        <v>135910</v>
      </c>
      <c r="X153" s="416">
        <f>_xlfn.IFNA(VLOOKUP(A153,[5]進出口值表查詢結果!$C$11:$F$68,4,0),-[4]整車!$B$22)</f>
        <v>0</v>
      </c>
      <c r="Y153" s="416">
        <f>_xlfn.IFNA(VLOOKUP(A153,[5]進出口值表查詢結果!$C$11:$F$68,3,0),-[4]整車!$B$22)</f>
        <v>0</v>
      </c>
      <c r="Z153" s="410">
        <f t="shared" si="26"/>
        <v>187</v>
      </c>
      <c r="AA153" s="410">
        <f t="shared" si="27"/>
        <v>197210</v>
      </c>
    </row>
    <row r="154" spans="1:27">
      <c r="A154" s="453" t="s">
        <v>339</v>
      </c>
      <c r="B154" s="416"/>
      <c r="C154" s="416"/>
      <c r="D154" s="416"/>
      <c r="E154" s="416"/>
      <c r="F154" s="416">
        <v>0</v>
      </c>
      <c r="G154" s="416"/>
      <c r="H154" s="416">
        <v>0</v>
      </c>
      <c r="I154" s="416">
        <v>0</v>
      </c>
      <c r="J154" s="417"/>
      <c r="K154" s="418"/>
      <c r="L154" s="416">
        <v>0</v>
      </c>
      <c r="M154" s="416">
        <v>0</v>
      </c>
      <c r="N154" s="416">
        <v>0</v>
      </c>
      <c r="O154" s="416">
        <v>0</v>
      </c>
      <c r="P154" s="416">
        <v>0</v>
      </c>
      <c r="Q154" s="416">
        <v>0</v>
      </c>
      <c r="R154" s="416">
        <v>0</v>
      </c>
      <c r="S154" s="416">
        <v>0</v>
      </c>
      <c r="T154" s="416"/>
      <c r="U154" s="416"/>
      <c r="V154" s="416">
        <f>_xlfn.IFNA(VLOOKUP(A154,[3]進出口值表查詢結果!$C$11:$F$68,4,0),-[4]整車!$B$22)</f>
        <v>0</v>
      </c>
      <c r="W154" s="416">
        <f>_xlfn.IFNA(VLOOKUP(A154,[3]進出口值表查詢結果!$C$11:$F$68,3,0),-[4]整車!$B$22)</f>
        <v>0</v>
      </c>
      <c r="X154" s="416">
        <f>_xlfn.IFNA(VLOOKUP(A154,[5]進出口值表查詢結果!$C$11:$F$68,4,0),-[4]整車!$B$22)</f>
        <v>0</v>
      </c>
      <c r="Y154" s="416">
        <f>_xlfn.IFNA(VLOOKUP(A154,[5]進出口值表查詢結果!$C$11:$F$68,3,0),-[4]整車!$B$22)</f>
        <v>0</v>
      </c>
      <c r="Z154" s="410">
        <f t="shared" si="26"/>
        <v>0</v>
      </c>
      <c r="AA154" s="410">
        <f t="shared" si="27"/>
        <v>0</v>
      </c>
    </row>
    <row r="155" spans="1:27">
      <c r="A155" s="453" t="s">
        <v>340</v>
      </c>
      <c r="B155" s="416"/>
      <c r="C155" s="416"/>
      <c r="D155" s="416"/>
      <c r="E155" s="416"/>
      <c r="F155" s="416">
        <v>0</v>
      </c>
      <c r="G155" s="416"/>
      <c r="H155" s="416">
        <v>0</v>
      </c>
      <c r="I155" s="416">
        <v>0</v>
      </c>
      <c r="J155" s="417"/>
      <c r="K155" s="418"/>
      <c r="L155" s="416">
        <v>0</v>
      </c>
      <c r="M155" s="416">
        <v>0</v>
      </c>
      <c r="N155" s="416">
        <v>0</v>
      </c>
      <c r="O155" s="416">
        <v>0</v>
      </c>
      <c r="P155" s="416">
        <v>0</v>
      </c>
      <c r="Q155" s="416">
        <v>0</v>
      </c>
      <c r="R155" s="416">
        <v>0</v>
      </c>
      <c r="S155" s="416">
        <v>0</v>
      </c>
      <c r="T155" s="416"/>
      <c r="U155" s="416"/>
      <c r="V155" s="416">
        <f>_xlfn.IFNA(VLOOKUP(A155,[3]進出口值表查詢結果!$C$11:$F$68,4,0),-[4]整車!$B$22)</f>
        <v>0</v>
      </c>
      <c r="W155" s="416">
        <f>_xlfn.IFNA(VLOOKUP(A155,[3]進出口值表查詢結果!$C$11:$F$68,3,0),-[4]整車!$B$22)</f>
        <v>0</v>
      </c>
      <c r="X155" s="416">
        <f>_xlfn.IFNA(VLOOKUP(A155,[5]進出口值表查詢結果!$C$11:$F$68,4,0),-[4]整車!$B$22)</f>
        <v>0</v>
      </c>
      <c r="Y155" s="416">
        <f>_xlfn.IFNA(VLOOKUP(A155,[5]進出口值表查詢結果!$C$11:$F$68,3,0),-[4]整車!$B$22)</f>
        <v>0</v>
      </c>
      <c r="Z155" s="410">
        <f t="shared" si="26"/>
        <v>0</v>
      </c>
      <c r="AA155" s="410">
        <f t="shared" si="27"/>
        <v>0</v>
      </c>
    </row>
    <row r="156" spans="1:27">
      <c r="A156" s="453" t="s">
        <v>199</v>
      </c>
      <c r="B156" s="416"/>
      <c r="C156" s="416"/>
      <c r="D156" s="416"/>
      <c r="E156" s="416"/>
      <c r="F156" s="416">
        <v>0</v>
      </c>
      <c r="G156" s="416"/>
      <c r="H156" s="416">
        <v>0</v>
      </c>
      <c r="I156" s="416">
        <v>0</v>
      </c>
      <c r="J156" s="417"/>
      <c r="K156" s="418"/>
      <c r="L156" s="416">
        <v>0</v>
      </c>
      <c r="M156" s="416">
        <v>0</v>
      </c>
      <c r="N156" s="416">
        <v>0</v>
      </c>
      <c r="O156" s="416">
        <v>0</v>
      </c>
      <c r="P156" s="416">
        <v>0</v>
      </c>
      <c r="Q156" s="416">
        <v>0</v>
      </c>
      <c r="R156" s="416">
        <v>0</v>
      </c>
      <c r="S156" s="416">
        <v>0</v>
      </c>
      <c r="T156" s="416"/>
      <c r="U156" s="416"/>
      <c r="V156" s="416">
        <f>_xlfn.IFNA(VLOOKUP(A156,[3]進出口值表查詢結果!$C$11:$F$68,4,0),-[4]整車!$B$22)</f>
        <v>0</v>
      </c>
      <c r="W156" s="416">
        <f>_xlfn.IFNA(VLOOKUP(A156,[3]進出口值表查詢結果!$C$11:$F$68,3,0),-[4]整車!$B$22)</f>
        <v>0</v>
      </c>
      <c r="X156" s="416">
        <f>_xlfn.IFNA(VLOOKUP(A156,[5]進出口值表查詢結果!$C$11:$F$68,4,0),-[4]整車!$B$22)</f>
        <v>0</v>
      </c>
      <c r="Y156" s="416">
        <f>_xlfn.IFNA(VLOOKUP(A156,[5]進出口值表查詢結果!$C$11:$F$68,3,0),-[4]整車!$B$22)</f>
        <v>0</v>
      </c>
      <c r="Z156" s="410">
        <f t="shared" si="26"/>
        <v>0</v>
      </c>
      <c r="AA156" s="410">
        <f t="shared" si="27"/>
        <v>0</v>
      </c>
    </row>
    <row r="157" spans="1:27">
      <c r="A157" s="453" t="s">
        <v>341</v>
      </c>
      <c r="B157" s="416"/>
      <c r="C157" s="416"/>
      <c r="D157" s="416"/>
      <c r="E157" s="416"/>
      <c r="F157" s="416">
        <v>0</v>
      </c>
      <c r="G157" s="416"/>
      <c r="H157" s="416">
        <v>0</v>
      </c>
      <c r="I157" s="416">
        <v>0</v>
      </c>
      <c r="J157" s="417"/>
      <c r="K157" s="418"/>
      <c r="L157" s="416">
        <v>0</v>
      </c>
      <c r="M157" s="416">
        <v>0</v>
      </c>
      <c r="N157" s="416">
        <v>0</v>
      </c>
      <c r="O157" s="416">
        <v>0</v>
      </c>
      <c r="P157" s="416">
        <v>113</v>
      </c>
      <c r="Q157" s="416">
        <v>610</v>
      </c>
      <c r="R157" s="416">
        <v>25</v>
      </c>
      <c r="S157" s="416">
        <v>408</v>
      </c>
      <c r="T157" s="416">
        <v>56</v>
      </c>
      <c r="U157" s="416">
        <v>448</v>
      </c>
      <c r="V157" s="416">
        <f>_xlfn.IFNA(VLOOKUP(A157,[3]進出口值表查詢結果!$C$11:$F$68,4,0),-[4]整車!$B$22)</f>
        <v>0</v>
      </c>
      <c r="W157" s="416">
        <f>_xlfn.IFNA(VLOOKUP(A157,[3]進出口值表查詢結果!$C$11:$F$68,3,0),-[4]整車!$B$22)</f>
        <v>0</v>
      </c>
      <c r="X157" s="416">
        <f>_xlfn.IFNA(VLOOKUP(A157,[5]進出口值表查詢結果!$C$11:$F$75,4,0),-[4]整車!$B$22)</f>
        <v>6</v>
      </c>
      <c r="Y157" s="416">
        <f>_xlfn.IFNA(VLOOKUP(A157,[5]進出口值表查詢結果!$C$11:$F$75,3,0),-[4]整車!$B$22)</f>
        <v>175</v>
      </c>
      <c r="Z157" s="410">
        <f t="shared" si="26"/>
        <v>200</v>
      </c>
      <c r="AA157" s="410">
        <f t="shared" si="27"/>
        <v>1641</v>
      </c>
    </row>
    <row r="158" spans="1:27">
      <c r="A158" s="453" t="s">
        <v>342</v>
      </c>
      <c r="B158" s="416"/>
      <c r="C158" s="416"/>
      <c r="D158" s="416"/>
      <c r="E158" s="416"/>
      <c r="F158" s="416">
        <v>0</v>
      </c>
      <c r="G158" s="416"/>
      <c r="H158" s="416">
        <v>0</v>
      </c>
      <c r="I158" s="416">
        <v>0</v>
      </c>
      <c r="J158" s="417"/>
      <c r="K158" s="418"/>
      <c r="L158" s="416">
        <v>0</v>
      </c>
      <c r="M158" s="416">
        <v>0</v>
      </c>
      <c r="N158" s="416">
        <v>0</v>
      </c>
      <c r="O158" s="416">
        <v>0</v>
      </c>
      <c r="P158" s="416">
        <v>0</v>
      </c>
      <c r="Q158" s="416">
        <v>0</v>
      </c>
      <c r="R158" s="416">
        <v>0</v>
      </c>
      <c r="S158" s="416">
        <v>0</v>
      </c>
      <c r="T158" s="416"/>
      <c r="U158" s="416"/>
      <c r="V158" s="416">
        <f>_xlfn.IFNA(VLOOKUP(A158,[3]進出口值表查詢結果!$C$11:$F$68,4,0),-[4]整車!$B$22)</f>
        <v>0</v>
      </c>
      <c r="W158" s="416">
        <f>_xlfn.IFNA(VLOOKUP(A158,[3]進出口值表查詢結果!$C$11:$F$68,3,0),-[4]整車!$B$22)</f>
        <v>0</v>
      </c>
      <c r="X158" s="416">
        <f>_xlfn.IFNA(VLOOKUP(A158,[5]進出口值表查詢結果!$C$11:$F$75,4,0),-[4]整車!$B$22)</f>
        <v>0</v>
      </c>
      <c r="Y158" s="416">
        <f>_xlfn.IFNA(VLOOKUP(A158,[5]進出口值表查詢結果!$C$11:$F$75,3,0),-[4]整車!$B$22)</f>
        <v>0</v>
      </c>
      <c r="Z158" s="410">
        <f t="shared" si="26"/>
        <v>0</v>
      </c>
      <c r="AA158" s="410">
        <f t="shared" si="27"/>
        <v>0</v>
      </c>
    </row>
    <row r="159" spans="1:27">
      <c r="A159" s="453" t="s">
        <v>343</v>
      </c>
      <c r="B159" s="416"/>
      <c r="C159" s="416"/>
      <c r="D159" s="416"/>
      <c r="E159" s="416"/>
      <c r="F159" s="416">
        <v>0</v>
      </c>
      <c r="G159" s="416"/>
      <c r="H159" s="416">
        <v>0</v>
      </c>
      <c r="I159" s="416">
        <v>0</v>
      </c>
      <c r="J159" s="417"/>
      <c r="K159" s="418"/>
      <c r="L159" s="416">
        <v>0</v>
      </c>
      <c r="M159" s="416">
        <v>0</v>
      </c>
      <c r="N159" s="416">
        <v>0</v>
      </c>
      <c r="O159" s="416">
        <v>0</v>
      </c>
      <c r="P159" s="416">
        <v>0</v>
      </c>
      <c r="Q159" s="416">
        <v>0</v>
      </c>
      <c r="R159" s="416">
        <v>0</v>
      </c>
      <c r="S159" s="416">
        <v>0</v>
      </c>
      <c r="T159" s="416"/>
      <c r="U159" s="416"/>
      <c r="V159" s="416">
        <f>_xlfn.IFNA(VLOOKUP(A159,[3]進出口值表查詢結果!$C$11:$F$68,4,0),-[4]整車!$B$22)</f>
        <v>0</v>
      </c>
      <c r="W159" s="416">
        <f>_xlfn.IFNA(VLOOKUP(A159,[3]進出口值表查詢結果!$C$11:$F$68,3,0),-[4]整車!$B$22)</f>
        <v>0</v>
      </c>
      <c r="X159" s="416">
        <f>_xlfn.IFNA(VLOOKUP(A159,[5]進出口值表查詢結果!$C$11:$F$75,4,0),-[4]整車!$B$22)</f>
        <v>0</v>
      </c>
      <c r="Y159" s="416">
        <f>_xlfn.IFNA(VLOOKUP(A159,[5]進出口值表查詢結果!$C$11:$F$75,3,0),-[4]整車!$B$22)</f>
        <v>0</v>
      </c>
      <c r="Z159" s="410">
        <f t="shared" si="26"/>
        <v>0</v>
      </c>
      <c r="AA159" s="410">
        <f t="shared" si="27"/>
        <v>0</v>
      </c>
    </row>
    <row r="160" spans="1:27">
      <c r="A160" s="453" t="s">
        <v>344</v>
      </c>
      <c r="B160" s="416"/>
      <c r="C160" s="416"/>
      <c r="D160" s="416"/>
      <c r="E160" s="416"/>
      <c r="F160" s="416">
        <v>4</v>
      </c>
      <c r="G160" s="416">
        <v>3551</v>
      </c>
      <c r="H160" s="416">
        <v>0</v>
      </c>
      <c r="I160" s="416">
        <v>0</v>
      </c>
      <c r="J160" s="417"/>
      <c r="K160" s="418"/>
      <c r="L160" s="416">
        <v>0</v>
      </c>
      <c r="M160" s="416">
        <v>0</v>
      </c>
      <c r="N160" s="416">
        <v>0</v>
      </c>
      <c r="O160" s="416">
        <v>0</v>
      </c>
      <c r="P160" s="416">
        <v>155</v>
      </c>
      <c r="Q160" s="416">
        <v>20061</v>
      </c>
      <c r="R160" s="416">
        <v>0</v>
      </c>
      <c r="S160" s="416">
        <v>0</v>
      </c>
      <c r="T160" s="416"/>
      <c r="U160" s="416"/>
      <c r="V160" s="416">
        <f>_xlfn.IFNA(VLOOKUP(A160,[3]進出口值表查詢結果!$C$11:$F$68,4,0),-[4]整車!$B$22)</f>
        <v>0</v>
      </c>
      <c r="W160" s="416">
        <f>_xlfn.IFNA(VLOOKUP(A160,[3]進出口值表查詢結果!$C$11:$F$68,3,0),-[4]整車!$B$22)</f>
        <v>0</v>
      </c>
      <c r="X160" s="416">
        <f>_xlfn.IFNA(VLOOKUP(A160,[5]進出口值表查詢結果!$C$11:$F$75,4,0),-[4]整車!$B$22)</f>
        <v>0</v>
      </c>
      <c r="Y160" s="416">
        <f>_xlfn.IFNA(VLOOKUP(A160,[5]進出口值表查詢結果!$C$11:$F$75,3,0),-[4]整車!$B$22)</f>
        <v>0</v>
      </c>
      <c r="Z160" s="410">
        <f t="shared" si="26"/>
        <v>159</v>
      </c>
      <c r="AA160" s="410">
        <f t="shared" si="27"/>
        <v>23612</v>
      </c>
    </row>
    <row r="161" spans="1:27">
      <c r="A161" s="453" t="s">
        <v>345</v>
      </c>
      <c r="B161" s="416">
        <v>17</v>
      </c>
      <c r="C161" s="416">
        <v>28291</v>
      </c>
      <c r="D161" s="416"/>
      <c r="E161" s="416"/>
      <c r="F161" s="416">
        <v>0</v>
      </c>
      <c r="G161" s="416"/>
      <c r="H161" s="416">
        <v>35</v>
      </c>
      <c r="I161" s="416">
        <v>30408</v>
      </c>
      <c r="J161" s="417"/>
      <c r="K161" s="418"/>
      <c r="L161" s="416">
        <v>39</v>
      </c>
      <c r="M161" s="416">
        <v>54290</v>
      </c>
      <c r="N161" s="416">
        <v>0</v>
      </c>
      <c r="O161" s="416">
        <v>0</v>
      </c>
      <c r="P161" s="416">
        <v>36</v>
      </c>
      <c r="Q161" s="416">
        <v>38326</v>
      </c>
      <c r="R161" s="416">
        <v>0</v>
      </c>
      <c r="S161" s="416">
        <v>0</v>
      </c>
      <c r="T161" s="416">
        <v>41</v>
      </c>
      <c r="U161" s="416">
        <v>29673</v>
      </c>
      <c r="V161" s="416">
        <f>_xlfn.IFNA(VLOOKUP(A161,[3]進出口值表查詢結果!$C$11:$F$68,4,0),-[4]整車!$B$22)</f>
        <v>0</v>
      </c>
      <c r="W161" s="416">
        <f>_xlfn.IFNA(VLOOKUP(A161,[3]進出口值表查詢結果!$C$11:$F$68,3,0),-[4]整車!$B$22)</f>
        <v>0</v>
      </c>
      <c r="X161" s="416">
        <f>_xlfn.IFNA(VLOOKUP(A161,[5]進出口值表查詢結果!$C$11:$F$75,4,0),-[4]整車!$B$22)</f>
        <v>50</v>
      </c>
      <c r="Y161" s="416">
        <f>_xlfn.IFNA(VLOOKUP(A161,[5]進出口值表查詢結果!$C$11:$F$75,3,0),-[4]整車!$B$22)</f>
        <v>63646</v>
      </c>
      <c r="Z161" s="410">
        <f t="shared" si="26"/>
        <v>218</v>
      </c>
      <c r="AA161" s="410">
        <f t="shared" si="27"/>
        <v>244634</v>
      </c>
    </row>
    <row r="162" spans="1:27">
      <c r="A162" s="453" t="s">
        <v>346</v>
      </c>
      <c r="B162" s="416"/>
      <c r="C162" s="416"/>
      <c r="D162" s="416"/>
      <c r="E162" s="416"/>
      <c r="F162" s="416">
        <v>0</v>
      </c>
      <c r="G162" s="416"/>
      <c r="H162" s="416">
        <v>0</v>
      </c>
      <c r="I162" s="416">
        <v>0</v>
      </c>
      <c r="J162" s="417">
        <v>5</v>
      </c>
      <c r="K162" s="418">
        <v>802</v>
      </c>
      <c r="L162" s="416">
        <v>0</v>
      </c>
      <c r="M162" s="416">
        <v>0</v>
      </c>
      <c r="N162" s="416">
        <v>0</v>
      </c>
      <c r="O162" s="416">
        <v>0</v>
      </c>
      <c r="P162" s="416">
        <v>0</v>
      </c>
      <c r="Q162" s="416">
        <v>0</v>
      </c>
      <c r="R162" s="416">
        <v>0</v>
      </c>
      <c r="S162" s="416">
        <v>0</v>
      </c>
      <c r="T162" s="416"/>
      <c r="U162" s="416"/>
      <c r="V162" s="416">
        <f>_xlfn.IFNA(VLOOKUP(A162,[3]進出口值表查詢結果!$C$11:$F$68,4,0),-[4]整車!$B$22)</f>
        <v>0</v>
      </c>
      <c r="W162" s="416">
        <f>_xlfn.IFNA(VLOOKUP(A162,[3]進出口值表查詢結果!$C$11:$F$68,3,0),-[4]整車!$B$22)</f>
        <v>0</v>
      </c>
      <c r="X162" s="416">
        <f>_xlfn.IFNA(VLOOKUP(A162,[5]進出口值表查詢結果!$C$11:$F$75,4,0),-[4]整車!$B$22)</f>
        <v>0</v>
      </c>
      <c r="Y162" s="416">
        <f>_xlfn.IFNA(VLOOKUP(A162,[5]進出口值表查詢結果!$C$11:$F$75,3,0),-[4]整車!$B$22)</f>
        <v>0</v>
      </c>
      <c r="Z162" s="410">
        <f t="shared" si="26"/>
        <v>5</v>
      </c>
      <c r="AA162" s="410">
        <f t="shared" si="27"/>
        <v>802</v>
      </c>
    </row>
    <row r="163" spans="1:27">
      <c r="A163" s="453" t="s">
        <v>347</v>
      </c>
      <c r="B163" s="416"/>
      <c r="C163" s="416"/>
      <c r="D163" s="416"/>
      <c r="E163" s="416"/>
      <c r="F163" s="416">
        <v>0</v>
      </c>
      <c r="G163" s="416"/>
      <c r="H163" s="416">
        <v>0</v>
      </c>
      <c r="I163" s="416">
        <v>0</v>
      </c>
      <c r="J163" s="417">
        <v>120</v>
      </c>
      <c r="K163" s="418">
        <v>401</v>
      </c>
      <c r="L163" s="416">
        <v>82</v>
      </c>
      <c r="M163" s="416">
        <v>6803</v>
      </c>
      <c r="N163" s="416">
        <v>0</v>
      </c>
      <c r="O163" s="416">
        <v>0</v>
      </c>
      <c r="P163" s="416">
        <v>512</v>
      </c>
      <c r="Q163" s="416">
        <v>5219</v>
      </c>
      <c r="R163" s="416">
        <v>0</v>
      </c>
      <c r="S163" s="416">
        <v>0</v>
      </c>
      <c r="T163" s="416"/>
      <c r="U163" s="416"/>
      <c r="V163" s="416">
        <f>_xlfn.IFNA(VLOOKUP(A163,[3]進出口值表查詢結果!$C$11:$F$68,4,0),-[4]整車!$B$22)</f>
        <v>0</v>
      </c>
      <c r="W163" s="416">
        <f>_xlfn.IFNA(VLOOKUP(A163,[3]進出口值表查詢結果!$C$11:$F$68,3,0),-[4]整車!$B$22)</f>
        <v>0</v>
      </c>
      <c r="X163" s="416">
        <f>_xlfn.IFNA(VLOOKUP(A163,[5]進出口值表查詢結果!$C$11:$F$75,4,0),-[4]整車!$B$22)</f>
        <v>0</v>
      </c>
      <c r="Y163" s="416">
        <f>_xlfn.IFNA(VLOOKUP(A163,[5]進出口值表查詢結果!$C$11:$F$75,3,0),-[4]整車!$B$22)</f>
        <v>0</v>
      </c>
      <c r="Z163" s="410">
        <f t="shared" si="26"/>
        <v>714</v>
      </c>
      <c r="AA163" s="410">
        <f t="shared" si="27"/>
        <v>12423</v>
      </c>
    </row>
    <row r="164" spans="1:27">
      <c r="A164" s="453" t="s">
        <v>348</v>
      </c>
      <c r="B164" s="416"/>
      <c r="C164" s="416"/>
      <c r="D164" s="416"/>
      <c r="E164" s="416"/>
      <c r="F164" s="416">
        <v>0</v>
      </c>
      <c r="G164" s="416"/>
      <c r="H164" s="416">
        <v>0</v>
      </c>
      <c r="I164" s="416">
        <v>0</v>
      </c>
      <c r="J164" s="417"/>
      <c r="K164" s="418"/>
      <c r="L164" s="416">
        <v>0</v>
      </c>
      <c r="M164" s="416">
        <v>0</v>
      </c>
      <c r="N164" s="416">
        <v>0</v>
      </c>
      <c r="O164" s="416">
        <v>0</v>
      </c>
      <c r="P164" s="416">
        <v>0</v>
      </c>
      <c r="Q164" s="416">
        <v>0</v>
      </c>
      <c r="R164" s="416">
        <v>0</v>
      </c>
      <c r="S164" s="416">
        <v>0</v>
      </c>
      <c r="T164" s="416"/>
      <c r="U164" s="416"/>
      <c r="V164" s="416">
        <f>_xlfn.IFNA(VLOOKUP(A164,[3]進出口值表查詢結果!$C$11:$F$68,4,0),-[4]整車!$B$22)</f>
        <v>0</v>
      </c>
      <c r="W164" s="416">
        <f>_xlfn.IFNA(VLOOKUP(A164,[3]進出口值表查詢結果!$C$11:$F$68,3,0),-[4]整車!$B$22)</f>
        <v>0</v>
      </c>
      <c r="X164" s="416">
        <f>_xlfn.IFNA(VLOOKUP(A164,[5]進出口值表查詢結果!$C$11:$F$75,4,0),-[4]整車!$B$22)</f>
        <v>0</v>
      </c>
      <c r="Y164" s="416">
        <f>_xlfn.IFNA(VLOOKUP(A164,[5]進出口值表查詢結果!$C$11:$F$75,3,0),-[4]整車!$B$22)</f>
        <v>0</v>
      </c>
      <c r="Z164" s="410">
        <f t="shared" si="26"/>
        <v>0</v>
      </c>
      <c r="AA164" s="410">
        <f t="shared" si="27"/>
        <v>0</v>
      </c>
    </row>
    <row r="165" spans="1:27">
      <c r="A165" s="453" t="s">
        <v>349</v>
      </c>
      <c r="B165" s="416"/>
      <c r="C165" s="416"/>
      <c r="D165" s="416"/>
      <c r="E165" s="416"/>
      <c r="F165" s="416">
        <v>0</v>
      </c>
      <c r="G165" s="416"/>
      <c r="H165" s="416">
        <v>0</v>
      </c>
      <c r="I165" s="416">
        <v>0</v>
      </c>
      <c r="J165" s="417"/>
      <c r="K165" s="418"/>
      <c r="L165" s="416">
        <v>0</v>
      </c>
      <c r="M165" s="416">
        <v>0</v>
      </c>
      <c r="N165" s="416">
        <v>0</v>
      </c>
      <c r="O165" s="416">
        <v>0</v>
      </c>
      <c r="P165" s="416">
        <v>0</v>
      </c>
      <c r="Q165" s="416">
        <v>0</v>
      </c>
      <c r="R165" s="416">
        <v>0</v>
      </c>
      <c r="S165" s="416">
        <v>0</v>
      </c>
      <c r="T165" s="416"/>
      <c r="U165" s="416"/>
      <c r="V165" s="416">
        <f>_xlfn.IFNA(VLOOKUP(A165,[3]進出口值表查詢結果!$C$11:$F$68,4,0),-[4]整車!$B$22)</f>
        <v>0</v>
      </c>
      <c r="W165" s="416">
        <f>_xlfn.IFNA(VLOOKUP(A165,[3]進出口值表查詢結果!$C$11:$F$68,3,0),-[4]整車!$B$22)</f>
        <v>0</v>
      </c>
      <c r="X165" s="416">
        <f>_xlfn.IFNA(VLOOKUP(A165,[5]進出口值表查詢結果!$C$11:$F$75,4,0),-[4]整車!$B$22)</f>
        <v>0</v>
      </c>
      <c r="Y165" s="416">
        <f>_xlfn.IFNA(VLOOKUP(A165,[5]進出口值表查詢結果!$C$11:$F$75,3,0),-[4]整車!$B$22)</f>
        <v>0</v>
      </c>
      <c r="Z165" s="410">
        <f t="shared" si="26"/>
        <v>0</v>
      </c>
      <c r="AA165" s="410">
        <f t="shared" si="27"/>
        <v>0</v>
      </c>
    </row>
    <row r="166" spans="1:27">
      <c r="A166" s="453" t="s">
        <v>350</v>
      </c>
      <c r="B166" s="416"/>
      <c r="C166" s="416"/>
      <c r="D166" s="416"/>
      <c r="E166" s="416"/>
      <c r="F166" s="416">
        <v>0</v>
      </c>
      <c r="G166" s="416"/>
      <c r="H166" s="416">
        <v>0</v>
      </c>
      <c r="I166" s="416">
        <v>0</v>
      </c>
      <c r="J166" s="417"/>
      <c r="K166" s="418"/>
      <c r="L166" s="416">
        <v>0</v>
      </c>
      <c r="M166" s="416">
        <v>0</v>
      </c>
      <c r="N166" s="416">
        <v>0</v>
      </c>
      <c r="O166" s="416">
        <v>0</v>
      </c>
      <c r="P166" s="416">
        <v>0</v>
      </c>
      <c r="Q166" s="416">
        <v>0</v>
      </c>
      <c r="R166" s="416">
        <v>0</v>
      </c>
      <c r="S166" s="416">
        <v>0</v>
      </c>
      <c r="T166" s="416"/>
      <c r="U166" s="416"/>
      <c r="V166" s="416">
        <f>_xlfn.IFNA(VLOOKUP(A166,[3]進出口值表查詢結果!$C$11:$F$68,4,0),-[4]整車!$B$22)</f>
        <v>0</v>
      </c>
      <c r="W166" s="416">
        <f>_xlfn.IFNA(VLOOKUP(A166,[3]進出口值表查詢結果!$C$11:$F$68,3,0),-[4]整車!$B$22)</f>
        <v>0</v>
      </c>
      <c r="X166" s="416">
        <f>_xlfn.IFNA(VLOOKUP(A166,[5]進出口值表查詢結果!$C$11:$F$75,4,0),-[4]整車!$B$22)</f>
        <v>0</v>
      </c>
      <c r="Y166" s="416">
        <f>_xlfn.IFNA(VLOOKUP(A166,[5]進出口值表查詢結果!$C$11:$F$75,3,0),-[4]整車!$B$22)</f>
        <v>0</v>
      </c>
      <c r="Z166" s="410">
        <f t="shared" si="26"/>
        <v>0</v>
      </c>
      <c r="AA166" s="410">
        <f t="shared" si="27"/>
        <v>0</v>
      </c>
    </row>
    <row r="167" spans="1:27">
      <c r="A167" s="453" t="s">
        <v>351</v>
      </c>
      <c r="B167" s="416"/>
      <c r="C167" s="416"/>
      <c r="D167" s="416"/>
      <c r="E167" s="416"/>
      <c r="F167" s="416">
        <v>0</v>
      </c>
      <c r="G167" s="416"/>
      <c r="H167" s="416">
        <v>0</v>
      </c>
      <c r="I167" s="416">
        <v>0</v>
      </c>
      <c r="J167" s="417"/>
      <c r="K167" s="418"/>
      <c r="L167" s="416">
        <v>0</v>
      </c>
      <c r="M167" s="416">
        <v>0</v>
      </c>
      <c r="N167" s="416">
        <v>0</v>
      </c>
      <c r="O167" s="416">
        <v>0</v>
      </c>
      <c r="P167" s="416">
        <v>0</v>
      </c>
      <c r="Q167" s="416">
        <v>0</v>
      </c>
      <c r="R167" s="416">
        <v>0</v>
      </c>
      <c r="S167" s="416">
        <v>0</v>
      </c>
      <c r="T167" s="416"/>
      <c r="U167" s="416"/>
      <c r="V167" s="416">
        <f>_xlfn.IFNA(VLOOKUP(A167,[3]進出口值表查詢結果!$C$11:$F$68,4,0),-[4]整車!$B$22)</f>
        <v>0</v>
      </c>
      <c r="W167" s="416">
        <f>_xlfn.IFNA(VLOOKUP(A167,[3]進出口值表查詢結果!$C$11:$F$68,3,0),-[4]整車!$B$22)</f>
        <v>0</v>
      </c>
      <c r="X167" s="416">
        <f>_xlfn.IFNA(VLOOKUP(A167,[5]進出口值表查詢結果!$C$11:$F$75,4,0),-[4]整車!$B$22)</f>
        <v>0</v>
      </c>
      <c r="Y167" s="416">
        <f>_xlfn.IFNA(VLOOKUP(A167,[5]進出口值表查詢結果!$C$11:$F$75,3,0),-[4]整車!$B$22)</f>
        <v>0</v>
      </c>
      <c r="Z167" s="410">
        <f t="shared" si="26"/>
        <v>0</v>
      </c>
      <c r="AA167" s="410">
        <f t="shared" si="27"/>
        <v>0</v>
      </c>
    </row>
    <row r="168" spans="1:27">
      <c r="A168" s="453" t="s">
        <v>352</v>
      </c>
      <c r="B168" s="416">
        <v>30</v>
      </c>
      <c r="C168" s="416">
        <v>67</v>
      </c>
      <c r="D168" s="416">
        <v>30</v>
      </c>
      <c r="E168" s="416">
        <v>167</v>
      </c>
      <c r="F168" s="416">
        <v>0</v>
      </c>
      <c r="G168" s="416"/>
      <c r="H168" s="416">
        <v>0</v>
      </c>
      <c r="I168" s="416">
        <v>0</v>
      </c>
      <c r="J168" s="417"/>
      <c r="K168" s="418"/>
      <c r="L168" s="416">
        <v>0</v>
      </c>
      <c r="M168" s="416">
        <v>0</v>
      </c>
      <c r="N168" s="416">
        <v>0</v>
      </c>
      <c r="O168" s="416">
        <v>0</v>
      </c>
      <c r="P168" s="416">
        <v>0</v>
      </c>
      <c r="Q168" s="416">
        <v>0</v>
      </c>
      <c r="R168" s="416">
        <v>0</v>
      </c>
      <c r="S168" s="416">
        <v>0</v>
      </c>
      <c r="T168" s="416">
        <v>10</v>
      </c>
      <c r="U168" s="416">
        <v>103</v>
      </c>
      <c r="V168" s="416">
        <f>_xlfn.IFNA(VLOOKUP(A168,[3]進出口值表查詢結果!$C$11:$F$68,4,0),-[4]整車!$B$22)</f>
        <v>0</v>
      </c>
      <c r="W168" s="416">
        <f>_xlfn.IFNA(VLOOKUP(A168,[3]進出口值表查詢結果!$C$11:$F$68,3,0),-[4]整車!$B$22)</f>
        <v>0</v>
      </c>
      <c r="X168" s="416">
        <f>_xlfn.IFNA(VLOOKUP(A168,[5]進出口值表查詢結果!$C$11:$F$75,4,0),-[4]整車!$B$22)</f>
        <v>0</v>
      </c>
      <c r="Y168" s="416">
        <f>_xlfn.IFNA(VLOOKUP(A168,[5]進出口值表查詢結果!$C$11:$F$75,3,0),-[4]整車!$B$22)</f>
        <v>0</v>
      </c>
      <c r="Z168" s="410">
        <f t="shared" ref="Z168:Z185" si="29">SUM(B168,D168,F168,H168,J168,L168,N168,P168,R168,T168,V168,X168)</f>
        <v>70</v>
      </c>
      <c r="AA168" s="410">
        <f t="shared" ref="AA168:AA185" si="30">SUM(C168,E168,G168,I168,K168,M168,O168,Q168,S168,U168,W168,Y168)</f>
        <v>337</v>
      </c>
    </row>
    <row r="169" spans="1:27">
      <c r="A169" s="453" t="s">
        <v>404</v>
      </c>
      <c r="B169" s="416"/>
      <c r="C169" s="416"/>
      <c r="D169" s="416"/>
      <c r="E169" s="416"/>
      <c r="F169" s="416">
        <v>0</v>
      </c>
      <c r="G169" s="416"/>
      <c r="H169" s="416">
        <v>0</v>
      </c>
      <c r="I169" s="416">
        <v>0</v>
      </c>
      <c r="J169" s="417"/>
      <c r="K169" s="418"/>
      <c r="L169" s="416">
        <v>0</v>
      </c>
      <c r="M169" s="416">
        <v>0</v>
      </c>
      <c r="N169" s="416">
        <v>0</v>
      </c>
      <c r="O169" s="416">
        <v>0</v>
      </c>
      <c r="P169" s="416">
        <v>0</v>
      </c>
      <c r="Q169" s="416">
        <v>0</v>
      </c>
      <c r="R169" s="416">
        <v>0</v>
      </c>
      <c r="S169" s="416">
        <v>0</v>
      </c>
      <c r="T169" s="416"/>
      <c r="U169" s="416"/>
      <c r="V169" s="416">
        <f>_xlfn.IFNA(VLOOKUP(A169,[3]進出口值表查詢結果!$C$11:$F$68,4,0),-[4]整車!$B$22)</f>
        <v>0</v>
      </c>
      <c r="W169" s="416">
        <f>_xlfn.IFNA(VLOOKUP(A169,[3]進出口值表查詢結果!$C$11:$F$68,3,0),-[4]整車!$B$22)</f>
        <v>0</v>
      </c>
      <c r="X169" s="416">
        <f>_xlfn.IFNA(VLOOKUP(A169,[5]進出口值表查詢結果!$C$11:$F$75,4,0),-[4]整車!$B$22)</f>
        <v>52</v>
      </c>
      <c r="Y169" s="416">
        <f>_xlfn.IFNA(VLOOKUP(A169,[5]進出口值表查詢結果!$C$11:$F$75,3,0),-[4]整車!$B$22)</f>
        <v>175</v>
      </c>
      <c r="Z169" s="410">
        <f t="shared" si="29"/>
        <v>52</v>
      </c>
      <c r="AA169" s="410">
        <f t="shared" si="30"/>
        <v>175</v>
      </c>
    </row>
    <row r="170" spans="1:27">
      <c r="A170" s="453" t="s">
        <v>353</v>
      </c>
      <c r="B170" s="416">
        <v>6</v>
      </c>
      <c r="C170" s="416">
        <v>400</v>
      </c>
      <c r="D170" s="416"/>
      <c r="E170" s="416"/>
      <c r="F170" s="416">
        <v>0</v>
      </c>
      <c r="G170" s="416"/>
      <c r="H170" s="416">
        <v>0</v>
      </c>
      <c r="I170" s="416">
        <v>0</v>
      </c>
      <c r="J170" s="417"/>
      <c r="K170" s="418"/>
      <c r="L170" s="416">
        <v>0</v>
      </c>
      <c r="M170" s="416">
        <v>0</v>
      </c>
      <c r="N170" s="416">
        <v>0</v>
      </c>
      <c r="O170" s="416">
        <v>0</v>
      </c>
      <c r="P170" s="416">
        <v>0</v>
      </c>
      <c r="Q170" s="416">
        <v>0</v>
      </c>
      <c r="R170" s="416">
        <v>0</v>
      </c>
      <c r="S170" s="416">
        <v>0</v>
      </c>
      <c r="T170" s="416"/>
      <c r="U170" s="416"/>
      <c r="V170" s="416">
        <f>_xlfn.IFNA(VLOOKUP(A170,[3]進出口值表查詢結果!$C$11:$F$68,4,0),-[4]整車!$B$22)</f>
        <v>0</v>
      </c>
      <c r="W170" s="416">
        <f>_xlfn.IFNA(VLOOKUP(A170,[3]進出口值表查詢結果!$C$11:$F$68,3,0),-[4]整車!$B$22)</f>
        <v>0</v>
      </c>
      <c r="X170" s="416">
        <f>_xlfn.IFNA(VLOOKUP(A170,[5]進出口值表查詢結果!$C$11:$F$75,4,0),-[4]整車!$B$22)</f>
        <v>0</v>
      </c>
      <c r="Y170" s="416">
        <f>_xlfn.IFNA(VLOOKUP(A170,[5]進出口值表查詢結果!$C$11:$F$75,3,0),-[4]整車!$B$22)</f>
        <v>0</v>
      </c>
      <c r="Z170" s="410">
        <f t="shared" si="29"/>
        <v>6</v>
      </c>
      <c r="AA170" s="410">
        <f t="shared" si="30"/>
        <v>400</v>
      </c>
    </row>
    <row r="171" spans="1:27">
      <c r="A171" s="453" t="s">
        <v>354</v>
      </c>
      <c r="B171" s="416"/>
      <c r="C171" s="416"/>
      <c r="D171" s="416"/>
      <c r="E171" s="416"/>
      <c r="F171" s="416">
        <v>0</v>
      </c>
      <c r="G171" s="416"/>
      <c r="H171" s="416">
        <v>0</v>
      </c>
      <c r="I171" s="416">
        <v>0</v>
      </c>
      <c r="J171" s="417"/>
      <c r="K171" s="418"/>
      <c r="L171" s="416">
        <v>0</v>
      </c>
      <c r="M171" s="416">
        <v>0</v>
      </c>
      <c r="N171" s="416">
        <v>0</v>
      </c>
      <c r="O171" s="416">
        <v>0</v>
      </c>
      <c r="P171" s="416">
        <v>12</v>
      </c>
      <c r="Q171" s="416">
        <v>407</v>
      </c>
      <c r="R171" s="416">
        <v>0</v>
      </c>
      <c r="S171" s="416">
        <v>0</v>
      </c>
      <c r="T171" s="416"/>
      <c r="U171" s="416"/>
      <c r="V171" s="416">
        <f>_xlfn.IFNA(VLOOKUP(A171,[3]進出口值表查詢結果!$C$11:$F$68,4,0),-[4]整車!$B$22)</f>
        <v>0</v>
      </c>
      <c r="W171" s="416">
        <f>_xlfn.IFNA(VLOOKUP(A171,[3]進出口值表查詢結果!$C$11:$F$68,3,0),-[4]整車!$B$22)</f>
        <v>0</v>
      </c>
      <c r="X171" s="416">
        <f>_xlfn.IFNA(VLOOKUP(A171,[5]進出口值表查詢結果!$C$11:$F$75,4,0),-[4]整車!$B$22)</f>
        <v>40</v>
      </c>
      <c r="Y171" s="416">
        <f>_xlfn.IFNA(VLOOKUP(A171,[5]進出口值表查詢結果!$C$11:$F$75,3,0),-[4]整車!$B$22)</f>
        <v>420</v>
      </c>
      <c r="Z171" s="410">
        <f t="shared" si="29"/>
        <v>52</v>
      </c>
      <c r="AA171" s="410">
        <f t="shared" si="30"/>
        <v>827</v>
      </c>
    </row>
    <row r="172" spans="1:27">
      <c r="A172" s="453" t="s">
        <v>355</v>
      </c>
      <c r="B172" s="416"/>
      <c r="C172" s="416"/>
      <c r="D172" s="416"/>
      <c r="E172" s="416"/>
      <c r="F172" s="416">
        <v>0</v>
      </c>
      <c r="G172" s="416"/>
      <c r="H172" s="416">
        <v>0</v>
      </c>
      <c r="I172" s="416">
        <v>0</v>
      </c>
      <c r="J172" s="417"/>
      <c r="K172" s="418"/>
      <c r="L172" s="416">
        <v>0</v>
      </c>
      <c r="M172" s="416">
        <v>0</v>
      </c>
      <c r="N172" s="416">
        <v>0</v>
      </c>
      <c r="O172" s="416">
        <v>0</v>
      </c>
      <c r="P172" s="416">
        <v>0</v>
      </c>
      <c r="Q172" s="416">
        <v>0</v>
      </c>
      <c r="R172" s="416">
        <v>0</v>
      </c>
      <c r="S172" s="416">
        <v>0</v>
      </c>
      <c r="T172" s="416"/>
      <c r="U172" s="416"/>
      <c r="V172" s="416">
        <f>_xlfn.IFNA(VLOOKUP(A172,[3]進出口值表查詢結果!$C$11:$F$68,4,0),-[4]整車!$B$22)</f>
        <v>0</v>
      </c>
      <c r="W172" s="416">
        <f>_xlfn.IFNA(VLOOKUP(A172,[3]進出口值表查詢結果!$C$11:$F$68,3,0),-[4]整車!$B$22)</f>
        <v>0</v>
      </c>
      <c r="X172" s="416">
        <f>_xlfn.IFNA(VLOOKUP(A172,[5]進出口值表查詢結果!$C$11:$F$75,4,0),-[4]整車!$B$22)</f>
        <v>0</v>
      </c>
      <c r="Y172" s="416">
        <f>_xlfn.IFNA(VLOOKUP(A172,[5]進出口值表查詢結果!$C$11:$F$75,3,0),-[4]整車!$B$22)</f>
        <v>0</v>
      </c>
      <c r="Z172" s="410">
        <f t="shared" si="29"/>
        <v>0</v>
      </c>
      <c r="AA172" s="410">
        <f t="shared" si="30"/>
        <v>0</v>
      </c>
    </row>
    <row r="173" spans="1:27">
      <c r="A173" s="453" t="s">
        <v>197</v>
      </c>
      <c r="B173" s="416"/>
      <c r="C173" s="416"/>
      <c r="D173" s="416"/>
      <c r="E173" s="416"/>
      <c r="F173" s="416">
        <v>0</v>
      </c>
      <c r="G173" s="416"/>
      <c r="H173" s="416">
        <v>0</v>
      </c>
      <c r="I173" s="416">
        <v>0</v>
      </c>
      <c r="J173" s="417"/>
      <c r="K173" s="418"/>
      <c r="L173" s="416">
        <v>0</v>
      </c>
      <c r="M173" s="416">
        <v>0</v>
      </c>
      <c r="N173" s="416">
        <v>0</v>
      </c>
      <c r="O173" s="416">
        <v>0</v>
      </c>
      <c r="P173" s="416">
        <v>0</v>
      </c>
      <c r="Q173" s="416">
        <v>0</v>
      </c>
      <c r="R173" s="416">
        <v>0</v>
      </c>
      <c r="S173" s="416">
        <v>0</v>
      </c>
      <c r="T173" s="416"/>
      <c r="U173" s="416"/>
      <c r="V173" s="416">
        <f>_xlfn.IFNA(VLOOKUP(A173,[3]進出口值表查詢結果!$C$11:$F$68,4,0),-[4]整車!$B$22)</f>
        <v>0</v>
      </c>
      <c r="W173" s="416">
        <f>_xlfn.IFNA(VLOOKUP(A173,[3]進出口值表查詢結果!$C$11:$F$68,3,0),-[4]整車!$B$22)</f>
        <v>0</v>
      </c>
      <c r="X173" s="416">
        <f>_xlfn.IFNA(VLOOKUP(A173,[5]進出口值表查詢結果!$C$11:$F$75,4,0),-[4]整車!$B$22)</f>
        <v>0</v>
      </c>
      <c r="Y173" s="416">
        <f>_xlfn.IFNA(VLOOKUP(A173,[5]進出口值表查詢結果!$C$11:$F$75,3,0),-[4]整車!$B$22)</f>
        <v>0</v>
      </c>
      <c r="Z173" s="410">
        <f t="shared" si="29"/>
        <v>0</v>
      </c>
      <c r="AA173" s="410">
        <f t="shared" si="30"/>
        <v>0</v>
      </c>
    </row>
    <row r="174" spans="1:27">
      <c r="A174" s="453" t="s">
        <v>356</v>
      </c>
      <c r="B174" s="416"/>
      <c r="C174" s="416"/>
      <c r="D174" s="416"/>
      <c r="E174" s="416"/>
      <c r="F174" s="416">
        <v>0</v>
      </c>
      <c r="G174" s="416"/>
      <c r="H174" s="416">
        <v>0</v>
      </c>
      <c r="I174" s="416">
        <v>0</v>
      </c>
      <c r="J174" s="417"/>
      <c r="K174" s="418"/>
      <c r="L174" s="416">
        <v>0</v>
      </c>
      <c r="M174" s="416">
        <v>0</v>
      </c>
      <c r="N174" s="416">
        <v>0</v>
      </c>
      <c r="O174" s="416">
        <v>0</v>
      </c>
      <c r="P174" s="416">
        <v>0</v>
      </c>
      <c r="Q174" s="416">
        <v>0</v>
      </c>
      <c r="R174" s="416">
        <v>0</v>
      </c>
      <c r="S174" s="416">
        <v>0</v>
      </c>
      <c r="T174" s="416"/>
      <c r="U174" s="416"/>
      <c r="V174" s="416">
        <f>_xlfn.IFNA(VLOOKUP(A174,[3]進出口值表查詢結果!$C$11:$F$68,4,0),-[4]整車!$B$22)</f>
        <v>0</v>
      </c>
      <c r="W174" s="416">
        <f>_xlfn.IFNA(VLOOKUP(A174,[3]進出口值表查詢結果!$C$11:$F$68,3,0),-[4]整車!$B$22)</f>
        <v>0</v>
      </c>
      <c r="X174" s="416">
        <f>_xlfn.IFNA(VLOOKUP(A174,[5]進出口值表查詢結果!$C$11:$F$75,4,0),-[4]整車!$B$22)</f>
        <v>18</v>
      </c>
      <c r="Y174" s="416">
        <f>_xlfn.IFNA(VLOOKUP(A174,[5]進出口值表查詢結果!$C$11:$F$75,3,0),-[4]整車!$B$22)</f>
        <v>3324</v>
      </c>
      <c r="Z174" s="410">
        <f t="shared" si="29"/>
        <v>18</v>
      </c>
      <c r="AA174" s="410">
        <f t="shared" si="30"/>
        <v>3324</v>
      </c>
    </row>
    <row r="175" spans="1:27">
      <c r="A175" s="453" t="s">
        <v>357</v>
      </c>
      <c r="B175" s="416"/>
      <c r="C175" s="416"/>
      <c r="D175" s="416"/>
      <c r="E175" s="416"/>
      <c r="F175" s="416">
        <v>0</v>
      </c>
      <c r="G175" s="416"/>
      <c r="H175" s="416">
        <v>0</v>
      </c>
      <c r="I175" s="416">
        <v>0</v>
      </c>
      <c r="J175" s="417"/>
      <c r="K175" s="418"/>
      <c r="L175" s="416">
        <v>0</v>
      </c>
      <c r="M175" s="416">
        <v>0</v>
      </c>
      <c r="N175" s="416">
        <v>0</v>
      </c>
      <c r="O175" s="416">
        <v>0</v>
      </c>
      <c r="P175" s="416">
        <v>0</v>
      </c>
      <c r="Q175" s="416">
        <v>0</v>
      </c>
      <c r="R175" s="416">
        <v>0</v>
      </c>
      <c r="S175" s="416">
        <v>0</v>
      </c>
      <c r="T175" s="416"/>
      <c r="U175" s="416"/>
      <c r="V175" s="416">
        <f>_xlfn.IFNA(VLOOKUP(A175,[3]進出口值表查詢結果!$C$11:$F$68,4,0),-[4]整車!$B$22)</f>
        <v>0</v>
      </c>
      <c r="W175" s="416">
        <f>_xlfn.IFNA(VLOOKUP(A175,[3]進出口值表查詢結果!$C$11:$F$68,3,0),-[4]整車!$B$22)</f>
        <v>0</v>
      </c>
      <c r="X175" s="416">
        <f>_xlfn.IFNA(VLOOKUP(A175,[5]進出口值表查詢結果!$C$11:$F$75,4,0),-[4]整車!$B$22)</f>
        <v>0</v>
      </c>
      <c r="Y175" s="416">
        <f>_xlfn.IFNA(VLOOKUP(A175,[5]進出口值表查詢結果!$C$11:$F$75,3,0),-[4]整車!$B$22)</f>
        <v>0</v>
      </c>
      <c r="Z175" s="410">
        <f t="shared" si="29"/>
        <v>0</v>
      </c>
      <c r="AA175" s="410">
        <f t="shared" si="30"/>
        <v>0</v>
      </c>
    </row>
    <row r="176" spans="1:27">
      <c r="A176" s="453" t="s">
        <v>358</v>
      </c>
      <c r="B176" s="416"/>
      <c r="C176" s="416"/>
      <c r="D176" s="416"/>
      <c r="E176" s="416"/>
      <c r="F176" s="416">
        <v>0</v>
      </c>
      <c r="G176" s="416"/>
      <c r="H176" s="416">
        <v>0</v>
      </c>
      <c r="I176" s="416">
        <v>0</v>
      </c>
      <c r="J176" s="417"/>
      <c r="K176" s="418"/>
      <c r="L176" s="416">
        <v>0</v>
      </c>
      <c r="M176" s="416">
        <v>0</v>
      </c>
      <c r="N176" s="416">
        <v>0</v>
      </c>
      <c r="O176" s="416">
        <v>0</v>
      </c>
      <c r="P176" s="416">
        <v>0</v>
      </c>
      <c r="Q176" s="416">
        <v>0</v>
      </c>
      <c r="R176" s="416">
        <v>0</v>
      </c>
      <c r="S176" s="416">
        <v>0</v>
      </c>
      <c r="T176" s="416"/>
      <c r="U176" s="416"/>
      <c r="V176" s="416">
        <f>_xlfn.IFNA(VLOOKUP(A176,[3]進出口值表查詢結果!$C$11:$F$68,4,0),-[4]整車!$B$22)</f>
        <v>0</v>
      </c>
      <c r="W176" s="416">
        <f>_xlfn.IFNA(VLOOKUP(A176,[3]進出口值表查詢結果!$C$11:$F$68,3,0),-[4]整車!$B$22)</f>
        <v>0</v>
      </c>
      <c r="X176" s="416">
        <f>_xlfn.IFNA(VLOOKUP(A176,[5]進出口值表查詢結果!$C$11:$F$75,4,0),-[4]整車!$B$22)</f>
        <v>0</v>
      </c>
      <c r="Y176" s="416">
        <f>_xlfn.IFNA(VLOOKUP(A176,[5]進出口值表查詢結果!$C$11:$F$75,3,0),-[4]整車!$B$22)</f>
        <v>0</v>
      </c>
      <c r="Z176" s="410">
        <f t="shared" si="29"/>
        <v>0</v>
      </c>
      <c r="AA176" s="410">
        <f t="shared" si="30"/>
        <v>0</v>
      </c>
    </row>
    <row r="177" spans="1:27">
      <c r="A177" s="453" t="s">
        <v>359</v>
      </c>
      <c r="B177" s="416"/>
      <c r="C177" s="416"/>
      <c r="D177" s="416"/>
      <c r="E177" s="416"/>
      <c r="F177" s="416">
        <v>0</v>
      </c>
      <c r="G177" s="416"/>
      <c r="H177" s="416">
        <v>0</v>
      </c>
      <c r="I177" s="416">
        <v>0</v>
      </c>
      <c r="J177" s="417"/>
      <c r="K177" s="418"/>
      <c r="L177" s="416">
        <v>0</v>
      </c>
      <c r="M177" s="416">
        <v>0</v>
      </c>
      <c r="N177" s="416">
        <v>0</v>
      </c>
      <c r="O177" s="416">
        <v>0</v>
      </c>
      <c r="P177" s="416">
        <v>0</v>
      </c>
      <c r="Q177" s="416">
        <v>0</v>
      </c>
      <c r="R177" s="416">
        <v>0</v>
      </c>
      <c r="S177" s="416">
        <v>0</v>
      </c>
      <c r="T177" s="416"/>
      <c r="U177" s="416"/>
      <c r="V177" s="416">
        <f>_xlfn.IFNA(VLOOKUP(A177,[3]進出口值表查詢結果!$C$11:$F$68,4,0),-[4]整車!$B$22)</f>
        <v>0</v>
      </c>
      <c r="W177" s="416">
        <f>_xlfn.IFNA(VLOOKUP(A177,[3]進出口值表查詢結果!$C$11:$F$68,3,0),-[4]整車!$B$22)</f>
        <v>0</v>
      </c>
      <c r="X177" s="416">
        <f>_xlfn.IFNA(VLOOKUP(A177,[5]進出口值表查詢結果!$C$11:$F$75,4,0),-[4]整車!$B$22)</f>
        <v>0</v>
      </c>
      <c r="Y177" s="416">
        <f>_xlfn.IFNA(VLOOKUP(A177,[5]進出口值表查詢結果!$C$11:$F$75,3,0),-[4]整車!$B$22)</f>
        <v>0</v>
      </c>
      <c r="Z177" s="410">
        <f t="shared" si="29"/>
        <v>0</v>
      </c>
      <c r="AA177" s="410">
        <f t="shared" si="30"/>
        <v>0</v>
      </c>
    </row>
    <row r="178" spans="1:27">
      <c r="A178" s="453" t="s">
        <v>360</v>
      </c>
      <c r="B178" s="416"/>
      <c r="C178" s="416"/>
      <c r="D178" s="416"/>
      <c r="E178" s="416"/>
      <c r="F178" s="416">
        <v>0</v>
      </c>
      <c r="G178" s="416"/>
      <c r="H178" s="416">
        <v>0</v>
      </c>
      <c r="I178" s="416">
        <v>0</v>
      </c>
      <c r="J178" s="417"/>
      <c r="K178" s="418">
        <v>0</v>
      </c>
      <c r="L178" s="416">
        <v>0</v>
      </c>
      <c r="M178" s="416">
        <v>0</v>
      </c>
      <c r="N178" s="416">
        <v>0</v>
      </c>
      <c r="O178" s="416">
        <v>0</v>
      </c>
      <c r="P178" s="416">
        <v>0</v>
      </c>
      <c r="Q178" s="416">
        <v>0</v>
      </c>
      <c r="R178" s="416">
        <v>0</v>
      </c>
      <c r="S178" s="416">
        <v>0</v>
      </c>
      <c r="T178" s="416"/>
      <c r="U178" s="416"/>
      <c r="V178" s="416">
        <f>_xlfn.IFNA(VLOOKUP(A178,[3]進出口值表查詢結果!$C$11:$F$68,4,0),-[4]整車!$B$22)</f>
        <v>0</v>
      </c>
      <c r="W178" s="416">
        <f>_xlfn.IFNA(VLOOKUP(A178,[3]進出口值表查詢結果!$C$11:$F$68,3,0),-[4]整車!$B$22)</f>
        <v>0</v>
      </c>
      <c r="X178" s="416">
        <f>_xlfn.IFNA(VLOOKUP(A178,[5]進出口值表查詢結果!$C$11:$F$75,4,0),-[4]整車!$B$22)</f>
        <v>0</v>
      </c>
      <c r="Y178" s="416">
        <f>_xlfn.IFNA(VLOOKUP(A178,[5]進出口值表查詢結果!$C$11:$F$75,3,0),-[4]整車!$B$22)</f>
        <v>0</v>
      </c>
      <c r="Z178" s="410">
        <f t="shared" si="29"/>
        <v>0</v>
      </c>
      <c r="AA178" s="410">
        <f t="shared" si="30"/>
        <v>0</v>
      </c>
    </row>
    <row r="179" spans="1:27">
      <c r="A179" s="453" t="s">
        <v>361</v>
      </c>
      <c r="B179" s="416"/>
      <c r="C179" s="416"/>
      <c r="D179" s="416"/>
      <c r="E179" s="416"/>
      <c r="F179" s="416">
        <v>0</v>
      </c>
      <c r="G179" s="416"/>
      <c r="H179" s="416">
        <v>0</v>
      </c>
      <c r="I179" s="416">
        <v>0</v>
      </c>
      <c r="J179" s="417"/>
      <c r="K179" s="418">
        <v>0</v>
      </c>
      <c r="L179" s="416">
        <v>0</v>
      </c>
      <c r="M179" s="416">
        <v>0</v>
      </c>
      <c r="N179" s="416">
        <v>0</v>
      </c>
      <c r="O179" s="416">
        <v>0</v>
      </c>
      <c r="P179" s="416">
        <v>0</v>
      </c>
      <c r="Q179" s="416">
        <v>0</v>
      </c>
      <c r="R179" s="416">
        <v>0</v>
      </c>
      <c r="S179" s="416">
        <v>0</v>
      </c>
      <c r="T179" s="416"/>
      <c r="U179" s="416"/>
      <c r="V179" s="416">
        <f>_xlfn.IFNA(VLOOKUP(A179,[3]進出口值表查詢結果!$C$11:$F$68,4,0),-[4]整車!$B$22)</f>
        <v>0</v>
      </c>
      <c r="W179" s="416">
        <f>_xlfn.IFNA(VLOOKUP(A179,[3]進出口值表查詢結果!$C$11:$F$68,3,0),-[4]整車!$B$22)</f>
        <v>0</v>
      </c>
      <c r="X179" s="416">
        <f>_xlfn.IFNA(VLOOKUP(A179,[5]進出口值表查詢結果!$C$11:$F$75,4,0),-[4]整車!$B$22)</f>
        <v>0</v>
      </c>
      <c r="Y179" s="416">
        <f>_xlfn.IFNA(VLOOKUP(A179,[5]進出口值表查詢結果!$C$11:$F$75,3,0),-[4]整車!$B$22)</f>
        <v>0</v>
      </c>
      <c r="Z179" s="410">
        <f t="shared" si="29"/>
        <v>0</v>
      </c>
      <c r="AA179" s="410">
        <f t="shared" si="30"/>
        <v>0</v>
      </c>
    </row>
    <row r="180" spans="1:27">
      <c r="A180" s="453" t="s">
        <v>362</v>
      </c>
      <c r="B180" s="416"/>
      <c r="C180" s="416"/>
      <c r="D180" s="416"/>
      <c r="E180" s="416"/>
      <c r="F180" s="416">
        <v>0</v>
      </c>
      <c r="G180" s="416"/>
      <c r="H180" s="416">
        <v>0</v>
      </c>
      <c r="I180" s="416">
        <v>0</v>
      </c>
      <c r="J180" s="417"/>
      <c r="K180" s="418">
        <v>0</v>
      </c>
      <c r="L180" s="416">
        <v>0</v>
      </c>
      <c r="M180" s="416">
        <v>0</v>
      </c>
      <c r="N180" s="416">
        <v>0</v>
      </c>
      <c r="O180" s="416">
        <v>0</v>
      </c>
      <c r="P180" s="416">
        <v>0</v>
      </c>
      <c r="Q180" s="416">
        <v>0</v>
      </c>
      <c r="R180" s="416">
        <v>0</v>
      </c>
      <c r="S180" s="416">
        <v>0</v>
      </c>
      <c r="T180" s="416"/>
      <c r="U180" s="416"/>
      <c r="V180" s="416">
        <f>_xlfn.IFNA(VLOOKUP(A180,[3]進出口值表查詢結果!$C$11:$F$68,4,0),-[4]整車!$B$22)</f>
        <v>0</v>
      </c>
      <c r="W180" s="416">
        <f>_xlfn.IFNA(VLOOKUP(A180,[3]進出口值表查詢結果!$C$11:$F$68,3,0),-[4]整車!$B$22)</f>
        <v>0</v>
      </c>
      <c r="X180" s="416">
        <f>_xlfn.IFNA(VLOOKUP(A180,[5]進出口值表查詢結果!$C$11:$F$75,4,0),-[4]整車!$B$22)</f>
        <v>0</v>
      </c>
      <c r="Y180" s="416">
        <f>_xlfn.IFNA(VLOOKUP(A180,[5]進出口值表查詢結果!$C$11:$F$75,3,0),-[4]整車!$B$22)</f>
        <v>0</v>
      </c>
      <c r="Z180" s="410">
        <f t="shared" si="29"/>
        <v>0</v>
      </c>
      <c r="AA180" s="410">
        <f t="shared" si="30"/>
        <v>0</v>
      </c>
    </row>
    <row r="181" spans="1:27">
      <c r="A181" s="453" t="s">
        <v>363</v>
      </c>
      <c r="B181" s="416"/>
      <c r="C181" s="416"/>
      <c r="D181" s="416"/>
      <c r="E181" s="416"/>
      <c r="F181" s="416">
        <v>0</v>
      </c>
      <c r="G181" s="416"/>
      <c r="H181" s="416">
        <v>0</v>
      </c>
      <c r="I181" s="416">
        <v>0</v>
      </c>
      <c r="J181" s="417"/>
      <c r="K181" s="418">
        <v>0</v>
      </c>
      <c r="L181" s="416">
        <v>0</v>
      </c>
      <c r="M181" s="416">
        <v>0</v>
      </c>
      <c r="N181" s="416">
        <v>0</v>
      </c>
      <c r="O181" s="416">
        <v>0</v>
      </c>
      <c r="P181" s="416">
        <v>0</v>
      </c>
      <c r="Q181" s="416">
        <v>0</v>
      </c>
      <c r="R181" s="416">
        <v>0</v>
      </c>
      <c r="S181" s="416">
        <v>0</v>
      </c>
      <c r="T181" s="416"/>
      <c r="U181" s="416"/>
      <c r="V181" s="416">
        <f>_xlfn.IFNA(VLOOKUP(A181,[3]進出口值表查詢結果!$C$11:$F$68,4,0),-[4]整車!$B$22)</f>
        <v>0</v>
      </c>
      <c r="W181" s="416">
        <f>_xlfn.IFNA(VLOOKUP(A181,[3]進出口值表查詢結果!$C$11:$F$68,3,0),-[4]整車!$B$22)</f>
        <v>0</v>
      </c>
      <c r="X181" s="416">
        <f>_xlfn.IFNA(VLOOKUP(A181,[5]進出口值表查詢結果!$C$11:$F$75,4,0),-[4]整車!$B$22)</f>
        <v>0</v>
      </c>
      <c r="Y181" s="416">
        <f>_xlfn.IFNA(VLOOKUP(A181,[5]進出口值表查詢結果!$C$11:$F$75,3,0),-[4]整車!$B$22)</f>
        <v>0</v>
      </c>
      <c r="Z181" s="410">
        <f t="shared" si="29"/>
        <v>0</v>
      </c>
      <c r="AA181" s="410">
        <f t="shared" si="30"/>
        <v>0</v>
      </c>
    </row>
    <row r="182" spans="1:27">
      <c r="A182" s="453" t="s">
        <v>364</v>
      </c>
      <c r="B182" s="416"/>
      <c r="C182" s="416"/>
      <c r="D182" s="416"/>
      <c r="E182" s="416"/>
      <c r="F182" s="416">
        <v>0</v>
      </c>
      <c r="G182" s="416"/>
      <c r="H182" s="416">
        <v>0</v>
      </c>
      <c r="I182" s="416">
        <v>0</v>
      </c>
      <c r="J182" s="417"/>
      <c r="K182" s="418">
        <v>0</v>
      </c>
      <c r="L182" s="416">
        <v>0</v>
      </c>
      <c r="M182" s="416">
        <v>0</v>
      </c>
      <c r="N182" s="416">
        <v>0</v>
      </c>
      <c r="O182" s="416">
        <v>0</v>
      </c>
      <c r="P182" s="416">
        <v>0</v>
      </c>
      <c r="Q182" s="416">
        <v>0</v>
      </c>
      <c r="R182" s="416">
        <v>0</v>
      </c>
      <c r="S182" s="416">
        <v>0</v>
      </c>
      <c r="T182" s="416"/>
      <c r="U182" s="416"/>
      <c r="V182" s="416">
        <f>_xlfn.IFNA(VLOOKUP(A182,[3]進出口值表查詢結果!$C$11:$F$68,4,0),-[4]整車!$B$22)</f>
        <v>0</v>
      </c>
      <c r="W182" s="416">
        <f>_xlfn.IFNA(VLOOKUP(A182,[3]進出口值表查詢結果!$C$11:$F$68,3,0),-[4]整車!$B$22)</f>
        <v>0</v>
      </c>
      <c r="X182" s="416">
        <f>_xlfn.IFNA(VLOOKUP(A182,[5]進出口值表查詢結果!$C$11:$F$75,4,0),-[4]整車!$B$22)</f>
        <v>0</v>
      </c>
      <c r="Y182" s="416">
        <f>_xlfn.IFNA(VLOOKUP(A182,[5]進出口值表查詢結果!$C$11:$F$75,3,0),-[4]整車!$B$22)</f>
        <v>0</v>
      </c>
      <c r="Z182" s="410">
        <f t="shared" si="29"/>
        <v>0</v>
      </c>
      <c r="AA182" s="410">
        <f t="shared" si="30"/>
        <v>0</v>
      </c>
    </row>
    <row r="183" spans="1:27">
      <c r="A183" s="453" t="s">
        <v>365</v>
      </c>
      <c r="B183" s="416"/>
      <c r="C183" s="416"/>
      <c r="D183" s="416"/>
      <c r="E183" s="416"/>
      <c r="F183" s="416">
        <v>0</v>
      </c>
      <c r="G183" s="416"/>
      <c r="H183" s="416">
        <v>0</v>
      </c>
      <c r="I183" s="416">
        <v>0</v>
      </c>
      <c r="J183" s="417"/>
      <c r="K183" s="418">
        <v>0</v>
      </c>
      <c r="L183" s="416">
        <v>0</v>
      </c>
      <c r="M183" s="416">
        <v>0</v>
      </c>
      <c r="N183" s="416">
        <v>0</v>
      </c>
      <c r="O183" s="416">
        <v>0</v>
      </c>
      <c r="P183" s="416">
        <v>0</v>
      </c>
      <c r="Q183" s="416">
        <v>0</v>
      </c>
      <c r="R183" s="416">
        <v>0</v>
      </c>
      <c r="S183" s="416">
        <v>0</v>
      </c>
      <c r="T183" s="416"/>
      <c r="U183" s="416"/>
      <c r="V183" s="416">
        <f>_xlfn.IFNA(VLOOKUP(A183,[3]進出口值表查詢結果!$C$11:$F$68,4,0),-[4]整車!$B$22)</f>
        <v>0</v>
      </c>
      <c r="W183" s="416">
        <f>_xlfn.IFNA(VLOOKUP(A183,[3]進出口值表查詢結果!$C$11:$F$68,3,0),-[4]整車!$B$22)</f>
        <v>0</v>
      </c>
      <c r="X183" s="416">
        <f>_xlfn.IFNA(VLOOKUP(A183,[5]進出口值表查詢結果!$C$11:$F$75,4,0),-[4]整車!$B$22)</f>
        <v>0</v>
      </c>
      <c r="Y183" s="416">
        <f>_xlfn.IFNA(VLOOKUP(A183,[5]進出口值表查詢結果!$C$11:$F$75,3,0),-[4]整車!$B$22)</f>
        <v>0</v>
      </c>
      <c r="Z183" s="410">
        <f t="shared" si="29"/>
        <v>0</v>
      </c>
      <c r="AA183" s="410">
        <f t="shared" si="30"/>
        <v>0</v>
      </c>
    </row>
    <row r="184" spans="1:27">
      <c r="A184" s="453" t="s">
        <v>366</v>
      </c>
      <c r="B184" s="416"/>
      <c r="C184" s="416"/>
      <c r="D184" s="416"/>
      <c r="E184" s="416"/>
      <c r="F184" s="416">
        <v>0</v>
      </c>
      <c r="G184" s="416"/>
      <c r="H184" s="416">
        <v>0</v>
      </c>
      <c r="I184" s="416">
        <v>0</v>
      </c>
      <c r="J184" s="417"/>
      <c r="K184" s="418">
        <v>0</v>
      </c>
      <c r="L184" s="416">
        <v>0</v>
      </c>
      <c r="M184" s="416">
        <v>0</v>
      </c>
      <c r="N184" s="416">
        <v>0</v>
      </c>
      <c r="O184" s="416">
        <v>0</v>
      </c>
      <c r="P184" s="416">
        <v>0</v>
      </c>
      <c r="Q184" s="416">
        <v>0</v>
      </c>
      <c r="R184" s="416">
        <v>0</v>
      </c>
      <c r="S184" s="416">
        <v>0</v>
      </c>
      <c r="T184" s="416"/>
      <c r="U184" s="416"/>
      <c r="V184" s="416">
        <f>_xlfn.IFNA(VLOOKUP(A184,[3]進出口值表查詢結果!$C$11:$F$68,4,0),-[4]整車!$B$22)</f>
        <v>0</v>
      </c>
      <c r="W184" s="416">
        <f>_xlfn.IFNA(VLOOKUP(A184,[3]進出口值表查詢結果!$C$11:$F$68,3,0),-[4]整車!$B$22)</f>
        <v>0</v>
      </c>
      <c r="X184" s="416">
        <f>_xlfn.IFNA(VLOOKUP(A184,[5]進出口值表查詢結果!$C$11:$F$75,4,0),-[4]整車!$B$22)</f>
        <v>0</v>
      </c>
      <c r="Y184" s="416">
        <f>_xlfn.IFNA(VLOOKUP(A184,[5]進出口值表查詢結果!$C$11:$F$75,3,0),-[4]整車!$B$22)</f>
        <v>0</v>
      </c>
      <c r="Z184" s="410">
        <f t="shared" si="29"/>
        <v>0</v>
      </c>
      <c r="AA184" s="410">
        <f t="shared" si="30"/>
        <v>0</v>
      </c>
    </row>
    <row r="185" spans="1:27">
      <c r="A185" s="453" t="s">
        <v>367</v>
      </c>
      <c r="B185" s="416"/>
      <c r="C185" s="416"/>
      <c r="D185" s="416"/>
      <c r="E185" s="416"/>
      <c r="F185" s="416">
        <v>0</v>
      </c>
      <c r="G185" s="416"/>
      <c r="H185" s="416">
        <v>0</v>
      </c>
      <c r="I185" s="416">
        <v>0</v>
      </c>
      <c r="J185" s="417"/>
      <c r="K185" s="418">
        <v>0</v>
      </c>
      <c r="L185" s="416">
        <v>0</v>
      </c>
      <c r="M185" s="416">
        <v>0</v>
      </c>
      <c r="N185" s="416">
        <v>0</v>
      </c>
      <c r="O185" s="416">
        <v>0</v>
      </c>
      <c r="P185" s="416">
        <v>0</v>
      </c>
      <c r="Q185" s="416">
        <v>0</v>
      </c>
      <c r="R185" s="416">
        <v>0</v>
      </c>
      <c r="S185" s="416">
        <v>0</v>
      </c>
      <c r="T185" s="416"/>
      <c r="U185" s="416"/>
      <c r="V185" s="416">
        <f>_xlfn.IFNA(VLOOKUP(A185,[3]進出口值表查詢結果!$C$11:$F$68,4,0),-[4]整車!$B$22)</f>
        <v>0</v>
      </c>
      <c r="W185" s="416">
        <f>_xlfn.IFNA(VLOOKUP(A185,[3]進出口值表查詢結果!$C$11:$F$68,3,0),-[4]整車!$B$22)</f>
        <v>0</v>
      </c>
      <c r="X185" s="416">
        <f>_xlfn.IFNA(VLOOKUP(A185,[5]進出口值表查詢結果!$C$11:$F$75,4,0),-[4]整車!$B$22)</f>
        <v>0</v>
      </c>
      <c r="Y185" s="416">
        <f>_xlfn.IFNA(VLOOKUP(A185,[5]進出口值表查詢結果!$C$11:$F$75,3,0),-[4]整車!$B$22)</f>
        <v>0</v>
      </c>
      <c r="Z185" s="410">
        <f t="shared" si="29"/>
        <v>0</v>
      </c>
      <c r="AA185" s="410">
        <f t="shared" si="30"/>
        <v>0</v>
      </c>
    </row>
    <row r="186" spans="1:27">
      <c r="A186" s="453" t="s">
        <v>368</v>
      </c>
      <c r="B186" s="416"/>
      <c r="C186" s="416"/>
      <c r="D186" s="416"/>
      <c r="E186" s="416"/>
      <c r="F186" s="416">
        <v>0</v>
      </c>
      <c r="G186" s="416"/>
      <c r="H186" s="416">
        <v>0</v>
      </c>
      <c r="I186" s="416">
        <v>0</v>
      </c>
      <c r="J186" s="417"/>
      <c r="K186" s="418"/>
      <c r="L186" s="416">
        <v>0</v>
      </c>
      <c r="M186" s="416">
        <v>0</v>
      </c>
      <c r="N186" s="416">
        <v>0</v>
      </c>
      <c r="O186" s="416">
        <v>0</v>
      </c>
      <c r="P186" s="416">
        <v>0</v>
      </c>
      <c r="Q186" s="416">
        <v>0</v>
      </c>
      <c r="R186" s="416">
        <v>0</v>
      </c>
      <c r="S186" s="416">
        <v>0</v>
      </c>
      <c r="T186" s="416"/>
      <c r="U186" s="416"/>
      <c r="V186" s="416">
        <f>_xlfn.IFNA(VLOOKUP(A186,[3]進出口值表查詢結果!$C$11:$F$68,4,0),-[4]整車!$B$22)</f>
        <v>0</v>
      </c>
      <c r="W186" s="416">
        <f>_xlfn.IFNA(VLOOKUP(A186,[3]進出口值表查詢結果!$C$11:$F$68,3,0),-[4]整車!$B$22)</f>
        <v>0</v>
      </c>
      <c r="X186" s="416">
        <f>_xlfn.IFNA(VLOOKUP(A186,[5]進出口值表查詢結果!$C$11:$F$75,4,0),-[4]整車!$B$22)</f>
        <v>0</v>
      </c>
      <c r="Y186" s="416">
        <f>_xlfn.IFNA(VLOOKUP(A186,[5]進出口值表查詢結果!$C$11:$F$75,3,0),-[4]整車!$B$22)</f>
        <v>0</v>
      </c>
      <c r="Z186" s="410">
        <f t="shared" ref="Z186:Z200" si="31">SUM(B186,D186,F186,H186,J186,L186,N186,P186,R186,T186,V186,X186)</f>
        <v>0</v>
      </c>
      <c r="AA186" s="410"/>
    </row>
    <row r="187" spans="1:27">
      <c r="A187" s="453" t="s">
        <v>369</v>
      </c>
      <c r="B187" s="416"/>
      <c r="C187" s="416"/>
      <c r="D187" s="416"/>
      <c r="E187" s="416"/>
      <c r="F187" s="416">
        <v>0</v>
      </c>
      <c r="G187" s="416"/>
      <c r="H187" s="416">
        <v>0</v>
      </c>
      <c r="I187" s="416">
        <v>0</v>
      </c>
      <c r="J187" s="417"/>
      <c r="K187" s="418">
        <v>0</v>
      </c>
      <c r="L187" s="416">
        <v>0</v>
      </c>
      <c r="M187" s="416">
        <v>0</v>
      </c>
      <c r="N187" s="416">
        <v>0</v>
      </c>
      <c r="O187" s="416">
        <v>0</v>
      </c>
      <c r="P187" s="416">
        <v>0</v>
      </c>
      <c r="Q187" s="416">
        <v>0</v>
      </c>
      <c r="R187" s="416">
        <v>0</v>
      </c>
      <c r="S187" s="416">
        <v>0</v>
      </c>
      <c r="T187" s="416"/>
      <c r="U187" s="416"/>
      <c r="V187" s="416">
        <f>_xlfn.IFNA(VLOOKUP(A187,[3]進出口值表查詢結果!$C$11:$F$68,4,0),-[4]整車!$B$22)</f>
        <v>0</v>
      </c>
      <c r="W187" s="416">
        <f>_xlfn.IFNA(VLOOKUP(A187,[3]進出口值表查詢結果!$C$11:$F$68,3,0),-[4]整車!$B$22)</f>
        <v>0</v>
      </c>
      <c r="X187" s="416">
        <f>_xlfn.IFNA(VLOOKUP(A187,[5]進出口值表查詢結果!$C$11:$F$75,4,0),-[4]整車!$B$22)</f>
        <v>0</v>
      </c>
      <c r="Y187" s="416">
        <f>_xlfn.IFNA(VLOOKUP(A187,[5]進出口值表查詢結果!$C$11:$F$75,3,0),-[4]整車!$B$22)</f>
        <v>0</v>
      </c>
      <c r="Z187" s="410">
        <f t="shared" si="31"/>
        <v>0</v>
      </c>
      <c r="AA187" s="410">
        <f t="shared" ref="AA187:AA200" si="32">SUM(C187,E187,G187,I187,K187,M187,O187,Q187,S187,U187,W187,Y187)</f>
        <v>0</v>
      </c>
    </row>
    <row r="188" spans="1:27">
      <c r="A188" s="453" t="s">
        <v>370</v>
      </c>
      <c r="B188" s="416"/>
      <c r="C188" s="416"/>
      <c r="D188" s="416"/>
      <c r="E188" s="416"/>
      <c r="F188" s="416">
        <v>0</v>
      </c>
      <c r="G188" s="416"/>
      <c r="H188" s="416">
        <v>0</v>
      </c>
      <c r="I188" s="416">
        <v>0</v>
      </c>
      <c r="J188" s="417"/>
      <c r="K188" s="418">
        <v>0</v>
      </c>
      <c r="L188" s="416">
        <v>0</v>
      </c>
      <c r="M188" s="416">
        <v>0</v>
      </c>
      <c r="N188" s="416">
        <v>0</v>
      </c>
      <c r="O188" s="416">
        <v>0</v>
      </c>
      <c r="P188" s="416">
        <v>0</v>
      </c>
      <c r="Q188" s="416">
        <v>0</v>
      </c>
      <c r="R188" s="416">
        <v>0</v>
      </c>
      <c r="S188" s="416">
        <v>0</v>
      </c>
      <c r="T188" s="416"/>
      <c r="U188" s="416"/>
      <c r="V188" s="416">
        <f>_xlfn.IFNA(VLOOKUP(A188,[3]進出口值表查詢結果!$C$11:$F$68,4,0),-[4]整車!$B$22)</f>
        <v>0</v>
      </c>
      <c r="W188" s="416">
        <f>_xlfn.IFNA(VLOOKUP(A188,[3]進出口值表查詢結果!$C$11:$F$68,3,0),-[4]整車!$B$22)</f>
        <v>0</v>
      </c>
      <c r="X188" s="416">
        <f>_xlfn.IFNA(VLOOKUP(A188,[5]進出口值表查詢結果!$C$11:$F$75,4,0),-[4]整車!$B$22)</f>
        <v>0</v>
      </c>
      <c r="Y188" s="416">
        <f>_xlfn.IFNA(VLOOKUP(A188,[5]進出口值表查詢結果!$C$11:$F$75,3,0),-[4]整車!$B$22)</f>
        <v>0</v>
      </c>
      <c r="Z188" s="410">
        <f t="shared" si="31"/>
        <v>0</v>
      </c>
      <c r="AA188" s="410">
        <f t="shared" si="32"/>
        <v>0</v>
      </c>
    </row>
    <row r="189" spans="1:27">
      <c r="A189" s="459" t="s">
        <v>371</v>
      </c>
      <c r="B189" s="437">
        <f t="shared" ref="B189:Y189" si="33">SUM(B190:B203)</f>
        <v>0</v>
      </c>
      <c r="C189" s="437">
        <f t="shared" si="33"/>
        <v>0</v>
      </c>
      <c r="D189" s="437">
        <f t="shared" si="33"/>
        <v>0</v>
      </c>
      <c r="E189" s="437">
        <f t="shared" si="33"/>
        <v>0</v>
      </c>
      <c r="F189" s="437">
        <f t="shared" si="33"/>
        <v>0</v>
      </c>
      <c r="G189" s="437">
        <f t="shared" si="33"/>
        <v>0</v>
      </c>
      <c r="H189" s="437">
        <f t="shared" si="33"/>
        <v>10</v>
      </c>
      <c r="I189" s="437">
        <f t="shared" si="33"/>
        <v>1060</v>
      </c>
      <c r="J189" s="438">
        <f t="shared" si="33"/>
        <v>0</v>
      </c>
      <c r="K189" s="439">
        <f t="shared" si="33"/>
        <v>0</v>
      </c>
      <c r="L189" s="437">
        <f t="shared" si="33"/>
        <v>10</v>
      </c>
      <c r="M189" s="437">
        <f t="shared" si="33"/>
        <v>1039</v>
      </c>
      <c r="N189" s="437">
        <f t="shared" si="33"/>
        <v>1</v>
      </c>
      <c r="O189" s="437">
        <f t="shared" si="33"/>
        <v>2028</v>
      </c>
      <c r="P189" s="437">
        <f t="shared" si="33"/>
        <v>0</v>
      </c>
      <c r="Q189" s="437">
        <f t="shared" si="33"/>
        <v>0</v>
      </c>
      <c r="R189" s="437">
        <f t="shared" si="33"/>
        <v>5</v>
      </c>
      <c r="S189" s="437">
        <f t="shared" si="33"/>
        <v>543</v>
      </c>
      <c r="T189" s="437">
        <f t="shared" si="33"/>
        <v>19</v>
      </c>
      <c r="U189" s="437">
        <f t="shared" si="33"/>
        <v>12461</v>
      </c>
      <c r="V189" s="437">
        <f>SUM(V190:V203)</f>
        <v>7</v>
      </c>
      <c r="W189" s="437">
        <f>SUM(W190:W203)</f>
        <v>8701</v>
      </c>
      <c r="X189" s="437">
        <f t="shared" si="33"/>
        <v>0</v>
      </c>
      <c r="Y189" s="437">
        <f t="shared" si="33"/>
        <v>0</v>
      </c>
      <c r="Z189" s="423">
        <f t="shared" si="31"/>
        <v>52</v>
      </c>
      <c r="AA189" s="423">
        <f t="shared" si="32"/>
        <v>25832</v>
      </c>
    </row>
    <row r="190" spans="1:27">
      <c r="A190" s="419" t="s">
        <v>146</v>
      </c>
      <c r="B190" s="416"/>
      <c r="C190" s="416"/>
      <c r="D190" s="416">
        <v>0</v>
      </c>
      <c r="E190" s="416">
        <v>0</v>
      </c>
      <c r="F190" s="416">
        <v>0</v>
      </c>
      <c r="G190" s="416"/>
      <c r="H190" s="416">
        <v>0</v>
      </c>
      <c r="I190" s="416">
        <v>0</v>
      </c>
      <c r="J190" s="417">
        <v>0</v>
      </c>
      <c r="K190" s="418">
        <v>0</v>
      </c>
      <c r="L190" s="416">
        <v>0</v>
      </c>
      <c r="M190" s="416">
        <v>0</v>
      </c>
      <c r="N190" s="416">
        <v>0</v>
      </c>
      <c r="O190" s="416">
        <v>0</v>
      </c>
      <c r="P190" s="416">
        <v>0</v>
      </c>
      <c r="Q190" s="416">
        <v>0</v>
      </c>
      <c r="R190" s="416">
        <v>0</v>
      </c>
      <c r="S190" s="416">
        <v>0</v>
      </c>
      <c r="T190" s="416"/>
      <c r="U190" s="416"/>
      <c r="V190" s="416">
        <f>_xlfn.IFNA(VLOOKUP(A190,[3]進出口值表查詢結果!$C$11:$F$68,4,0),-[4]整車!$B$22)</f>
        <v>0</v>
      </c>
      <c r="W190" s="416">
        <f>_xlfn.IFNA(VLOOKUP(A190,[3]進出口值表查詢結果!$C$11:$F$68,3,0),-[4]整車!$B$22)</f>
        <v>0</v>
      </c>
      <c r="X190" s="416">
        <f>_xlfn.IFNA(VLOOKUP(A190,[5]進出口值表查詢結果!$C$11:$F$80,4,0),-[4]整車!$B$22)</f>
        <v>0</v>
      </c>
      <c r="Y190" s="416">
        <f>_xlfn.IFNA(VLOOKUP(A190,[5]進出口值表查詢結果!$C$11:$F$80,3,0),-[4]整車!$B$22)</f>
        <v>0</v>
      </c>
      <c r="Z190" s="410">
        <f t="shared" si="31"/>
        <v>0</v>
      </c>
      <c r="AA190" s="410">
        <f t="shared" si="32"/>
        <v>0</v>
      </c>
    </row>
    <row r="191" spans="1:27">
      <c r="A191" s="421" t="s">
        <v>372</v>
      </c>
      <c r="B191" s="416"/>
      <c r="C191" s="416"/>
      <c r="D191" s="416"/>
      <c r="E191" s="416">
        <v>0</v>
      </c>
      <c r="F191" s="416">
        <v>0</v>
      </c>
      <c r="G191" s="416"/>
      <c r="H191" s="416">
        <v>0</v>
      </c>
      <c r="I191" s="416">
        <v>0</v>
      </c>
      <c r="J191" s="417">
        <v>0</v>
      </c>
      <c r="K191" s="418">
        <v>0</v>
      </c>
      <c r="L191" s="416">
        <v>0</v>
      </c>
      <c r="M191" s="416">
        <v>0</v>
      </c>
      <c r="N191" s="416">
        <v>0</v>
      </c>
      <c r="O191" s="416">
        <v>0</v>
      </c>
      <c r="P191" s="416">
        <v>0</v>
      </c>
      <c r="Q191" s="416">
        <v>0</v>
      </c>
      <c r="R191" s="416">
        <v>0</v>
      </c>
      <c r="S191" s="416">
        <v>0</v>
      </c>
      <c r="T191" s="416"/>
      <c r="U191" s="416"/>
      <c r="V191" s="416">
        <f>_xlfn.IFNA(VLOOKUP(A191,[3]進出口值表查詢結果!$C$11:$F$68,4,0),-[4]整車!$B$22)</f>
        <v>0</v>
      </c>
      <c r="W191" s="416">
        <f>_xlfn.IFNA(VLOOKUP(A191,[3]進出口值表查詢結果!$C$11:$F$68,3,0),-[4]整車!$B$22)</f>
        <v>0</v>
      </c>
      <c r="X191" s="416">
        <f>_xlfn.IFNA(VLOOKUP(A191,[5]進出口值表查詢結果!$C$11:$F$80,4,0),-[4]整車!$B$22)</f>
        <v>0</v>
      </c>
      <c r="Y191" s="416">
        <f>_xlfn.IFNA(VLOOKUP(A191,[5]進出口值表查詢結果!$C$11:$F$80,3,0),-[4]整車!$B$22)</f>
        <v>0</v>
      </c>
      <c r="Z191" s="410">
        <f t="shared" si="31"/>
        <v>0</v>
      </c>
      <c r="AA191" s="410">
        <f t="shared" si="32"/>
        <v>0</v>
      </c>
    </row>
    <row r="192" spans="1:27">
      <c r="A192" s="419" t="s">
        <v>373</v>
      </c>
      <c r="B192" s="416"/>
      <c r="C192" s="416"/>
      <c r="D192" s="416"/>
      <c r="E192" s="416">
        <v>0</v>
      </c>
      <c r="F192" s="416">
        <v>0</v>
      </c>
      <c r="G192" s="416"/>
      <c r="H192" s="416">
        <v>0</v>
      </c>
      <c r="I192" s="416">
        <v>0</v>
      </c>
      <c r="J192" s="417">
        <v>0</v>
      </c>
      <c r="K192" s="418">
        <v>0</v>
      </c>
      <c r="L192" s="416">
        <v>0</v>
      </c>
      <c r="M192" s="416">
        <v>0</v>
      </c>
      <c r="N192" s="416">
        <v>0</v>
      </c>
      <c r="O192" s="416">
        <v>0</v>
      </c>
      <c r="P192" s="416">
        <v>0</v>
      </c>
      <c r="Q192" s="416">
        <v>0</v>
      </c>
      <c r="R192" s="416">
        <v>0</v>
      </c>
      <c r="S192" s="416">
        <v>0</v>
      </c>
      <c r="T192" s="416"/>
      <c r="U192" s="416"/>
      <c r="V192" s="416">
        <f>_xlfn.IFNA(VLOOKUP(A192,[3]進出口值表查詢結果!$C$11:$F$68,4,0),-[4]整車!$B$22)</f>
        <v>0</v>
      </c>
      <c r="W192" s="416">
        <f>_xlfn.IFNA(VLOOKUP(A192,[3]進出口值表查詢結果!$C$11:$F$68,3,0),-[4]整車!$B$22)</f>
        <v>0</v>
      </c>
      <c r="X192" s="416">
        <f>_xlfn.IFNA(VLOOKUP(A192,[5]進出口值表查詢結果!$C$11:$F$80,4,0),-[4]整車!$B$22)</f>
        <v>0</v>
      </c>
      <c r="Y192" s="416">
        <f>_xlfn.IFNA(VLOOKUP(A192,[5]進出口值表查詢結果!$C$11:$F$80,3,0),-[4]整車!$B$22)</f>
        <v>0</v>
      </c>
      <c r="Z192" s="410">
        <f t="shared" si="31"/>
        <v>0</v>
      </c>
      <c r="AA192" s="410">
        <f t="shared" si="32"/>
        <v>0</v>
      </c>
    </row>
    <row r="193" spans="1:27">
      <c r="A193" s="441" t="s">
        <v>374</v>
      </c>
      <c r="B193" s="416"/>
      <c r="C193" s="416"/>
      <c r="D193" s="416"/>
      <c r="E193" s="416">
        <v>0</v>
      </c>
      <c r="F193" s="416">
        <v>0</v>
      </c>
      <c r="G193" s="416"/>
      <c r="H193" s="416">
        <v>10</v>
      </c>
      <c r="I193" s="416">
        <v>1060</v>
      </c>
      <c r="J193" s="417">
        <v>0</v>
      </c>
      <c r="K193" s="418">
        <v>0</v>
      </c>
      <c r="L193" s="416">
        <v>0</v>
      </c>
      <c r="M193" s="416">
        <v>0</v>
      </c>
      <c r="N193" s="416">
        <v>0</v>
      </c>
      <c r="O193" s="416">
        <v>0</v>
      </c>
      <c r="P193" s="416">
        <v>0</v>
      </c>
      <c r="Q193" s="416">
        <v>0</v>
      </c>
      <c r="R193" s="416">
        <v>0</v>
      </c>
      <c r="S193" s="416">
        <v>0</v>
      </c>
      <c r="T193" s="416"/>
      <c r="U193" s="416"/>
      <c r="V193" s="416">
        <f>_xlfn.IFNA(VLOOKUP(A193,[3]進出口值表查詢結果!$C$11:$F$68,4,0),-[4]整車!$B$22)</f>
        <v>0</v>
      </c>
      <c r="W193" s="416">
        <f>_xlfn.IFNA(VLOOKUP(A193,[3]進出口值表查詢結果!$C$11:$F$68,3,0),-[4]整車!$B$22)</f>
        <v>0</v>
      </c>
      <c r="X193" s="416">
        <f>_xlfn.IFNA(VLOOKUP(A193,[5]進出口值表查詢結果!$C$11:$F$80,4,0),-[4]整車!$B$22)</f>
        <v>0</v>
      </c>
      <c r="Y193" s="416">
        <f>_xlfn.IFNA(VLOOKUP(A193,[5]進出口值表查詢結果!$C$11:$F$80,3,0),-[4]整車!$B$22)</f>
        <v>0</v>
      </c>
      <c r="Z193" s="410">
        <f t="shared" si="31"/>
        <v>10</v>
      </c>
      <c r="AA193" s="410">
        <f t="shared" si="32"/>
        <v>1060</v>
      </c>
    </row>
    <row r="194" spans="1:27">
      <c r="A194" s="453" t="s">
        <v>375</v>
      </c>
      <c r="B194" s="416"/>
      <c r="C194" s="416"/>
      <c r="D194" s="416"/>
      <c r="E194" s="416">
        <v>0</v>
      </c>
      <c r="F194" s="416">
        <v>0</v>
      </c>
      <c r="G194" s="416"/>
      <c r="H194" s="416">
        <v>0</v>
      </c>
      <c r="I194" s="416">
        <v>0</v>
      </c>
      <c r="J194" s="417">
        <v>0</v>
      </c>
      <c r="K194" s="418">
        <v>0</v>
      </c>
      <c r="L194" s="416">
        <v>0</v>
      </c>
      <c r="M194" s="416">
        <v>0</v>
      </c>
      <c r="N194" s="416">
        <v>0</v>
      </c>
      <c r="O194" s="416">
        <v>0</v>
      </c>
      <c r="P194" s="416">
        <v>0</v>
      </c>
      <c r="Q194" s="416">
        <v>0</v>
      </c>
      <c r="R194" s="416">
        <v>0</v>
      </c>
      <c r="S194" s="416">
        <v>0</v>
      </c>
      <c r="T194" s="416"/>
      <c r="U194" s="416"/>
      <c r="V194" s="416">
        <f>_xlfn.IFNA(VLOOKUP(A194,[3]進出口值表查詢結果!$C$11:$F$68,4,0),-[4]整車!$B$22)</f>
        <v>0</v>
      </c>
      <c r="W194" s="416">
        <f>_xlfn.IFNA(VLOOKUP(A194,[3]進出口值表查詢結果!$C$11:$F$68,3,0),-[4]整車!$B$22)</f>
        <v>0</v>
      </c>
      <c r="X194" s="416">
        <f>_xlfn.IFNA(VLOOKUP(A194,[5]進出口值表查詢結果!$C$11:$F$80,4,0),-[4]整車!$B$22)</f>
        <v>0</v>
      </c>
      <c r="Y194" s="416">
        <f>_xlfn.IFNA(VLOOKUP(A194,[5]進出口值表查詢結果!$C$11:$F$80,3,0),-[4]整車!$B$22)</f>
        <v>0</v>
      </c>
      <c r="Z194" s="410">
        <f t="shared" si="31"/>
        <v>0</v>
      </c>
      <c r="AA194" s="410">
        <f t="shared" si="32"/>
        <v>0</v>
      </c>
    </row>
    <row r="195" spans="1:27">
      <c r="A195" s="419" t="s">
        <v>147</v>
      </c>
      <c r="B195" s="416"/>
      <c r="C195" s="416"/>
      <c r="D195" s="416"/>
      <c r="E195" s="416">
        <v>0</v>
      </c>
      <c r="F195" s="416">
        <v>0</v>
      </c>
      <c r="G195" s="416"/>
      <c r="H195" s="416">
        <v>0</v>
      </c>
      <c r="I195" s="416">
        <v>0</v>
      </c>
      <c r="J195" s="417">
        <v>0</v>
      </c>
      <c r="K195" s="418">
        <v>0</v>
      </c>
      <c r="L195" s="416">
        <v>0</v>
      </c>
      <c r="M195" s="416">
        <v>0</v>
      </c>
      <c r="N195" s="416">
        <v>0</v>
      </c>
      <c r="O195" s="416">
        <v>0</v>
      </c>
      <c r="P195" s="416">
        <v>0</v>
      </c>
      <c r="Q195" s="416">
        <v>0</v>
      </c>
      <c r="R195" s="416">
        <v>0</v>
      </c>
      <c r="S195" s="416">
        <v>0</v>
      </c>
      <c r="T195" s="416"/>
      <c r="U195" s="416"/>
      <c r="V195" s="416">
        <f>_xlfn.IFNA(VLOOKUP(A195,[3]進出口值表查詢結果!$C$11:$F$68,4,0),-[4]整車!$B$22)</f>
        <v>0</v>
      </c>
      <c r="W195" s="416">
        <f>_xlfn.IFNA(VLOOKUP(A195,[3]進出口值表查詢結果!$C$11:$F$68,3,0),-[4]整車!$B$22)</f>
        <v>0</v>
      </c>
      <c r="X195" s="416">
        <f>_xlfn.IFNA(VLOOKUP(A195,[5]進出口值表查詢結果!$C$11:$F$80,4,0),-[4]整車!$B$22)</f>
        <v>0</v>
      </c>
      <c r="Y195" s="416">
        <f>_xlfn.IFNA(VLOOKUP(A195,[5]進出口值表查詢結果!$C$11:$F$80,3,0),-[4]整車!$B$22)</f>
        <v>0</v>
      </c>
      <c r="Z195" s="410">
        <f t="shared" si="31"/>
        <v>0</v>
      </c>
      <c r="AA195" s="410">
        <f t="shared" si="32"/>
        <v>0</v>
      </c>
    </row>
    <row r="196" spans="1:27">
      <c r="A196" s="453" t="s">
        <v>376</v>
      </c>
      <c r="B196" s="416"/>
      <c r="C196" s="416"/>
      <c r="D196" s="416"/>
      <c r="E196" s="416">
        <v>0</v>
      </c>
      <c r="F196" s="416">
        <v>0</v>
      </c>
      <c r="G196" s="416"/>
      <c r="H196" s="416">
        <v>0</v>
      </c>
      <c r="I196" s="416">
        <v>0</v>
      </c>
      <c r="J196" s="417">
        <v>0</v>
      </c>
      <c r="K196" s="418">
        <v>0</v>
      </c>
      <c r="L196" s="416">
        <v>0</v>
      </c>
      <c r="M196" s="416">
        <v>0</v>
      </c>
      <c r="N196" s="416">
        <v>0</v>
      </c>
      <c r="O196" s="416">
        <v>0</v>
      </c>
      <c r="P196" s="416">
        <v>0</v>
      </c>
      <c r="Q196" s="416">
        <v>0</v>
      </c>
      <c r="R196" s="416">
        <v>0</v>
      </c>
      <c r="S196" s="416">
        <v>0</v>
      </c>
      <c r="T196" s="416">
        <v>19</v>
      </c>
      <c r="U196" s="416">
        <v>12461</v>
      </c>
      <c r="V196" s="416">
        <f>_xlfn.IFNA(VLOOKUP(A196,[3]進出口值表查詢結果!$C$11:$F$68,4,0),-[4]整車!$B$22)</f>
        <v>0</v>
      </c>
      <c r="W196" s="416">
        <f>_xlfn.IFNA(VLOOKUP(A196,[3]進出口值表查詢結果!$C$11:$F$68,3,0),-[4]整車!$B$22)</f>
        <v>0</v>
      </c>
      <c r="X196" s="416">
        <f>_xlfn.IFNA(VLOOKUP(A196,[5]進出口值表查詢結果!$C$11:$F$80,4,0),-[4]整車!$B$22)</f>
        <v>0</v>
      </c>
      <c r="Y196" s="416">
        <f>_xlfn.IFNA(VLOOKUP(A196,[5]進出口值表查詢結果!$C$11:$F$80,3,0),-[4]整車!$B$22)</f>
        <v>0</v>
      </c>
      <c r="Z196" s="410">
        <f t="shared" si="31"/>
        <v>19</v>
      </c>
      <c r="AA196" s="410">
        <f t="shared" si="32"/>
        <v>12461</v>
      </c>
    </row>
    <row r="197" spans="1:27">
      <c r="A197" s="453" t="s">
        <v>377</v>
      </c>
      <c r="B197" s="416"/>
      <c r="C197" s="416"/>
      <c r="D197" s="416"/>
      <c r="E197" s="416">
        <v>0</v>
      </c>
      <c r="F197" s="416">
        <v>0</v>
      </c>
      <c r="G197" s="416"/>
      <c r="H197" s="416">
        <v>0</v>
      </c>
      <c r="I197" s="416">
        <v>0</v>
      </c>
      <c r="J197" s="417">
        <v>0</v>
      </c>
      <c r="K197" s="418">
        <v>0</v>
      </c>
      <c r="L197" s="416">
        <v>0</v>
      </c>
      <c r="M197" s="416">
        <v>0</v>
      </c>
      <c r="N197" s="416">
        <v>0</v>
      </c>
      <c r="O197" s="416">
        <v>0</v>
      </c>
      <c r="P197" s="416">
        <v>0</v>
      </c>
      <c r="Q197" s="416">
        <v>0</v>
      </c>
      <c r="R197" s="416">
        <v>0</v>
      </c>
      <c r="S197" s="416">
        <v>0</v>
      </c>
      <c r="T197" s="416"/>
      <c r="U197" s="416"/>
      <c r="V197" s="416">
        <f>_xlfn.IFNA(VLOOKUP(A197,[3]進出口值表查詢結果!$C$11:$F$68,4,0),-[4]整車!$B$22)</f>
        <v>0</v>
      </c>
      <c r="W197" s="416">
        <f>_xlfn.IFNA(VLOOKUP(A197,[3]進出口值表查詢結果!$C$11:$F$68,3,0),-[4]整車!$B$22)</f>
        <v>0</v>
      </c>
      <c r="X197" s="416">
        <f>_xlfn.IFNA(VLOOKUP(A197,[5]進出口值表查詢結果!$C$11:$F$80,4,0),-[4]整車!$B$22)</f>
        <v>0</v>
      </c>
      <c r="Y197" s="416">
        <f>_xlfn.IFNA(VLOOKUP(A197,[5]進出口值表查詢結果!$C$11:$F$80,3,0),-[4]整車!$B$22)</f>
        <v>0</v>
      </c>
      <c r="Z197" s="410">
        <f t="shared" si="31"/>
        <v>0</v>
      </c>
      <c r="AA197" s="410">
        <f t="shared" si="32"/>
        <v>0</v>
      </c>
    </row>
    <row r="198" spans="1:27">
      <c r="A198" s="453" t="s">
        <v>378</v>
      </c>
      <c r="B198" s="416"/>
      <c r="C198" s="416"/>
      <c r="D198" s="416"/>
      <c r="E198" s="416">
        <v>0</v>
      </c>
      <c r="F198" s="416">
        <v>0</v>
      </c>
      <c r="G198" s="416"/>
      <c r="H198" s="416">
        <v>0</v>
      </c>
      <c r="I198" s="416">
        <v>0</v>
      </c>
      <c r="J198" s="417">
        <v>0</v>
      </c>
      <c r="K198" s="418">
        <v>0</v>
      </c>
      <c r="L198" s="416">
        <v>0</v>
      </c>
      <c r="M198" s="416">
        <v>0</v>
      </c>
      <c r="N198" s="416">
        <v>0</v>
      </c>
      <c r="O198" s="416">
        <v>0</v>
      </c>
      <c r="P198" s="416">
        <v>0</v>
      </c>
      <c r="Q198" s="416">
        <v>0</v>
      </c>
      <c r="R198" s="416">
        <v>0</v>
      </c>
      <c r="S198" s="416">
        <v>0</v>
      </c>
      <c r="T198" s="416"/>
      <c r="U198" s="416"/>
      <c r="V198" s="416">
        <f>_xlfn.IFNA(VLOOKUP(A198,[3]進出口值表查詢結果!$C$11:$F$68,4,0),-[4]整車!$B$22)</f>
        <v>0</v>
      </c>
      <c r="W198" s="416">
        <f>_xlfn.IFNA(VLOOKUP(A198,[3]進出口值表查詢結果!$C$11:$F$68,3,0),-[4]整車!$B$22)</f>
        <v>0</v>
      </c>
      <c r="X198" s="416">
        <f>_xlfn.IFNA(VLOOKUP(A198,[5]進出口值表查詢結果!$C$11:$F$80,4,0),-[4]整車!$B$22)</f>
        <v>0</v>
      </c>
      <c r="Y198" s="416">
        <f>_xlfn.IFNA(VLOOKUP(A198,[5]進出口值表查詢結果!$C$11:$F$80,3,0),-[4]整車!$B$22)</f>
        <v>0</v>
      </c>
      <c r="Z198" s="410">
        <f t="shared" si="31"/>
        <v>0</v>
      </c>
      <c r="AA198" s="410">
        <f t="shared" si="32"/>
        <v>0</v>
      </c>
    </row>
    <row r="199" spans="1:27">
      <c r="A199" s="453" t="s">
        <v>397</v>
      </c>
      <c r="B199" s="416"/>
      <c r="C199" s="416"/>
      <c r="D199" s="416"/>
      <c r="E199" s="416">
        <v>0</v>
      </c>
      <c r="F199" s="416">
        <v>0</v>
      </c>
      <c r="G199" s="416"/>
      <c r="H199" s="416">
        <v>0</v>
      </c>
      <c r="I199" s="416">
        <v>0</v>
      </c>
      <c r="J199" s="417" t="s">
        <v>60</v>
      </c>
      <c r="K199" s="418">
        <v>0</v>
      </c>
      <c r="L199" s="416">
        <v>10</v>
      </c>
      <c r="M199" s="416">
        <v>1039</v>
      </c>
      <c r="N199" s="416">
        <v>0</v>
      </c>
      <c r="O199" s="416">
        <v>0</v>
      </c>
      <c r="P199" s="416">
        <v>0</v>
      </c>
      <c r="Q199" s="416">
        <v>0</v>
      </c>
      <c r="R199" s="416">
        <v>5</v>
      </c>
      <c r="S199" s="416">
        <v>543</v>
      </c>
      <c r="T199" s="416"/>
      <c r="U199" s="416"/>
      <c r="V199" s="416">
        <f>_xlfn.IFNA(VLOOKUP(A199,[3]進出口值表查詢結果!$C$11:$F$68,4,0),-[4]整車!$B$22)</f>
        <v>2</v>
      </c>
      <c r="W199" s="416">
        <f>_xlfn.IFNA(VLOOKUP(A199,[3]進出口值表查詢結果!$C$11:$F$68,3,0),-[4]整車!$B$22)</f>
        <v>763</v>
      </c>
      <c r="X199" s="416">
        <f>_xlfn.IFNA(VLOOKUP(A199,[5]進出口值表查詢結果!$C$11:$F$80,4,0),-[4]整車!$B$22)</f>
        <v>0</v>
      </c>
      <c r="Y199" s="416">
        <f>_xlfn.IFNA(VLOOKUP(A199,[5]進出口值表查詢結果!$C$11:$F$80,3,0),-[4]整車!$B$22)</f>
        <v>0</v>
      </c>
      <c r="Z199" s="410">
        <f t="shared" si="31"/>
        <v>17</v>
      </c>
      <c r="AA199" s="410">
        <f t="shared" si="32"/>
        <v>2345</v>
      </c>
    </row>
    <row r="200" spans="1:27">
      <c r="A200" s="419" t="s">
        <v>148</v>
      </c>
      <c r="B200" s="416"/>
      <c r="C200" s="416"/>
      <c r="D200" s="416"/>
      <c r="E200" s="416">
        <v>0</v>
      </c>
      <c r="F200" s="416">
        <v>0</v>
      </c>
      <c r="G200" s="416"/>
      <c r="H200" s="416">
        <v>0</v>
      </c>
      <c r="I200" s="416">
        <v>0</v>
      </c>
      <c r="J200" s="417">
        <v>0</v>
      </c>
      <c r="K200" s="418">
        <v>0</v>
      </c>
      <c r="L200" s="416">
        <v>0</v>
      </c>
      <c r="M200" s="416">
        <v>0</v>
      </c>
      <c r="N200" s="416">
        <v>1</v>
      </c>
      <c r="O200" s="416">
        <v>2028</v>
      </c>
      <c r="P200" s="416">
        <v>0</v>
      </c>
      <c r="Q200" s="416">
        <v>0</v>
      </c>
      <c r="R200" s="416">
        <v>0</v>
      </c>
      <c r="S200" s="416">
        <v>0</v>
      </c>
      <c r="T200" s="416"/>
      <c r="U200" s="416"/>
      <c r="V200" s="416">
        <f>_xlfn.IFNA(VLOOKUP(A200,[3]進出口值表查詢結果!$C$11:$F$68,4,0),-[4]整車!$B$22)</f>
        <v>0</v>
      </c>
      <c r="W200" s="416">
        <f>_xlfn.IFNA(VLOOKUP(A200,[3]進出口值表查詢結果!$C$11:$F$68,3,0),-[4]整車!$B$22)</f>
        <v>0</v>
      </c>
      <c r="X200" s="416">
        <f>_xlfn.IFNA(VLOOKUP(A200,[5]進出口值表查詢結果!$C$11:$F$80,4,0),-[4]整車!$B$22)</f>
        <v>0</v>
      </c>
      <c r="Y200" s="416">
        <f>_xlfn.IFNA(VLOOKUP(A200,[5]進出口值表查詢結果!$C$11:$F$80,3,0),-[4]整車!$B$22)</f>
        <v>0</v>
      </c>
      <c r="Z200" s="410">
        <f t="shared" si="31"/>
        <v>1</v>
      </c>
      <c r="AA200" s="410">
        <f t="shared" si="32"/>
        <v>2028</v>
      </c>
    </row>
    <row r="201" spans="1:27">
      <c r="A201" s="457" t="s">
        <v>379</v>
      </c>
      <c r="B201" s="416"/>
      <c r="C201" s="416"/>
      <c r="D201" s="416"/>
      <c r="E201" s="416"/>
      <c r="F201" s="416"/>
      <c r="G201" s="416"/>
      <c r="H201" s="416">
        <v>0</v>
      </c>
      <c r="I201" s="416">
        <v>0</v>
      </c>
      <c r="J201" s="417" t="s">
        <v>60</v>
      </c>
      <c r="K201" s="418"/>
      <c r="L201" s="416">
        <v>0</v>
      </c>
      <c r="M201" s="416">
        <v>0</v>
      </c>
      <c r="N201" s="416">
        <v>0</v>
      </c>
      <c r="O201" s="416">
        <v>0</v>
      </c>
      <c r="P201" s="416">
        <v>0</v>
      </c>
      <c r="Q201" s="416">
        <v>0</v>
      </c>
      <c r="R201" s="416">
        <v>0</v>
      </c>
      <c r="S201" s="416">
        <v>0</v>
      </c>
      <c r="T201" s="416"/>
      <c r="U201" s="416"/>
      <c r="V201" s="416">
        <f>_xlfn.IFNA(VLOOKUP(A201,[3]進出口值表查詢結果!$C$11:$F$68,4,0),-[4]整車!$B$22)</f>
        <v>0</v>
      </c>
      <c r="W201" s="416">
        <f>_xlfn.IFNA(VLOOKUP(A201,[3]進出口值表查詢結果!$C$11:$F$68,3,0),-[4]整車!$B$22)</f>
        <v>0</v>
      </c>
      <c r="X201" s="416">
        <f>_xlfn.IFNA(VLOOKUP(A201,[5]進出口值表查詢結果!$C$11:$F$80,4,0),-[4]整車!$B$22)</f>
        <v>0</v>
      </c>
      <c r="Y201" s="416">
        <f>_xlfn.IFNA(VLOOKUP(A201,[5]進出口值表查詢結果!$C$11:$F$80,3,0),-[4]整車!$B$22)</f>
        <v>0</v>
      </c>
      <c r="Z201" s="410"/>
      <c r="AA201" s="410"/>
    </row>
    <row r="202" spans="1:27">
      <c r="A202" s="453" t="s">
        <v>398</v>
      </c>
      <c r="B202" s="416"/>
      <c r="C202" s="416"/>
      <c r="D202" s="416"/>
      <c r="E202" s="416"/>
      <c r="F202" s="416"/>
      <c r="G202" s="416"/>
      <c r="H202" s="416">
        <v>0</v>
      </c>
      <c r="I202" s="416">
        <v>0</v>
      </c>
      <c r="J202" s="417" t="s">
        <v>60</v>
      </c>
      <c r="K202" s="418"/>
      <c r="L202" s="416">
        <v>0</v>
      </c>
      <c r="M202" s="416">
        <v>0</v>
      </c>
      <c r="N202" s="416">
        <v>0</v>
      </c>
      <c r="O202" s="416">
        <v>0</v>
      </c>
      <c r="P202" s="416">
        <v>0</v>
      </c>
      <c r="Q202" s="416">
        <v>0</v>
      </c>
      <c r="R202" s="416">
        <v>0</v>
      </c>
      <c r="S202" s="416">
        <v>0</v>
      </c>
      <c r="T202" s="416"/>
      <c r="U202" s="416"/>
      <c r="V202" s="416">
        <f>_xlfn.IFNA(VLOOKUP(A202,[3]進出口值表查詢結果!$C$11:$F$68,4,0),-[4]整車!$B$22)</f>
        <v>5</v>
      </c>
      <c r="W202" s="416">
        <f>_xlfn.IFNA(VLOOKUP(A202,[3]進出口值表查詢結果!$C$11:$F$68,3,0),-[4]整車!$B$22)</f>
        <v>7938</v>
      </c>
      <c r="X202" s="416">
        <f>_xlfn.IFNA(VLOOKUP(A202,[5]進出口值表查詢結果!$C$11:$F$80,4,0),-[4]整車!$B$22)</f>
        <v>0</v>
      </c>
      <c r="Y202" s="416">
        <f>_xlfn.IFNA(VLOOKUP(A202,[5]進出口值表查詢結果!$C$11:$F$80,3,0),-[4]整車!$B$22)</f>
        <v>0</v>
      </c>
      <c r="Z202" s="410"/>
      <c r="AA202" s="410"/>
    </row>
    <row r="203" spans="1:27">
      <c r="A203" s="457" t="s">
        <v>399</v>
      </c>
      <c r="B203" s="416"/>
      <c r="C203" s="416"/>
      <c r="D203" s="442">
        <v>0</v>
      </c>
      <c r="E203" s="416">
        <v>0</v>
      </c>
      <c r="F203" s="416">
        <v>0</v>
      </c>
      <c r="G203" s="443"/>
      <c r="H203" s="416">
        <v>0</v>
      </c>
      <c r="I203" s="416">
        <v>0</v>
      </c>
      <c r="J203" s="417">
        <v>0</v>
      </c>
      <c r="K203" s="418">
        <v>0</v>
      </c>
      <c r="L203" s="416">
        <v>0</v>
      </c>
      <c r="M203" s="416">
        <v>0</v>
      </c>
      <c r="N203" s="416">
        <v>0</v>
      </c>
      <c r="O203" s="416">
        <v>0</v>
      </c>
      <c r="P203" s="416">
        <v>0</v>
      </c>
      <c r="Q203" s="416">
        <v>0</v>
      </c>
      <c r="R203" s="416">
        <v>0</v>
      </c>
      <c r="S203" s="416">
        <v>0</v>
      </c>
      <c r="T203" s="416">
        <v>0</v>
      </c>
      <c r="U203" s="416">
        <v>0</v>
      </c>
      <c r="V203" s="416">
        <f>_xlfn.IFNA(VLOOKUP(A203,[3]進出口值表查詢結果!$C$11:$F$68,4,0),-[4]整車!$B$22)</f>
        <v>0</v>
      </c>
      <c r="W203" s="416">
        <f>_xlfn.IFNA(VLOOKUP(A203,[3]進出口值表查詢結果!$C$11:$F$68,3,0),-[4]整車!$B$22)</f>
        <v>0</v>
      </c>
      <c r="X203" s="416">
        <f>_xlfn.IFNA(VLOOKUP(A203,[5]進出口值表查詢結果!$C$11:$F$80,4,0),-[4]整車!$B$22)</f>
        <v>0</v>
      </c>
      <c r="Y203" s="416">
        <f>_xlfn.IFNA(VLOOKUP(A203,[5]進出口值表查詢結果!$C$11:$F$80,3,0),-[4]整車!$B$22)</f>
        <v>0</v>
      </c>
      <c r="Z203" s="416">
        <f>SUM(B203,D203,F203,H203,J203,L203,N203,P203,R203,T203,V203,X203)</f>
        <v>0</v>
      </c>
      <c r="AA203" s="416">
        <f>SUM(C203,E203,G203,I203,K203,M203,O203,Q203,S203,U203,W203,Y203)</f>
        <v>0</v>
      </c>
    </row>
    <row r="204" spans="1:27">
      <c r="A204" s="392"/>
      <c r="B204" s="559" t="s">
        <v>149</v>
      </c>
      <c r="C204" s="560"/>
      <c r="D204" s="393" t="s">
        <v>125</v>
      </c>
      <c r="E204" s="394"/>
      <c r="F204" s="393" t="s">
        <v>126</v>
      </c>
      <c r="G204" s="394"/>
      <c r="H204" s="393" t="s">
        <v>127</v>
      </c>
      <c r="I204" s="394"/>
      <c r="J204" s="395" t="s">
        <v>128</v>
      </c>
      <c r="K204" s="396"/>
      <c r="L204" s="393" t="s">
        <v>129</v>
      </c>
      <c r="M204" s="394"/>
      <c r="N204" s="393" t="s">
        <v>130</v>
      </c>
      <c r="O204" s="394"/>
      <c r="P204" s="393" t="s">
        <v>131</v>
      </c>
      <c r="Q204" s="394"/>
      <c r="R204" s="393" t="s">
        <v>132</v>
      </c>
      <c r="S204" s="394"/>
      <c r="T204" s="393" t="s">
        <v>133</v>
      </c>
      <c r="U204" s="394"/>
      <c r="V204" s="393" t="s">
        <v>134</v>
      </c>
      <c r="W204" s="394"/>
      <c r="X204" s="393" t="s">
        <v>135</v>
      </c>
      <c r="Y204" s="394"/>
      <c r="Z204" s="559" t="s">
        <v>106</v>
      </c>
      <c r="AA204" s="560"/>
    </row>
    <row r="205" spans="1:27">
      <c r="A205" s="444" t="s">
        <v>150</v>
      </c>
      <c r="B205" s="398" t="s">
        <v>137</v>
      </c>
      <c r="C205" s="398" t="s">
        <v>138</v>
      </c>
      <c r="D205" s="398" t="s">
        <v>139</v>
      </c>
      <c r="E205" s="398" t="s">
        <v>140</v>
      </c>
      <c r="F205" s="398" t="s">
        <v>139</v>
      </c>
      <c r="G205" s="398" t="s">
        <v>140</v>
      </c>
      <c r="H205" s="398" t="s">
        <v>139</v>
      </c>
      <c r="I205" s="398" t="s">
        <v>140</v>
      </c>
      <c r="J205" s="399" t="s">
        <v>139</v>
      </c>
      <c r="K205" s="400" t="s">
        <v>140</v>
      </c>
      <c r="L205" s="398" t="s">
        <v>139</v>
      </c>
      <c r="M205" s="398" t="s">
        <v>140</v>
      </c>
      <c r="N205" s="398" t="s">
        <v>139</v>
      </c>
      <c r="O205" s="398" t="s">
        <v>140</v>
      </c>
      <c r="P205" s="398" t="s">
        <v>139</v>
      </c>
      <c r="Q205" s="398" t="s">
        <v>140</v>
      </c>
      <c r="R205" s="398" t="s">
        <v>139</v>
      </c>
      <c r="S205" s="398" t="s">
        <v>140</v>
      </c>
      <c r="T205" s="398" t="s">
        <v>139</v>
      </c>
      <c r="U205" s="398" t="s">
        <v>140</v>
      </c>
      <c r="V205" s="398" t="s">
        <v>139</v>
      </c>
      <c r="W205" s="398" t="s">
        <v>140</v>
      </c>
      <c r="X205" s="398" t="s">
        <v>139</v>
      </c>
      <c r="Y205" s="398" t="s">
        <v>140</v>
      </c>
      <c r="Z205" s="398" t="s">
        <v>139</v>
      </c>
      <c r="AA205" s="398" t="s">
        <v>140</v>
      </c>
    </row>
    <row r="206" spans="1:27">
      <c r="A206" s="397" t="s">
        <v>151</v>
      </c>
      <c r="B206" s="416">
        <v>6025</v>
      </c>
      <c r="C206" s="416">
        <v>1562479</v>
      </c>
      <c r="D206" s="416">
        <v>5953</v>
      </c>
      <c r="E206" s="416">
        <v>1186109</v>
      </c>
      <c r="F206" s="416">
        <v>5066</v>
      </c>
      <c r="G206" s="416">
        <v>1570229</v>
      </c>
      <c r="H206" s="416">
        <v>7242</v>
      </c>
      <c r="I206" s="416">
        <v>1397285</v>
      </c>
      <c r="J206" s="417">
        <v>9565</v>
      </c>
      <c r="K206" s="418">
        <v>2314635</v>
      </c>
      <c r="L206" s="416">
        <v>11407</v>
      </c>
      <c r="M206" s="416">
        <v>2211195</v>
      </c>
      <c r="N206" s="416">
        <v>8718</v>
      </c>
      <c r="O206" s="416">
        <v>1911196</v>
      </c>
      <c r="P206" s="416"/>
      <c r="Q206" s="416"/>
      <c r="R206" s="416"/>
      <c r="S206" s="416"/>
      <c r="T206" s="416"/>
      <c r="U206" s="416"/>
      <c r="V206" s="416"/>
      <c r="W206" s="416"/>
      <c r="X206" s="416"/>
      <c r="Y206" s="416"/>
      <c r="Z206" s="416">
        <f>SUM(B206,D206,F206,H206,J206,L206,N206,P206,R206,T206,V206,X206)</f>
        <v>53976</v>
      </c>
      <c r="AA206" s="410">
        <f>SUM(C206,E206,G206,I206,K206,M206,O206,Q206,S206,U206,W206,Y206)</f>
        <v>12153128</v>
      </c>
    </row>
  </sheetData>
  <mergeCells count="2">
    <mergeCell ref="B204:C204"/>
    <mergeCell ref="Z204:AA204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74"/>
  <sheetViews>
    <sheetView zoomScaleNormal="100" workbookViewId="0">
      <selection activeCell="D18" sqref="D18"/>
    </sheetView>
  </sheetViews>
  <sheetFormatPr defaultRowHeight="16.5"/>
  <cols>
    <col min="1" max="1" width="16.875" style="5" customWidth="1"/>
    <col min="2" max="2" width="14" style="5" bestFit="1" customWidth="1"/>
    <col min="3" max="3" width="14.25" style="59" customWidth="1"/>
    <col min="4" max="4" width="13.75" style="60" customWidth="1"/>
    <col min="5" max="5" width="15" style="5" customWidth="1"/>
    <col min="6" max="6" width="15.125" style="59" customWidth="1"/>
    <col min="7" max="7" width="12.25" style="60" customWidth="1"/>
    <col min="8" max="8" width="11.625" style="5" customWidth="1"/>
    <col min="9" max="9" width="11.875" style="5" customWidth="1"/>
    <col min="10" max="10" width="10.625" style="5" bestFit="1" customWidth="1"/>
    <col min="11" max="256" width="8.875" style="5"/>
    <col min="257" max="257" width="16" style="5" customWidth="1"/>
    <col min="258" max="259" width="12.125" style="5" customWidth="1"/>
    <col min="260" max="260" width="13.75" style="5" customWidth="1"/>
    <col min="261" max="261" width="15" style="5" customWidth="1"/>
    <col min="262" max="262" width="15.125" style="5" customWidth="1"/>
    <col min="263" max="263" width="12.25" style="5" customWidth="1"/>
    <col min="264" max="264" width="11.625" style="5" customWidth="1"/>
    <col min="265" max="265" width="11.875" style="5" customWidth="1"/>
    <col min="266" max="266" width="10.625" style="5" bestFit="1" customWidth="1"/>
    <col min="267" max="512" width="8.875" style="5"/>
    <col min="513" max="513" width="16" style="5" customWidth="1"/>
    <col min="514" max="515" width="12.125" style="5" customWidth="1"/>
    <col min="516" max="516" width="13.75" style="5" customWidth="1"/>
    <col min="517" max="517" width="15" style="5" customWidth="1"/>
    <col min="518" max="518" width="15.125" style="5" customWidth="1"/>
    <col min="519" max="519" width="12.25" style="5" customWidth="1"/>
    <col min="520" max="520" width="11.625" style="5" customWidth="1"/>
    <col min="521" max="521" width="11.875" style="5" customWidth="1"/>
    <col min="522" max="522" width="10.625" style="5" bestFit="1" customWidth="1"/>
    <col min="523" max="768" width="8.875" style="5"/>
    <col min="769" max="769" width="16" style="5" customWidth="1"/>
    <col min="770" max="771" width="12.125" style="5" customWidth="1"/>
    <col min="772" max="772" width="13.75" style="5" customWidth="1"/>
    <col min="773" max="773" width="15" style="5" customWidth="1"/>
    <col min="774" max="774" width="15.125" style="5" customWidth="1"/>
    <col min="775" max="775" width="12.25" style="5" customWidth="1"/>
    <col min="776" max="776" width="11.625" style="5" customWidth="1"/>
    <col min="777" max="777" width="11.875" style="5" customWidth="1"/>
    <col min="778" max="778" width="10.625" style="5" bestFit="1" customWidth="1"/>
    <col min="779" max="1024" width="8.875" style="5"/>
    <col min="1025" max="1025" width="16" style="5" customWidth="1"/>
    <col min="1026" max="1027" width="12.125" style="5" customWidth="1"/>
    <col min="1028" max="1028" width="13.75" style="5" customWidth="1"/>
    <col min="1029" max="1029" width="15" style="5" customWidth="1"/>
    <col min="1030" max="1030" width="15.125" style="5" customWidth="1"/>
    <col min="1031" max="1031" width="12.25" style="5" customWidth="1"/>
    <col min="1032" max="1032" width="11.625" style="5" customWidth="1"/>
    <col min="1033" max="1033" width="11.875" style="5" customWidth="1"/>
    <col min="1034" max="1034" width="10.625" style="5" bestFit="1" customWidth="1"/>
    <col min="1035" max="1280" width="8.875" style="5"/>
    <col min="1281" max="1281" width="16" style="5" customWidth="1"/>
    <col min="1282" max="1283" width="12.125" style="5" customWidth="1"/>
    <col min="1284" max="1284" width="13.75" style="5" customWidth="1"/>
    <col min="1285" max="1285" width="15" style="5" customWidth="1"/>
    <col min="1286" max="1286" width="15.125" style="5" customWidth="1"/>
    <col min="1287" max="1287" width="12.25" style="5" customWidth="1"/>
    <col min="1288" max="1288" width="11.625" style="5" customWidth="1"/>
    <col min="1289" max="1289" width="11.875" style="5" customWidth="1"/>
    <col min="1290" max="1290" width="10.625" style="5" bestFit="1" customWidth="1"/>
    <col min="1291" max="1536" width="8.875" style="5"/>
    <col min="1537" max="1537" width="16" style="5" customWidth="1"/>
    <col min="1538" max="1539" width="12.125" style="5" customWidth="1"/>
    <col min="1540" max="1540" width="13.75" style="5" customWidth="1"/>
    <col min="1541" max="1541" width="15" style="5" customWidth="1"/>
    <col min="1542" max="1542" width="15.125" style="5" customWidth="1"/>
    <col min="1543" max="1543" width="12.25" style="5" customWidth="1"/>
    <col min="1544" max="1544" width="11.625" style="5" customWidth="1"/>
    <col min="1545" max="1545" width="11.875" style="5" customWidth="1"/>
    <col min="1546" max="1546" width="10.625" style="5" bestFit="1" customWidth="1"/>
    <col min="1547" max="1792" width="8.875" style="5"/>
    <col min="1793" max="1793" width="16" style="5" customWidth="1"/>
    <col min="1794" max="1795" width="12.125" style="5" customWidth="1"/>
    <col min="1796" max="1796" width="13.75" style="5" customWidth="1"/>
    <col min="1797" max="1797" width="15" style="5" customWidth="1"/>
    <col min="1798" max="1798" width="15.125" style="5" customWidth="1"/>
    <col min="1799" max="1799" width="12.25" style="5" customWidth="1"/>
    <col min="1800" max="1800" width="11.625" style="5" customWidth="1"/>
    <col min="1801" max="1801" width="11.875" style="5" customWidth="1"/>
    <col min="1802" max="1802" width="10.625" style="5" bestFit="1" customWidth="1"/>
    <col min="1803" max="2048" width="8.875" style="5"/>
    <col min="2049" max="2049" width="16" style="5" customWidth="1"/>
    <col min="2050" max="2051" width="12.125" style="5" customWidth="1"/>
    <col min="2052" max="2052" width="13.75" style="5" customWidth="1"/>
    <col min="2053" max="2053" width="15" style="5" customWidth="1"/>
    <col min="2054" max="2054" width="15.125" style="5" customWidth="1"/>
    <col min="2055" max="2055" width="12.25" style="5" customWidth="1"/>
    <col min="2056" max="2056" width="11.625" style="5" customWidth="1"/>
    <col min="2057" max="2057" width="11.875" style="5" customWidth="1"/>
    <col min="2058" max="2058" width="10.625" style="5" bestFit="1" customWidth="1"/>
    <col min="2059" max="2304" width="8.875" style="5"/>
    <col min="2305" max="2305" width="16" style="5" customWidth="1"/>
    <col min="2306" max="2307" width="12.125" style="5" customWidth="1"/>
    <col min="2308" max="2308" width="13.75" style="5" customWidth="1"/>
    <col min="2309" max="2309" width="15" style="5" customWidth="1"/>
    <col min="2310" max="2310" width="15.125" style="5" customWidth="1"/>
    <col min="2311" max="2311" width="12.25" style="5" customWidth="1"/>
    <col min="2312" max="2312" width="11.625" style="5" customWidth="1"/>
    <col min="2313" max="2313" width="11.875" style="5" customWidth="1"/>
    <col min="2314" max="2314" width="10.625" style="5" bestFit="1" customWidth="1"/>
    <col min="2315" max="2560" width="8.875" style="5"/>
    <col min="2561" max="2561" width="16" style="5" customWidth="1"/>
    <col min="2562" max="2563" width="12.125" style="5" customWidth="1"/>
    <col min="2564" max="2564" width="13.75" style="5" customWidth="1"/>
    <col min="2565" max="2565" width="15" style="5" customWidth="1"/>
    <col min="2566" max="2566" width="15.125" style="5" customWidth="1"/>
    <col min="2567" max="2567" width="12.25" style="5" customWidth="1"/>
    <col min="2568" max="2568" width="11.625" style="5" customWidth="1"/>
    <col min="2569" max="2569" width="11.875" style="5" customWidth="1"/>
    <col min="2570" max="2570" width="10.625" style="5" bestFit="1" customWidth="1"/>
    <col min="2571" max="2816" width="8.875" style="5"/>
    <col min="2817" max="2817" width="16" style="5" customWidth="1"/>
    <col min="2818" max="2819" width="12.125" style="5" customWidth="1"/>
    <col min="2820" max="2820" width="13.75" style="5" customWidth="1"/>
    <col min="2821" max="2821" width="15" style="5" customWidth="1"/>
    <col min="2822" max="2822" width="15.125" style="5" customWidth="1"/>
    <col min="2823" max="2823" width="12.25" style="5" customWidth="1"/>
    <col min="2824" max="2824" width="11.625" style="5" customWidth="1"/>
    <col min="2825" max="2825" width="11.875" style="5" customWidth="1"/>
    <col min="2826" max="2826" width="10.625" style="5" bestFit="1" customWidth="1"/>
    <col min="2827" max="3072" width="8.875" style="5"/>
    <col min="3073" max="3073" width="16" style="5" customWidth="1"/>
    <col min="3074" max="3075" width="12.125" style="5" customWidth="1"/>
    <col min="3076" max="3076" width="13.75" style="5" customWidth="1"/>
    <col min="3077" max="3077" width="15" style="5" customWidth="1"/>
    <col min="3078" max="3078" width="15.125" style="5" customWidth="1"/>
    <col min="3079" max="3079" width="12.25" style="5" customWidth="1"/>
    <col min="3080" max="3080" width="11.625" style="5" customWidth="1"/>
    <col min="3081" max="3081" width="11.875" style="5" customWidth="1"/>
    <col min="3082" max="3082" width="10.625" style="5" bestFit="1" customWidth="1"/>
    <col min="3083" max="3328" width="8.875" style="5"/>
    <col min="3329" max="3329" width="16" style="5" customWidth="1"/>
    <col min="3330" max="3331" width="12.125" style="5" customWidth="1"/>
    <col min="3332" max="3332" width="13.75" style="5" customWidth="1"/>
    <col min="3333" max="3333" width="15" style="5" customWidth="1"/>
    <col min="3334" max="3334" width="15.125" style="5" customWidth="1"/>
    <col min="3335" max="3335" width="12.25" style="5" customWidth="1"/>
    <col min="3336" max="3336" width="11.625" style="5" customWidth="1"/>
    <col min="3337" max="3337" width="11.875" style="5" customWidth="1"/>
    <col min="3338" max="3338" width="10.625" style="5" bestFit="1" customWidth="1"/>
    <col min="3339" max="3584" width="8.875" style="5"/>
    <col min="3585" max="3585" width="16" style="5" customWidth="1"/>
    <col min="3586" max="3587" width="12.125" style="5" customWidth="1"/>
    <col min="3588" max="3588" width="13.75" style="5" customWidth="1"/>
    <col min="3589" max="3589" width="15" style="5" customWidth="1"/>
    <col min="3590" max="3590" width="15.125" style="5" customWidth="1"/>
    <col min="3591" max="3591" width="12.25" style="5" customWidth="1"/>
    <col min="3592" max="3592" width="11.625" style="5" customWidth="1"/>
    <col min="3593" max="3593" width="11.875" style="5" customWidth="1"/>
    <col min="3594" max="3594" width="10.625" style="5" bestFit="1" customWidth="1"/>
    <col min="3595" max="3840" width="8.875" style="5"/>
    <col min="3841" max="3841" width="16" style="5" customWidth="1"/>
    <col min="3842" max="3843" width="12.125" style="5" customWidth="1"/>
    <col min="3844" max="3844" width="13.75" style="5" customWidth="1"/>
    <col min="3845" max="3845" width="15" style="5" customWidth="1"/>
    <col min="3846" max="3846" width="15.125" style="5" customWidth="1"/>
    <col min="3847" max="3847" width="12.25" style="5" customWidth="1"/>
    <col min="3848" max="3848" width="11.625" style="5" customWidth="1"/>
    <col min="3849" max="3849" width="11.875" style="5" customWidth="1"/>
    <col min="3850" max="3850" width="10.625" style="5" bestFit="1" customWidth="1"/>
    <col min="3851" max="4096" width="8.875" style="5"/>
    <col min="4097" max="4097" width="16" style="5" customWidth="1"/>
    <col min="4098" max="4099" width="12.125" style="5" customWidth="1"/>
    <col min="4100" max="4100" width="13.75" style="5" customWidth="1"/>
    <col min="4101" max="4101" width="15" style="5" customWidth="1"/>
    <col min="4102" max="4102" width="15.125" style="5" customWidth="1"/>
    <col min="4103" max="4103" width="12.25" style="5" customWidth="1"/>
    <col min="4104" max="4104" width="11.625" style="5" customWidth="1"/>
    <col min="4105" max="4105" width="11.875" style="5" customWidth="1"/>
    <col min="4106" max="4106" width="10.625" style="5" bestFit="1" customWidth="1"/>
    <col min="4107" max="4352" width="8.875" style="5"/>
    <col min="4353" max="4353" width="16" style="5" customWidth="1"/>
    <col min="4354" max="4355" width="12.125" style="5" customWidth="1"/>
    <col min="4356" max="4356" width="13.75" style="5" customWidth="1"/>
    <col min="4357" max="4357" width="15" style="5" customWidth="1"/>
    <col min="4358" max="4358" width="15.125" style="5" customWidth="1"/>
    <col min="4359" max="4359" width="12.25" style="5" customWidth="1"/>
    <col min="4360" max="4360" width="11.625" style="5" customWidth="1"/>
    <col min="4361" max="4361" width="11.875" style="5" customWidth="1"/>
    <col min="4362" max="4362" width="10.625" style="5" bestFit="1" customWidth="1"/>
    <col min="4363" max="4608" width="8.875" style="5"/>
    <col min="4609" max="4609" width="16" style="5" customWidth="1"/>
    <col min="4610" max="4611" width="12.125" style="5" customWidth="1"/>
    <col min="4612" max="4612" width="13.75" style="5" customWidth="1"/>
    <col min="4613" max="4613" width="15" style="5" customWidth="1"/>
    <col min="4614" max="4614" width="15.125" style="5" customWidth="1"/>
    <col min="4615" max="4615" width="12.25" style="5" customWidth="1"/>
    <col min="4616" max="4616" width="11.625" style="5" customWidth="1"/>
    <col min="4617" max="4617" width="11.875" style="5" customWidth="1"/>
    <col min="4618" max="4618" width="10.625" style="5" bestFit="1" customWidth="1"/>
    <col min="4619" max="4864" width="8.875" style="5"/>
    <col min="4865" max="4865" width="16" style="5" customWidth="1"/>
    <col min="4866" max="4867" width="12.125" style="5" customWidth="1"/>
    <col min="4868" max="4868" width="13.75" style="5" customWidth="1"/>
    <col min="4869" max="4869" width="15" style="5" customWidth="1"/>
    <col min="4870" max="4870" width="15.125" style="5" customWidth="1"/>
    <col min="4871" max="4871" width="12.25" style="5" customWidth="1"/>
    <col min="4872" max="4872" width="11.625" style="5" customWidth="1"/>
    <col min="4873" max="4873" width="11.875" style="5" customWidth="1"/>
    <col min="4874" max="4874" width="10.625" style="5" bestFit="1" customWidth="1"/>
    <col min="4875" max="5120" width="8.875" style="5"/>
    <col min="5121" max="5121" width="16" style="5" customWidth="1"/>
    <col min="5122" max="5123" width="12.125" style="5" customWidth="1"/>
    <col min="5124" max="5124" width="13.75" style="5" customWidth="1"/>
    <col min="5125" max="5125" width="15" style="5" customWidth="1"/>
    <col min="5126" max="5126" width="15.125" style="5" customWidth="1"/>
    <col min="5127" max="5127" width="12.25" style="5" customWidth="1"/>
    <col min="5128" max="5128" width="11.625" style="5" customWidth="1"/>
    <col min="5129" max="5129" width="11.875" style="5" customWidth="1"/>
    <col min="5130" max="5130" width="10.625" style="5" bestFit="1" customWidth="1"/>
    <col min="5131" max="5376" width="8.875" style="5"/>
    <col min="5377" max="5377" width="16" style="5" customWidth="1"/>
    <col min="5378" max="5379" width="12.125" style="5" customWidth="1"/>
    <col min="5380" max="5380" width="13.75" style="5" customWidth="1"/>
    <col min="5381" max="5381" width="15" style="5" customWidth="1"/>
    <col min="5382" max="5382" width="15.125" style="5" customWidth="1"/>
    <col min="5383" max="5383" width="12.25" style="5" customWidth="1"/>
    <col min="5384" max="5384" width="11.625" style="5" customWidth="1"/>
    <col min="5385" max="5385" width="11.875" style="5" customWidth="1"/>
    <col min="5386" max="5386" width="10.625" style="5" bestFit="1" customWidth="1"/>
    <col min="5387" max="5632" width="8.875" style="5"/>
    <col min="5633" max="5633" width="16" style="5" customWidth="1"/>
    <col min="5634" max="5635" width="12.125" style="5" customWidth="1"/>
    <col min="5636" max="5636" width="13.75" style="5" customWidth="1"/>
    <col min="5637" max="5637" width="15" style="5" customWidth="1"/>
    <col min="5638" max="5638" width="15.125" style="5" customWidth="1"/>
    <col min="5639" max="5639" width="12.25" style="5" customWidth="1"/>
    <col min="5640" max="5640" width="11.625" style="5" customWidth="1"/>
    <col min="5641" max="5641" width="11.875" style="5" customWidth="1"/>
    <col min="5642" max="5642" width="10.625" style="5" bestFit="1" customWidth="1"/>
    <col min="5643" max="5888" width="8.875" style="5"/>
    <col min="5889" max="5889" width="16" style="5" customWidth="1"/>
    <col min="5890" max="5891" width="12.125" style="5" customWidth="1"/>
    <col min="5892" max="5892" width="13.75" style="5" customWidth="1"/>
    <col min="5893" max="5893" width="15" style="5" customWidth="1"/>
    <col min="5894" max="5894" width="15.125" style="5" customWidth="1"/>
    <col min="5895" max="5895" width="12.25" style="5" customWidth="1"/>
    <col min="5896" max="5896" width="11.625" style="5" customWidth="1"/>
    <col min="5897" max="5897" width="11.875" style="5" customWidth="1"/>
    <col min="5898" max="5898" width="10.625" style="5" bestFit="1" customWidth="1"/>
    <col min="5899" max="6144" width="8.875" style="5"/>
    <col min="6145" max="6145" width="16" style="5" customWidth="1"/>
    <col min="6146" max="6147" width="12.125" style="5" customWidth="1"/>
    <col min="6148" max="6148" width="13.75" style="5" customWidth="1"/>
    <col min="6149" max="6149" width="15" style="5" customWidth="1"/>
    <col min="6150" max="6150" width="15.125" style="5" customWidth="1"/>
    <col min="6151" max="6151" width="12.25" style="5" customWidth="1"/>
    <col min="6152" max="6152" width="11.625" style="5" customWidth="1"/>
    <col min="6153" max="6153" width="11.875" style="5" customWidth="1"/>
    <col min="6154" max="6154" width="10.625" style="5" bestFit="1" customWidth="1"/>
    <col min="6155" max="6400" width="8.875" style="5"/>
    <col min="6401" max="6401" width="16" style="5" customWidth="1"/>
    <col min="6402" max="6403" width="12.125" style="5" customWidth="1"/>
    <col min="6404" max="6404" width="13.75" style="5" customWidth="1"/>
    <col min="6405" max="6405" width="15" style="5" customWidth="1"/>
    <col min="6406" max="6406" width="15.125" style="5" customWidth="1"/>
    <col min="6407" max="6407" width="12.25" style="5" customWidth="1"/>
    <col min="6408" max="6408" width="11.625" style="5" customWidth="1"/>
    <col min="6409" max="6409" width="11.875" style="5" customWidth="1"/>
    <col min="6410" max="6410" width="10.625" style="5" bestFit="1" customWidth="1"/>
    <col min="6411" max="6656" width="8.875" style="5"/>
    <col min="6657" max="6657" width="16" style="5" customWidth="1"/>
    <col min="6658" max="6659" width="12.125" style="5" customWidth="1"/>
    <col min="6660" max="6660" width="13.75" style="5" customWidth="1"/>
    <col min="6661" max="6661" width="15" style="5" customWidth="1"/>
    <col min="6662" max="6662" width="15.125" style="5" customWidth="1"/>
    <col min="6663" max="6663" width="12.25" style="5" customWidth="1"/>
    <col min="6664" max="6664" width="11.625" style="5" customWidth="1"/>
    <col min="6665" max="6665" width="11.875" style="5" customWidth="1"/>
    <col min="6666" max="6666" width="10.625" style="5" bestFit="1" customWidth="1"/>
    <col min="6667" max="6912" width="8.875" style="5"/>
    <col min="6913" max="6913" width="16" style="5" customWidth="1"/>
    <col min="6914" max="6915" width="12.125" style="5" customWidth="1"/>
    <col min="6916" max="6916" width="13.75" style="5" customWidth="1"/>
    <col min="6917" max="6917" width="15" style="5" customWidth="1"/>
    <col min="6918" max="6918" width="15.125" style="5" customWidth="1"/>
    <col min="6919" max="6919" width="12.25" style="5" customWidth="1"/>
    <col min="6920" max="6920" width="11.625" style="5" customWidth="1"/>
    <col min="6921" max="6921" width="11.875" style="5" customWidth="1"/>
    <col min="6922" max="6922" width="10.625" style="5" bestFit="1" customWidth="1"/>
    <col min="6923" max="7168" width="8.875" style="5"/>
    <col min="7169" max="7169" width="16" style="5" customWidth="1"/>
    <col min="7170" max="7171" width="12.125" style="5" customWidth="1"/>
    <col min="7172" max="7172" width="13.75" style="5" customWidth="1"/>
    <col min="7173" max="7173" width="15" style="5" customWidth="1"/>
    <col min="7174" max="7174" width="15.125" style="5" customWidth="1"/>
    <col min="7175" max="7175" width="12.25" style="5" customWidth="1"/>
    <col min="7176" max="7176" width="11.625" style="5" customWidth="1"/>
    <col min="7177" max="7177" width="11.875" style="5" customWidth="1"/>
    <col min="7178" max="7178" width="10.625" style="5" bestFit="1" customWidth="1"/>
    <col min="7179" max="7424" width="8.875" style="5"/>
    <col min="7425" max="7425" width="16" style="5" customWidth="1"/>
    <col min="7426" max="7427" width="12.125" style="5" customWidth="1"/>
    <col min="7428" max="7428" width="13.75" style="5" customWidth="1"/>
    <col min="7429" max="7429" width="15" style="5" customWidth="1"/>
    <col min="7430" max="7430" width="15.125" style="5" customWidth="1"/>
    <col min="7431" max="7431" width="12.25" style="5" customWidth="1"/>
    <col min="7432" max="7432" width="11.625" style="5" customWidth="1"/>
    <col min="7433" max="7433" width="11.875" style="5" customWidth="1"/>
    <col min="7434" max="7434" width="10.625" style="5" bestFit="1" customWidth="1"/>
    <col min="7435" max="7680" width="8.875" style="5"/>
    <col min="7681" max="7681" width="16" style="5" customWidth="1"/>
    <col min="7682" max="7683" width="12.125" style="5" customWidth="1"/>
    <col min="7684" max="7684" width="13.75" style="5" customWidth="1"/>
    <col min="7685" max="7685" width="15" style="5" customWidth="1"/>
    <col min="7686" max="7686" width="15.125" style="5" customWidth="1"/>
    <col min="7687" max="7687" width="12.25" style="5" customWidth="1"/>
    <col min="7688" max="7688" width="11.625" style="5" customWidth="1"/>
    <col min="7689" max="7689" width="11.875" style="5" customWidth="1"/>
    <col min="7690" max="7690" width="10.625" style="5" bestFit="1" customWidth="1"/>
    <col min="7691" max="7936" width="8.875" style="5"/>
    <col min="7937" max="7937" width="16" style="5" customWidth="1"/>
    <col min="7938" max="7939" width="12.125" style="5" customWidth="1"/>
    <col min="7940" max="7940" width="13.75" style="5" customWidth="1"/>
    <col min="7941" max="7941" width="15" style="5" customWidth="1"/>
    <col min="7942" max="7942" width="15.125" style="5" customWidth="1"/>
    <col min="7943" max="7943" width="12.25" style="5" customWidth="1"/>
    <col min="7944" max="7944" width="11.625" style="5" customWidth="1"/>
    <col min="7945" max="7945" width="11.875" style="5" customWidth="1"/>
    <col min="7946" max="7946" width="10.625" style="5" bestFit="1" customWidth="1"/>
    <col min="7947" max="8192" width="8.875" style="5"/>
    <col min="8193" max="8193" width="16" style="5" customWidth="1"/>
    <col min="8194" max="8195" width="12.125" style="5" customWidth="1"/>
    <col min="8196" max="8196" width="13.75" style="5" customWidth="1"/>
    <col min="8197" max="8197" width="15" style="5" customWidth="1"/>
    <col min="8198" max="8198" width="15.125" style="5" customWidth="1"/>
    <col min="8199" max="8199" width="12.25" style="5" customWidth="1"/>
    <col min="8200" max="8200" width="11.625" style="5" customWidth="1"/>
    <col min="8201" max="8201" width="11.875" style="5" customWidth="1"/>
    <col min="8202" max="8202" width="10.625" style="5" bestFit="1" customWidth="1"/>
    <col min="8203" max="8448" width="8.875" style="5"/>
    <col min="8449" max="8449" width="16" style="5" customWidth="1"/>
    <col min="8450" max="8451" width="12.125" style="5" customWidth="1"/>
    <col min="8452" max="8452" width="13.75" style="5" customWidth="1"/>
    <col min="8453" max="8453" width="15" style="5" customWidth="1"/>
    <col min="8454" max="8454" width="15.125" style="5" customWidth="1"/>
    <col min="8455" max="8455" width="12.25" style="5" customWidth="1"/>
    <col min="8456" max="8456" width="11.625" style="5" customWidth="1"/>
    <col min="8457" max="8457" width="11.875" style="5" customWidth="1"/>
    <col min="8458" max="8458" width="10.625" style="5" bestFit="1" customWidth="1"/>
    <col min="8459" max="8704" width="8.875" style="5"/>
    <col min="8705" max="8705" width="16" style="5" customWidth="1"/>
    <col min="8706" max="8707" width="12.125" style="5" customWidth="1"/>
    <col min="8708" max="8708" width="13.75" style="5" customWidth="1"/>
    <col min="8709" max="8709" width="15" style="5" customWidth="1"/>
    <col min="8710" max="8710" width="15.125" style="5" customWidth="1"/>
    <col min="8711" max="8711" width="12.25" style="5" customWidth="1"/>
    <col min="8712" max="8712" width="11.625" style="5" customWidth="1"/>
    <col min="8713" max="8713" width="11.875" style="5" customWidth="1"/>
    <col min="8714" max="8714" width="10.625" style="5" bestFit="1" customWidth="1"/>
    <col min="8715" max="8960" width="8.875" style="5"/>
    <col min="8961" max="8961" width="16" style="5" customWidth="1"/>
    <col min="8962" max="8963" width="12.125" style="5" customWidth="1"/>
    <col min="8964" max="8964" width="13.75" style="5" customWidth="1"/>
    <col min="8965" max="8965" width="15" style="5" customWidth="1"/>
    <col min="8966" max="8966" width="15.125" style="5" customWidth="1"/>
    <col min="8967" max="8967" width="12.25" style="5" customWidth="1"/>
    <col min="8968" max="8968" width="11.625" style="5" customWidth="1"/>
    <col min="8969" max="8969" width="11.875" style="5" customWidth="1"/>
    <col min="8970" max="8970" width="10.625" style="5" bestFit="1" customWidth="1"/>
    <col min="8971" max="9216" width="8.875" style="5"/>
    <col min="9217" max="9217" width="16" style="5" customWidth="1"/>
    <col min="9218" max="9219" width="12.125" style="5" customWidth="1"/>
    <col min="9220" max="9220" width="13.75" style="5" customWidth="1"/>
    <col min="9221" max="9221" width="15" style="5" customWidth="1"/>
    <col min="9222" max="9222" width="15.125" style="5" customWidth="1"/>
    <col min="9223" max="9223" width="12.25" style="5" customWidth="1"/>
    <col min="9224" max="9224" width="11.625" style="5" customWidth="1"/>
    <col min="9225" max="9225" width="11.875" style="5" customWidth="1"/>
    <col min="9226" max="9226" width="10.625" style="5" bestFit="1" customWidth="1"/>
    <col min="9227" max="9472" width="8.875" style="5"/>
    <col min="9473" max="9473" width="16" style="5" customWidth="1"/>
    <col min="9474" max="9475" width="12.125" style="5" customWidth="1"/>
    <col min="9476" max="9476" width="13.75" style="5" customWidth="1"/>
    <col min="9477" max="9477" width="15" style="5" customWidth="1"/>
    <col min="9478" max="9478" width="15.125" style="5" customWidth="1"/>
    <col min="9479" max="9479" width="12.25" style="5" customWidth="1"/>
    <col min="9480" max="9480" width="11.625" style="5" customWidth="1"/>
    <col min="9481" max="9481" width="11.875" style="5" customWidth="1"/>
    <col min="9482" max="9482" width="10.625" style="5" bestFit="1" customWidth="1"/>
    <col min="9483" max="9728" width="8.875" style="5"/>
    <col min="9729" max="9729" width="16" style="5" customWidth="1"/>
    <col min="9730" max="9731" width="12.125" style="5" customWidth="1"/>
    <col min="9732" max="9732" width="13.75" style="5" customWidth="1"/>
    <col min="9733" max="9733" width="15" style="5" customWidth="1"/>
    <col min="9734" max="9734" width="15.125" style="5" customWidth="1"/>
    <col min="9735" max="9735" width="12.25" style="5" customWidth="1"/>
    <col min="9736" max="9736" width="11.625" style="5" customWidth="1"/>
    <col min="9737" max="9737" width="11.875" style="5" customWidth="1"/>
    <col min="9738" max="9738" width="10.625" style="5" bestFit="1" customWidth="1"/>
    <col min="9739" max="9984" width="8.875" style="5"/>
    <col min="9985" max="9985" width="16" style="5" customWidth="1"/>
    <col min="9986" max="9987" width="12.125" style="5" customWidth="1"/>
    <col min="9988" max="9988" width="13.75" style="5" customWidth="1"/>
    <col min="9989" max="9989" width="15" style="5" customWidth="1"/>
    <col min="9990" max="9990" width="15.125" style="5" customWidth="1"/>
    <col min="9991" max="9991" width="12.25" style="5" customWidth="1"/>
    <col min="9992" max="9992" width="11.625" style="5" customWidth="1"/>
    <col min="9993" max="9993" width="11.875" style="5" customWidth="1"/>
    <col min="9994" max="9994" width="10.625" style="5" bestFit="1" customWidth="1"/>
    <col min="9995" max="10240" width="8.875" style="5"/>
    <col min="10241" max="10241" width="16" style="5" customWidth="1"/>
    <col min="10242" max="10243" width="12.125" style="5" customWidth="1"/>
    <col min="10244" max="10244" width="13.75" style="5" customWidth="1"/>
    <col min="10245" max="10245" width="15" style="5" customWidth="1"/>
    <col min="10246" max="10246" width="15.125" style="5" customWidth="1"/>
    <col min="10247" max="10247" width="12.25" style="5" customWidth="1"/>
    <col min="10248" max="10248" width="11.625" style="5" customWidth="1"/>
    <col min="10249" max="10249" width="11.875" style="5" customWidth="1"/>
    <col min="10250" max="10250" width="10.625" style="5" bestFit="1" customWidth="1"/>
    <col min="10251" max="10496" width="8.875" style="5"/>
    <col min="10497" max="10497" width="16" style="5" customWidth="1"/>
    <col min="10498" max="10499" width="12.125" style="5" customWidth="1"/>
    <col min="10500" max="10500" width="13.75" style="5" customWidth="1"/>
    <col min="10501" max="10501" width="15" style="5" customWidth="1"/>
    <col min="10502" max="10502" width="15.125" style="5" customWidth="1"/>
    <col min="10503" max="10503" width="12.25" style="5" customWidth="1"/>
    <col min="10504" max="10504" width="11.625" style="5" customWidth="1"/>
    <col min="10505" max="10505" width="11.875" style="5" customWidth="1"/>
    <col min="10506" max="10506" width="10.625" style="5" bestFit="1" customWidth="1"/>
    <col min="10507" max="10752" width="8.875" style="5"/>
    <col min="10753" max="10753" width="16" style="5" customWidth="1"/>
    <col min="10754" max="10755" width="12.125" style="5" customWidth="1"/>
    <col min="10756" max="10756" width="13.75" style="5" customWidth="1"/>
    <col min="10757" max="10757" width="15" style="5" customWidth="1"/>
    <col min="10758" max="10758" width="15.125" style="5" customWidth="1"/>
    <col min="10759" max="10759" width="12.25" style="5" customWidth="1"/>
    <col min="10760" max="10760" width="11.625" style="5" customWidth="1"/>
    <col min="10761" max="10761" width="11.875" style="5" customWidth="1"/>
    <col min="10762" max="10762" width="10.625" style="5" bestFit="1" customWidth="1"/>
    <col min="10763" max="11008" width="8.875" style="5"/>
    <col min="11009" max="11009" width="16" style="5" customWidth="1"/>
    <col min="11010" max="11011" width="12.125" style="5" customWidth="1"/>
    <col min="11012" max="11012" width="13.75" style="5" customWidth="1"/>
    <col min="11013" max="11013" width="15" style="5" customWidth="1"/>
    <col min="11014" max="11014" width="15.125" style="5" customWidth="1"/>
    <col min="11015" max="11015" width="12.25" style="5" customWidth="1"/>
    <col min="11016" max="11016" width="11.625" style="5" customWidth="1"/>
    <col min="11017" max="11017" width="11.875" style="5" customWidth="1"/>
    <col min="11018" max="11018" width="10.625" style="5" bestFit="1" customWidth="1"/>
    <col min="11019" max="11264" width="8.875" style="5"/>
    <col min="11265" max="11265" width="16" style="5" customWidth="1"/>
    <col min="11266" max="11267" width="12.125" style="5" customWidth="1"/>
    <col min="11268" max="11268" width="13.75" style="5" customWidth="1"/>
    <col min="11269" max="11269" width="15" style="5" customWidth="1"/>
    <col min="11270" max="11270" width="15.125" style="5" customWidth="1"/>
    <col min="11271" max="11271" width="12.25" style="5" customWidth="1"/>
    <col min="11272" max="11272" width="11.625" style="5" customWidth="1"/>
    <col min="11273" max="11273" width="11.875" style="5" customWidth="1"/>
    <col min="11274" max="11274" width="10.625" style="5" bestFit="1" customWidth="1"/>
    <col min="11275" max="11520" width="8.875" style="5"/>
    <col min="11521" max="11521" width="16" style="5" customWidth="1"/>
    <col min="11522" max="11523" width="12.125" style="5" customWidth="1"/>
    <col min="11524" max="11524" width="13.75" style="5" customWidth="1"/>
    <col min="11525" max="11525" width="15" style="5" customWidth="1"/>
    <col min="11526" max="11526" width="15.125" style="5" customWidth="1"/>
    <col min="11527" max="11527" width="12.25" style="5" customWidth="1"/>
    <col min="11528" max="11528" width="11.625" style="5" customWidth="1"/>
    <col min="11529" max="11529" width="11.875" style="5" customWidth="1"/>
    <col min="11530" max="11530" width="10.625" style="5" bestFit="1" customWidth="1"/>
    <col min="11531" max="11776" width="8.875" style="5"/>
    <col min="11777" max="11777" width="16" style="5" customWidth="1"/>
    <col min="11778" max="11779" width="12.125" style="5" customWidth="1"/>
    <col min="11780" max="11780" width="13.75" style="5" customWidth="1"/>
    <col min="11781" max="11781" width="15" style="5" customWidth="1"/>
    <col min="11782" max="11782" width="15.125" style="5" customWidth="1"/>
    <col min="11783" max="11783" width="12.25" style="5" customWidth="1"/>
    <col min="11784" max="11784" width="11.625" style="5" customWidth="1"/>
    <col min="11785" max="11785" width="11.875" style="5" customWidth="1"/>
    <col min="11786" max="11786" width="10.625" style="5" bestFit="1" customWidth="1"/>
    <col min="11787" max="12032" width="8.875" style="5"/>
    <col min="12033" max="12033" width="16" style="5" customWidth="1"/>
    <col min="12034" max="12035" width="12.125" style="5" customWidth="1"/>
    <col min="12036" max="12036" width="13.75" style="5" customWidth="1"/>
    <col min="12037" max="12037" width="15" style="5" customWidth="1"/>
    <col min="12038" max="12038" width="15.125" style="5" customWidth="1"/>
    <col min="12039" max="12039" width="12.25" style="5" customWidth="1"/>
    <col min="12040" max="12040" width="11.625" style="5" customWidth="1"/>
    <col min="12041" max="12041" width="11.875" style="5" customWidth="1"/>
    <col min="12042" max="12042" width="10.625" style="5" bestFit="1" customWidth="1"/>
    <col min="12043" max="12288" width="8.875" style="5"/>
    <col min="12289" max="12289" width="16" style="5" customWidth="1"/>
    <col min="12290" max="12291" width="12.125" style="5" customWidth="1"/>
    <col min="12292" max="12292" width="13.75" style="5" customWidth="1"/>
    <col min="12293" max="12293" width="15" style="5" customWidth="1"/>
    <col min="12294" max="12294" width="15.125" style="5" customWidth="1"/>
    <col min="12295" max="12295" width="12.25" style="5" customWidth="1"/>
    <col min="12296" max="12296" width="11.625" style="5" customWidth="1"/>
    <col min="12297" max="12297" width="11.875" style="5" customWidth="1"/>
    <col min="12298" max="12298" width="10.625" style="5" bestFit="1" customWidth="1"/>
    <col min="12299" max="12544" width="8.875" style="5"/>
    <col min="12545" max="12545" width="16" style="5" customWidth="1"/>
    <col min="12546" max="12547" width="12.125" style="5" customWidth="1"/>
    <col min="12548" max="12548" width="13.75" style="5" customWidth="1"/>
    <col min="12549" max="12549" width="15" style="5" customWidth="1"/>
    <col min="12550" max="12550" width="15.125" style="5" customWidth="1"/>
    <col min="12551" max="12551" width="12.25" style="5" customWidth="1"/>
    <col min="12552" max="12552" width="11.625" style="5" customWidth="1"/>
    <col min="12553" max="12553" width="11.875" style="5" customWidth="1"/>
    <col min="12554" max="12554" width="10.625" style="5" bestFit="1" customWidth="1"/>
    <col min="12555" max="12800" width="8.875" style="5"/>
    <col min="12801" max="12801" width="16" style="5" customWidth="1"/>
    <col min="12802" max="12803" width="12.125" style="5" customWidth="1"/>
    <col min="12804" max="12804" width="13.75" style="5" customWidth="1"/>
    <col min="12805" max="12805" width="15" style="5" customWidth="1"/>
    <col min="12806" max="12806" width="15.125" style="5" customWidth="1"/>
    <col min="12807" max="12807" width="12.25" style="5" customWidth="1"/>
    <col min="12808" max="12808" width="11.625" style="5" customWidth="1"/>
    <col min="12809" max="12809" width="11.875" style="5" customWidth="1"/>
    <col min="12810" max="12810" width="10.625" style="5" bestFit="1" customWidth="1"/>
    <col min="12811" max="13056" width="8.875" style="5"/>
    <col min="13057" max="13057" width="16" style="5" customWidth="1"/>
    <col min="13058" max="13059" width="12.125" style="5" customWidth="1"/>
    <col min="13060" max="13060" width="13.75" style="5" customWidth="1"/>
    <col min="13061" max="13061" width="15" style="5" customWidth="1"/>
    <col min="13062" max="13062" width="15.125" style="5" customWidth="1"/>
    <col min="13063" max="13063" width="12.25" style="5" customWidth="1"/>
    <col min="13064" max="13064" width="11.625" style="5" customWidth="1"/>
    <col min="13065" max="13065" width="11.875" style="5" customWidth="1"/>
    <col min="13066" max="13066" width="10.625" style="5" bestFit="1" customWidth="1"/>
    <col min="13067" max="13312" width="8.875" style="5"/>
    <col min="13313" max="13313" width="16" style="5" customWidth="1"/>
    <col min="13314" max="13315" width="12.125" style="5" customWidth="1"/>
    <col min="13316" max="13316" width="13.75" style="5" customWidth="1"/>
    <col min="13317" max="13317" width="15" style="5" customWidth="1"/>
    <col min="13318" max="13318" width="15.125" style="5" customWidth="1"/>
    <col min="13319" max="13319" width="12.25" style="5" customWidth="1"/>
    <col min="13320" max="13320" width="11.625" style="5" customWidth="1"/>
    <col min="13321" max="13321" width="11.875" style="5" customWidth="1"/>
    <col min="13322" max="13322" width="10.625" style="5" bestFit="1" customWidth="1"/>
    <col min="13323" max="13568" width="8.875" style="5"/>
    <col min="13569" max="13569" width="16" style="5" customWidth="1"/>
    <col min="13570" max="13571" width="12.125" style="5" customWidth="1"/>
    <col min="13572" max="13572" width="13.75" style="5" customWidth="1"/>
    <col min="13573" max="13573" width="15" style="5" customWidth="1"/>
    <col min="13574" max="13574" width="15.125" style="5" customWidth="1"/>
    <col min="13575" max="13575" width="12.25" style="5" customWidth="1"/>
    <col min="13576" max="13576" width="11.625" style="5" customWidth="1"/>
    <col min="13577" max="13577" width="11.875" style="5" customWidth="1"/>
    <col min="13578" max="13578" width="10.625" style="5" bestFit="1" customWidth="1"/>
    <col min="13579" max="13824" width="8.875" style="5"/>
    <col min="13825" max="13825" width="16" style="5" customWidth="1"/>
    <col min="13826" max="13827" width="12.125" style="5" customWidth="1"/>
    <col min="13828" max="13828" width="13.75" style="5" customWidth="1"/>
    <col min="13829" max="13829" width="15" style="5" customWidth="1"/>
    <col min="13830" max="13830" width="15.125" style="5" customWidth="1"/>
    <col min="13831" max="13831" width="12.25" style="5" customWidth="1"/>
    <col min="13832" max="13832" width="11.625" style="5" customWidth="1"/>
    <col min="13833" max="13833" width="11.875" style="5" customWidth="1"/>
    <col min="13834" max="13834" width="10.625" style="5" bestFit="1" customWidth="1"/>
    <col min="13835" max="14080" width="8.875" style="5"/>
    <col min="14081" max="14081" width="16" style="5" customWidth="1"/>
    <col min="14082" max="14083" width="12.125" style="5" customWidth="1"/>
    <col min="14084" max="14084" width="13.75" style="5" customWidth="1"/>
    <col min="14085" max="14085" width="15" style="5" customWidth="1"/>
    <col min="14086" max="14086" width="15.125" style="5" customWidth="1"/>
    <col min="14087" max="14087" width="12.25" style="5" customWidth="1"/>
    <col min="14088" max="14088" width="11.625" style="5" customWidth="1"/>
    <col min="14089" max="14089" width="11.875" style="5" customWidth="1"/>
    <col min="14090" max="14090" width="10.625" style="5" bestFit="1" customWidth="1"/>
    <col min="14091" max="14336" width="8.875" style="5"/>
    <col min="14337" max="14337" width="16" style="5" customWidth="1"/>
    <col min="14338" max="14339" width="12.125" style="5" customWidth="1"/>
    <col min="14340" max="14340" width="13.75" style="5" customWidth="1"/>
    <col min="14341" max="14341" width="15" style="5" customWidth="1"/>
    <col min="14342" max="14342" width="15.125" style="5" customWidth="1"/>
    <col min="14343" max="14343" width="12.25" style="5" customWidth="1"/>
    <col min="14344" max="14344" width="11.625" style="5" customWidth="1"/>
    <col min="14345" max="14345" width="11.875" style="5" customWidth="1"/>
    <col min="14346" max="14346" width="10.625" style="5" bestFit="1" customWidth="1"/>
    <col min="14347" max="14592" width="8.875" style="5"/>
    <col min="14593" max="14593" width="16" style="5" customWidth="1"/>
    <col min="14594" max="14595" width="12.125" style="5" customWidth="1"/>
    <col min="14596" max="14596" width="13.75" style="5" customWidth="1"/>
    <col min="14597" max="14597" width="15" style="5" customWidth="1"/>
    <col min="14598" max="14598" width="15.125" style="5" customWidth="1"/>
    <col min="14599" max="14599" width="12.25" style="5" customWidth="1"/>
    <col min="14600" max="14600" width="11.625" style="5" customWidth="1"/>
    <col min="14601" max="14601" width="11.875" style="5" customWidth="1"/>
    <col min="14602" max="14602" width="10.625" style="5" bestFit="1" customWidth="1"/>
    <col min="14603" max="14848" width="8.875" style="5"/>
    <col min="14849" max="14849" width="16" style="5" customWidth="1"/>
    <col min="14850" max="14851" width="12.125" style="5" customWidth="1"/>
    <col min="14852" max="14852" width="13.75" style="5" customWidth="1"/>
    <col min="14853" max="14853" width="15" style="5" customWidth="1"/>
    <col min="14854" max="14854" width="15.125" style="5" customWidth="1"/>
    <col min="14855" max="14855" width="12.25" style="5" customWidth="1"/>
    <col min="14856" max="14856" width="11.625" style="5" customWidth="1"/>
    <col min="14857" max="14857" width="11.875" style="5" customWidth="1"/>
    <col min="14858" max="14858" width="10.625" style="5" bestFit="1" customWidth="1"/>
    <col min="14859" max="15104" width="8.875" style="5"/>
    <col min="15105" max="15105" width="16" style="5" customWidth="1"/>
    <col min="15106" max="15107" width="12.125" style="5" customWidth="1"/>
    <col min="15108" max="15108" width="13.75" style="5" customWidth="1"/>
    <col min="15109" max="15109" width="15" style="5" customWidth="1"/>
    <col min="15110" max="15110" width="15.125" style="5" customWidth="1"/>
    <col min="15111" max="15111" width="12.25" style="5" customWidth="1"/>
    <col min="15112" max="15112" width="11.625" style="5" customWidth="1"/>
    <col min="15113" max="15113" width="11.875" style="5" customWidth="1"/>
    <col min="15114" max="15114" width="10.625" style="5" bestFit="1" customWidth="1"/>
    <col min="15115" max="15360" width="8.875" style="5"/>
    <col min="15361" max="15361" width="16" style="5" customWidth="1"/>
    <col min="15362" max="15363" width="12.125" style="5" customWidth="1"/>
    <col min="15364" max="15364" width="13.75" style="5" customWidth="1"/>
    <col min="15365" max="15365" width="15" style="5" customWidth="1"/>
    <col min="15366" max="15366" width="15.125" style="5" customWidth="1"/>
    <col min="15367" max="15367" width="12.25" style="5" customWidth="1"/>
    <col min="15368" max="15368" width="11.625" style="5" customWidth="1"/>
    <col min="15369" max="15369" width="11.875" style="5" customWidth="1"/>
    <col min="15370" max="15370" width="10.625" style="5" bestFit="1" customWidth="1"/>
    <col min="15371" max="15616" width="8.875" style="5"/>
    <col min="15617" max="15617" width="16" style="5" customWidth="1"/>
    <col min="15618" max="15619" width="12.125" style="5" customWidth="1"/>
    <col min="15620" max="15620" width="13.75" style="5" customWidth="1"/>
    <col min="15621" max="15621" width="15" style="5" customWidth="1"/>
    <col min="15622" max="15622" width="15.125" style="5" customWidth="1"/>
    <col min="15623" max="15623" width="12.25" style="5" customWidth="1"/>
    <col min="15624" max="15624" width="11.625" style="5" customWidth="1"/>
    <col min="15625" max="15625" width="11.875" style="5" customWidth="1"/>
    <col min="15626" max="15626" width="10.625" style="5" bestFit="1" customWidth="1"/>
    <col min="15627" max="15872" width="8.875" style="5"/>
    <col min="15873" max="15873" width="16" style="5" customWidth="1"/>
    <col min="15874" max="15875" width="12.125" style="5" customWidth="1"/>
    <col min="15876" max="15876" width="13.75" style="5" customWidth="1"/>
    <col min="15877" max="15877" width="15" style="5" customWidth="1"/>
    <col min="15878" max="15878" width="15.125" style="5" customWidth="1"/>
    <col min="15879" max="15879" width="12.25" style="5" customWidth="1"/>
    <col min="15880" max="15880" width="11.625" style="5" customWidth="1"/>
    <col min="15881" max="15881" width="11.875" style="5" customWidth="1"/>
    <col min="15882" max="15882" width="10.625" style="5" bestFit="1" customWidth="1"/>
    <col min="15883" max="16128" width="8.875" style="5"/>
    <col min="16129" max="16129" width="16" style="5" customWidth="1"/>
    <col min="16130" max="16131" width="12.125" style="5" customWidth="1"/>
    <col min="16132" max="16132" width="13.75" style="5" customWidth="1"/>
    <col min="16133" max="16133" width="15" style="5" customWidth="1"/>
    <col min="16134" max="16134" width="15.125" style="5" customWidth="1"/>
    <col min="16135" max="16135" width="12.25" style="5" customWidth="1"/>
    <col min="16136" max="16136" width="11.625" style="5" customWidth="1"/>
    <col min="16137" max="16137" width="11.875" style="5" customWidth="1"/>
    <col min="16138" max="16138" width="10.625" style="5" bestFit="1" customWidth="1"/>
    <col min="16139" max="16384" width="8.875" style="5"/>
  </cols>
  <sheetData>
    <row r="1" spans="1:10" ht="19.5">
      <c r="A1" s="561" t="s">
        <v>488</v>
      </c>
      <c r="B1" s="561"/>
      <c r="C1" s="561"/>
      <c r="D1" s="561"/>
      <c r="E1" s="561"/>
      <c r="F1" s="561"/>
      <c r="G1" s="561"/>
      <c r="H1" s="561"/>
      <c r="I1" s="561"/>
      <c r="J1" s="561"/>
    </row>
    <row r="2" spans="1:10">
      <c r="G2" s="61"/>
    </row>
    <row r="3" spans="1:10">
      <c r="A3" s="62" t="s">
        <v>107</v>
      </c>
      <c r="B3" s="63"/>
      <c r="C3" s="64"/>
      <c r="D3" s="65"/>
      <c r="E3" s="63"/>
      <c r="F3" s="66"/>
      <c r="G3" s="67"/>
      <c r="H3" s="68"/>
      <c r="I3" s="68"/>
      <c r="J3" s="69"/>
    </row>
    <row r="4" spans="1:10">
      <c r="A4" s="70" t="s">
        <v>489</v>
      </c>
      <c r="B4" s="8" t="s">
        <v>420</v>
      </c>
      <c r="C4" s="71" t="s">
        <v>478</v>
      </c>
      <c r="D4" s="72" t="s">
        <v>159</v>
      </c>
      <c r="E4" s="8" t="s">
        <v>420</v>
      </c>
      <c r="F4" s="71" t="s">
        <v>421</v>
      </c>
      <c r="G4" s="74" t="s">
        <v>160</v>
      </c>
      <c r="H4" s="8" t="s">
        <v>420</v>
      </c>
      <c r="I4" s="71" t="s">
        <v>421</v>
      </c>
      <c r="J4" s="75" t="s">
        <v>160</v>
      </c>
    </row>
    <row r="5" spans="1:10">
      <c r="A5" s="14"/>
      <c r="B5" s="8" t="s">
        <v>33</v>
      </c>
      <c r="C5" s="76" t="s">
        <v>33</v>
      </c>
      <c r="D5" s="445" t="s">
        <v>2</v>
      </c>
      <c r="E5" s="77" t="s">
        <v>34</v>
      </c>
      <c r="F5" s="76" t="s">
        <v>34</v>
      </c>
      <c r="G5" s="445" t="s">
        <v>2</v>
      </c>
      <c r="H5" s="78" t="s">
        <v>108</v>
      </c>
      <c r="I5" s="79" t="s">
        <v>109</v>
      </c>
      <c r="J5" s="445" t="s">
        <v>2</v>
      </c>
    </row>
    <row r="6" spans="1:10">
      <c r="A6" s="80" t="s">
        <v>5</v>
      </c>
      <c r="B6" s="17"/>
      <c r="C6" s="81"/>
      <c r="D6" s="82"/>
      <c r="E6" s="17"/>
      <c r="F6" s="81"/>
      <c r="G6" s="82"/>
      <c r="H6" s="83"/>
      <c r="I6" s="84"/>
      <c r="J6" s="82"/>
    </row>
    <row r="7" spans="1:10">
      <c r="A7" s="80" t="s">
        <v>6</v>
      </c>
      <c r="B7" s="22">
        <f>SUM(B8:B10)</f>
        <v>253661</v>
      </c>
      <c r="C7" s="85">
        <f>SUM(C8:C10)</f>
        <v>388032</v>
      </c>
      <c r="D7" s="505">
        <f>IF(C7,(B7-C7)/C7,0)</f>
        <v>-0.34628845043707734</v>
      </c>
      <c r="E7" s="22">
        <f>SUM(E8:E10)</f>
        <v>252420744</v>
      </c>
      <c r="F7" s="85">
        <f>SUM(F8:F10)</f>
        <v>275008679</v>
      </c>
      <c r="G7" s="505">
        <f>IF(F7,(E7-F7)/F7,0)</f>
        <v>-8.2135353262796487E-2</v>
      </c>
      <c r="H7" s="87">
        <f>IF(B7,E7/B7,0)</f>
        <v>995.1105767145915</v>
      </c>
      <c r="I7" s="88">
        <f>IF(C7,F7/C7,0)</f>
        <v>708.72680345950846</v>
      </c>
      <c r="J7" s="505">
        <f>IF(I7,(H7-I7)/I7,0)</f>
        <v>0.40408204100248191</v>
      </c>
    </row>
    <row r="8" spans="1:10">
      <c r="A8" s="449" t="s">
        <v>200</v>
      </c>
      <c r="B8" s="28">
        <f>整車出口!E8</f>
        <v>228232</v>
      </c>
      <c r="C8" s="89">
        <f>VLOOKUP(A8,[6]進出口值表查詢結果!$A$2:$C$80,3,0)</f>
        <v>360862</v>
      </c>
      <c r="D8" s="505">
        <f t="shared" ref="D8:D67" si="0">IF(C8,(B8-C8)/C8,0)</f>
        <v>-0.36753662064722803</v>
      </c>
      <c r="E8" s="27">
        <f>整車出口!G8</f>
        <v>220656986</v>
      </c>
      <c r="F8" s="89">
        <f>VLOOKUP(A8,[6]進出口值表查詢結果!$A$2:$C$80,2,0)</f>
        <v>247986036</v>
      </c>
      <c r="G8" s="505">
        <f t="shared" ref="G8:G67" si="1">IF(F8,(E8-F8)/F8,0)</f>
        <v>-0.11020398745355162</v>
      </c>
      <c r="H8" s="87">
        <f t="shared" ref="H8:H10" si="2">IF(B8,E8/B8,0)</f>
        <v>966.81002663955974</v>
      </c>
      <c r="I8" s="88">
        <f t="shared" ref="I8:I10" si="3">IF(C8,F8/C8,0)</f>
        <v>687.20462669940309</v>
      </c>
      <c r="J8" s="505">
        <f t="shared" ref="J8:J67" si="4">IF(I8,(H8-I8)/I8,0)</f>
        <v>0.40687357022475573</v>
      </c>
    </row>
    <row r="9" spans="1:10">
      <c r="A9" s="450" t="s">
        <v>7</v>
      </c>
      <c r="B9" s="28">
        <f>整車出口!E9</f>
        <v>20474</v>
      </c>
      <c r="C9" s="89">
        <f>VLOOKUP(A9,[6]進出口值表查詢結果!$A$2:$C$80,3,0)</f>
        <v>21421</v>
      </c>
      <c r="D9" s="505">
        <f t="shared" si="0"/>
        <v>-4.4208953830353392E-2</v>
      </c>
      <c r="E9" s="27">
        <f>整車出口!G9</f>
        <v>25367050</v>
      </c>
      <c r="F9" s="89">
        <f>VLOOKUP(A9,[6]進出口值表查詢結果!$A$2:$C$80,2,0)</f>
        <v>21242753</v>
      </c>
      <c r="G9" s="505">
        <f t="shared" si="1"/>
        <v>0.19415077697321059</v>
      </c>
      <c r="H9" s="87">
        <f t="shared" si="2"/>
        <v>1238.9884731855036</v>
      </c>
      <c r="I9" s="88">
        <f t="shared" si="3"/>
        <v>991.67886653284165</v>
      </c>
      <c r="J9" s="505">
        <f t="shared" si="4"/>
        <v>0.2493847706136145</v>
      </c>
    </row>
    <row r="10" spans="1:10">
      <c r="A10" s="450" t="s">
        <v>8</v>
      </c>
      <c r="B10" s="28">
        <f>整車出口!E10</f>
        <v>4955</v>
      </c>
      <c r="C10" s="89">
        <f>VLOOKUP(A10,[6]進出口值表查詢結果!$A$2:$C$80,3,0)</f>
        <v>5749</v>
      </c>
      <c r="D10" s="505">
        <f t="shared" si="0"/>
        <v>-0.13811097582188206</v>
      </c>
      <c r="E10" s="27">
        <f>整車出口!G10</f>
        <v>6396708</v>
      </c>
      <c r="F10" s="89">
        <f>VLOOKUP(A10,[6]進出口值表查詢結果!$A$2:$C$80,2,0)</f>
        <v>5779890</v>
      </c>
      <c r="G10" s="505">
        <f t="shared" si="1"/>
        <v>0.10671794791942407</v>
      </c>
      <c r="H10" s="87">
        <f t="shared" si="2"/>
        <v>1290.9602421796164</v>
      </c>
      <c r="I10" s="88">
        <f t="shared" si="3"/>
        <v>1005.3731083666725</v>
      </c>
      <c r="J10" s="505">
        <f t="shared" si="4"/>
        <v>0.28406084411478677</v>
      </c>
    </row>
    <row r="11" spans="1:10">
      <c r="A11" s="30"/>
      <c r="B11" s="28"/>
      <c r="C11" s="90"/>
      <c r="D11" s="505"/>
      <c r="E11" s="27"/>
      <c r="F11" s="90"/>
      <c r="G11" s="505"/>
      <c r="H11" s="87"/>
      <c r="I11" s="88"/>
      <c r="J11" s="505"/>
    </row>
    <row r="12" spans="1:10">
      <c r="A12" s="32" t="s">
        <v>9</v>
      </c>
      <c r="B12" s="33">
        <f>SUM(B13:B39)</f>
        <v>210726</v>
      </c>
      <c r="C12" s="91">
        <f>SUM(C13:C39)</f>
        <v>214380</v>
      </c>
      <c r="D12" s="505">
        <f t="shared" si="0"/>
        <v>-1.704450041981528E-2</v>
      </c>
      <c r="E12" s="33">
        <f>SUM(E13:E39)</f>
        <v>175188337</v>
      </c>
      <c r="F12" s="91">
        <f>SUM(F13:F39)</f>
        <v>121724847</v>
      </c>
      <c r="G12" s="505">
        <f t="shared" si="1"/>
        <v>0.43921591456179854</v>
      </c>
      <c r="H12" s="87">
        <f t="shared" ref="H12:H67" si="5">IF(B12,E12/B12,0)</f>
        <v>831.35605952753815</v>
      </c>
      <c r="I12" s="88">
        <f t="shared" ref="I12:I67" si="6">IF(C12,F12/C12,0)</f>
        <v>567.79945424013431</v>
      </c>
      <c r="J12" s="505">
        <f t="shared" si="4"/>
        <v>0.4641719947408407</v>
      </c>
    </row>
    <row r="13" spans="1:10">
      <c r="A13" s="449" t="s">
        <v>201</v>
      </c>
      <c r="B13" s="27">
        <f>整車出口!E13</f>
        <v>66750</v>
      </c>
      <c r="C13" s="89">
        <f>VLOOKUP(A13,[6]進出口值表查詢結果!$A$2:$C$80,3,0)</f>
        <v>59003</v>
      </c>
      <c r="D13" s="505">
        <f t="shared" si="0"/>
        <v>0.13129840855549718</v>
      </c>
      <c r="E13" s="27">
        <f>整車出口!G13</f>
        <v>80569877</v>
      </c>
      <c r="F13" s="89">
        <f>VLOOKUP(A13,[6]進出口值表查詢結果!$A$2:$C$80,2,0)</f>
        <v>52902323</v>
      </c>
      <c r="G13" s="505">
        <f t="shared" si="1"/>
        <v>0.52299317744515683</v>
      </c>
      <c r="H13" s="87">
        <f t="shared" si="5"/>
        <v>1207.0393558052435</v>
      </c>
      <c r="I13" s="88">
        <f t="shared" si="6"/>
        <v>896.6039523414064</v>
      </c>
      <c r="J13" s="505">
        <f t="shared" si="4"/>
        <v>0.34623470335275791</v>
      </c>
    </row>
    <row r="14" spans="1:10">
      <c r="A14" s="449" t="s">
        <v>202</v>
      </c>
      <c r="B14" s="27">
        <f>整車出口!E14</f>
        <v>50501</v>
      </c>
      <c r="C14" s="89">
        <f>VLOOKUP(A14,[6]進出口值表查詢結果!$A$2:$C$80,3,0)</f>
        <v>34711</v>
      </c>
      <c r="D14" s="505">
        <f t="shared" si="0"/>
        <v>0.45489902336435134</v>
      </c>
      <c r="E14" s="27">
        <f>整車出口!G14</f>
        <v>25521513</v>
      </c>
      <c r="F14" s="89">
        <f>VLOOKUP(A14,[6]進出口值表查詢結果!$A$2:$C$80,2,0)</f>
        <v>10746288</v>
      </c>
      <c r="G14" s="505">
        <f t="shared" si="1"/>
        <v>1.3749142959876006</v>
      </c>
      <c r="H14" s="87">
        <f t="shared" si="5"/>
        <v>505.36648779232092</v>
      </c>
      <c r="I14" s="88">
        <f t="shared" si="6"/>
        <v>309.59315490766613</v>
      </c>
      <c r="J14" s="505">
        <f t="shared" si="4"/>
        <v>0.6323567875492685</v>
      </c>
    </row>
    <row r="15" spans="1:10">
      <c r="A15" s="450" t="s">
        <v>10</v>
      </c>
      <c r="B15" s="27">
        <f>整車出口!E15</f>
        <v>6409</v>
      </c>
      <c r="C15" s="89">
        <f>VLOOKUP(A15,[6]進出口值表查詢結果!$A$2:$C$80,3,0)</f>
        <v>3243</v>
      </c>
      <c r="D15" s="505">
        <f t="shared" si="0"/>
        <v>0.97625655257477639</v>
      </c>
      <c r="E15" s="27">
        <f>整車出口!G15</f>
        <v>6491223</v>
      </c>
      <c r="F15" s="89">
        <f>VLOOKUP(A15,[6]進出口值表查詢結果!$A$2:$C$80,2,0)</f>
        <v>1270960</v>
      </c>
      <c r="G15" s="505">
        <f t="shared" si="1"/>
        <v>4.1073385472398813</v>
      </c>
      <c r="H15" s="87">
        <f t="shared" si="5"/>
        <v>1012.8293025432985</v>
      </c>
      <c r="I15" s="88">
        <f t="shared" si="6"/>
        <v>391.90872648781993</v>
      </c>
      <c r="J15" s="505">
        <f t="shared" si="4"/>
        <v>1.5843499623496542</v>
      </c>
    </row>
    <row r="16" spans="1:10">
      <c r="A16" s="449" t="s">
        <v>203</v>
      </c>
      <c r="B16" s="27">
        <f>整車出口!E16</f>
        <v>21245</v>
      </c>
      <c r="C16" s="89">
        <f>VLOOKUP(A16,[6]進出口值表查詢結果!$A$2:$C$80,3,0)</f>
        <v>9429</v>
      </c>
      <c r="D16" s="505">
        <f t="shared" si="0"/>
        <v>1.253155159613957</v>
      </c>
      <c r="E16" s="27">
        <f>整車出口!G16</f>
        <v>18123438</v>
      </c>
      <c r="F16" s="89">
        <f>VLOOKUP(A16,[6]進出口值表查詢結果!$A$2:$C$80,2,0)</f>
        <v>8837432</v>
      </c>
      <c r="G16" s="505">
        <f t="shared" si="1"/>
        <v>1.0507584103617431</v>
      </c>
      <c r="H16" s="87">
        <f t="shared" si="5"/>
        <v>853.06839256295598</v>
      </c>
      <c r="I16" s="88">
        <f t="shared" si="6"/>
        <v>937.2607911761587</v>
      </c>
      <c r="J16" s="505">
        <f t="shared" si="4"/>
        <v>-8.9828145384755267E-2</v>
      </c>
    </row>
    <row r="17" spans="1:10">
      <c r="A17" s="450" t="s">
        <v>11</v>
      </c>
      <c r="B17" s="27">
        <f>整車出口!E17</f>
        <v>6109</v>
      </c>
      <c r="C17" s="89">
        <f>VLOOKUP(A17,[6]進出口值表查詢結果!$A$2:$C$80,3,0)</f>
        <v>9000</v>
      </c>
      <c r="D17" s="505">
        <f t="shared" si="0"/>
        <v>-0.32122222222222224</v>
      </c>
      <c r="E17" s="27">
        <f>整車出口!G17</f>
        <v>10178860</v>
      </c>
      <c r="F17" s="89">
        <f>VLOOKUP(A17,[6]進出口值表查詢結果!$A$2:$C$80,2,0)</f>
        <v>9630725</v>
      </c>
      <c r="G17" s="505">
        <f t="shared" si="1"/>
        <v>5.6915237430203852E-2</v>
      </c>
      <c r="H17" s="87">
        <f t="shared" si="5"/>
        <v>1666.2072352267146</v>
      </c>
      <c r="I17" s="88">
        <f t="shared" si="6"/>
        <v>1070.0805555555555</v>
      </c>
      <c r="J17" s="505">
        <f t="shared" si="4"/>
        <v>0.55708579749088794</v>
      </c>
    </row>
    <row r="18" spans="1:10">
      <c r="A18" s="450" t="s">
        <v>12</v>
      </c>
      <c r="B18" s="27">
        <f>整車出口!E18</f>
        <v>12094</v>
      </c>
      <c r="C18" s="89">
        <f>VLOOKUP(A18,[6]進出口值表查詢結果!$A$2:$C$80,3,0)</f>
        <v>35032</v>
      </c>
      <c r="D18" s="505">
        <f t="shared" si="0"/>
        <v>-0.65477277917332721</v>
      </c>
      <c r="E18" s="27">
        <f>整車出口!G18</f>
        <v>17196122</v>
      </c>
      <c r="F18" s="89">
        <f>VLOOKUP(A18,[6]進出口值表查詢結果!$A$2:$C$80,2,0)</f>
        <v>22554971</v>
      </c>
      <c r="G18" s="505">
        <f t="shared" si="1"/>
        <v>-0.23759059588238884</v>
      </c>
      <c r="H18" s="87">
        <f t="shared" si="5"/>
        <v>1421.8721680171986</v>
      </c>
      <c r="I18" s="88">
        <f t="shared" si="6"/>
        <v>643.83908997488015</v>
      </c>
      <c r="J18" s="505">
        <f t="shared" si="4"/>
        <v>1.2084278357076361</v>
      </c>
    </row>
    <row r="19" spans="1:10">
      <c r="A19" s="449" t="s">
        <v>204</v>
      </c>
      <c r="B19" s="27">
        <f>整車出口!E19</f>
        <v>6359</v>
      </c>
      <c r="C19" s="89">
        <f>VLOOKUP(A19,[6]進出口值表查詢結果!$A$2:$C$80,3,0)</f>
        <v>11533</v>
      </c>
      <c r="D19" s="505">
        <f t="shared" si="0"/>
        <v>-0.44862568282320298</v>
      </c>
      <c r="E19" s="27">
        <f>整車出口!G19</f>
        <v>2556822</v>
      </c>
      <c r="F19" s="89">
        <f>VLOOKUP(A19,[6]進出口值表查詢結果!$A$2:$C$80,2,0)</f>
        <v>3679089</v>
      </c>
      <c r="G19" s="505">
        <f t="shared" si="1"/>
        <v>-0.30503937251857727</v>
      </c>
      <c r="H19" s="87">
        <f t="shared" si="5"/>
        <v>402.07925774492844</v>
      </c>
      <c r="I19" s="88">
        <f t="shared" si="6"/>
        <v>319.00537587791553</v>
      </c>
      <c r="J19" s="505">
        <f t="shared" si="4"/>
        <v>0.26041530378097949</v>
      </c>
    </row>
    <row r="20" spans="1:10">
      <c r="A20" s="450" t="s">
        <v>205</v>
      </c>
      <c r="B20" s="27">
        <f>整車出口!E20</f>
        <v>80</v>
      </c>
      <c r="C20" s="89">
        <v>0</v>
      </c>
      <c r="D20" s="505">
        <f t="shared" si="0"/>
        <v>0</v>
      </c>
      <c r="E20" s="27">
        <f>整車出口!G20</f>
        <v>169961</v>
      </c>
      <c r="F20" s="89">
        <v>0</v>
      </c>
      <c r="G20" s="505">
        <f t="shared" si="1"/>
        <v>0</v>
      </c>
      <c r="H20" s="87">
        <f t="shared" si="5"/>
        <v>2124.5124999999998</v>
      </c>
      <c r="I20" s="88">
        <f t="shared" si="6"/>
        <v>0</v>
      </c>
      <c r="J20" s="505">
        <f t="shared" si="4"/>
        <v>0</v>
      </c>
    </row>
    <row r="21" spans="1:10">
      <c r="A21" s="449" t="s">
        <v>206</v>
      </c>
      <c r="B21" s="27">
        <f>整車出口!E21</f>
        <v>1173</v>
      </c>
      <c r="C21" s="89">
        <f>VLOOKUP(A21,[6]進出口值表查詢結果!$A$2:$C$80,3,0)</f>
        <v>2867</v>
      </c>
      <c r="D21" s="505">
        <f t="shared" si="0"/>
        <v>-0.59086152772933376</v>
      </c>
      <c r="E21" s="27">
        <f>整車出口!G21</f>
        <v>274590</v>
      </c>
      <c r="F21" s="89">
        <f>VLOOKUP(A21,[6]進出口值表查詢結果!$A$2:$C$80,2,0)</f>
        <v>350210</v>
      </c>
      <c r="G21" s="505">
        <f t="shared" si="1"/>
        <v>-0.21592758630535963</v>
      </c>
      <c r="H21" s="87">
        <f t="shared" si="5"/>
        <v>234.0920716112532</v>
      </c>
      <c r="I21" s="88">
        <f t="shared" si="6"/>
        <v>122.15207534007673</v>
      </c>
      <c r="J21" s="505">
        <f t="shared" si="4"/>
        <v>0.91639864455458997</v>
      </c>
    </row>
    <row r="22" spans="1:10">
      <c r="A22" s="450" t="s">
        <v>14</v>
      </c>
      <c r="B22" s="27">
        <f>整車出口!E22</f>
        <v>0</v>
      </c>
      <c r="C22" s="89">
        <v>0</v>
      </c>
      <c r="D22" s="505">
        <f t="shared" si="0"/>
        <v>0</v>
      </c>
      <c r="E22" s="27">
        <f>整車出口!G22</f>
        <v>0</v>
      </c>
      <c r="F22" s="89">
        <v>0</v>
      </c>
      <c r="G22" s="505">
        <f t="shared" si="1"/>
        <v>0</v>
      </c>
      <c r="H22" s="87">
        <f t="shared" si="5"/>
        <v>0</v>
      </c>
      <c r="I22" s="88">
        <f t="shared" si="6"/>
        <v>0</v>
      </c>
      <c r="J22" s="505">
        <f t="shared" si="4"/>
        <v>0</v>
      </c>
    </row>
    <row r="23" spans="1:10">
      <c r="A23" s="450" t="s">
        <v>15</v>
      </c>
      <c r="B23" s="27">
        <f>整車出口!E23</f>
        <v>2</v>
      </c>
      <c r="C23" s="89">
        <v>0</v>
      </c>
      <c r="D23" s="505">
        <f t="shared" si="0"/>
        <v>0</v>
      </c>
      <c r="E23" s="27">
        <f>整車出口!G23</f>
        <v>7582</v>
      </c>
      <c r="F23" s="89">
        <v>0</v>
      </c>
      <c r="G23" s="505">
        <f t="shared" si="1"/>
        <v>0</v>
      </c>
      <c r="H23" s="87">
        <f t="shared" si="5"/>
        <v>3791</v>
      </c>
      <c r="I23" s="88">
        <f t="shared" si="6"/>
        <v>0</v>
      </c>
      <c r="J23" s="505">
        <f t="shared" si="4"/>
        <v>0</v>
      </c>
    </row>
    <row r="24" spans="1:10">
      <c r="A24" s="450" t="s">
        <v>16</v>
      </c>
      <c r="B24" s="27">
        <f>整車出口!E24</f>
        <v>1087</v>
      </c>
      <c r="C24" s="89">
        <f>VLOOKUP(A24,[6]進出口值表查詢結果!$A$2:$C$80,3,0)</f>
        <v>1359</v>
      </c>
      <c r="D24" s="505">
        <f t="shared" si="0"/>
        <v>-0.20014716703458427</v>
      </c>
      <c r="E24" s="27">
        <f>整車出口!G24</f>
        <v>746864</v>
      </c>
      <c r="F24" s="89">
        <f>VLOOKUP(A24,[6]進出口值表查詢結果!$A$2:$C$80,2,0)</f>
        <v>543705</v>
      </c>
      <c r="G24" s="505">
        <f t="shared" si="1"/>
        <v>0.37365667043709366</v>
      </c>
      <c r="H24" s="87">
        <f t="shared" si="5"/>
        <v>687.08739650413986</v>
      </c>
      <c r="I24" s="88">
        <f t="shared" si="6"/>
        <v>400.07726269315674</v>
      </c>
      <c r="J24" s="505">
        <f t="shared" si="4"/>
        <v>0.71738676644343169</v>
      </c>
    </row>
    <row r="25" spans="1:10">
      <c r="A25" s="449" t="s">
        <v>207</v>
      </c>
      <c r="B25" s="27">
        <f>整車出口!E25</f>
        <v>20939</v>
      </c>
      <c r="C25" s="89">
        <f>VLOOKUP(A25,[6]進出口值表查詢結果!$A$2:$C$80,3,0)</f>
        <v>20270</v>
      </c>
      <c r="D25" s="505">
        <f t="shared" si="0"/>
        <v>3.3004440059200786E-2</v>
      </c>
      <c r="E25" s="27">
        <f>整車出口!G25</f>
        <v>4433373</v>
      </c>
      <c r="F25" s="89">
        <f>VLOOKUP(A25,[6]進出口值表查詢結果!$A$2:$C$80,2,0)</f>
        <v>3300688</v>
      </c>
      <c r="G25" s="505">
        <f t="shared" si="1"/>
        <v>0.34316633380676997</v>
      </c>
      <c r="H25" s="87">
        <f t="shared" si="5"/>
        <v>211.72801948517122</v>
      </c>
      <c r="I25" s="88">
        <f t="shared" si="6"/>
        <v>162.83611248149975</v>
      </c>
      <c r="J25" s="505">
        <f t="shared" si="4"/>
        <v>0.30025223679560764</v>
      </c>
    </row>
    <row r="26" spans="1:10">
      <c r="A26" s="449" t="s">
        <v>208</v>
      </c>
      <c r="B26" s="27">
        <f>整車出口!E26</f>
        <v>1752</v>
      </c>
      <c r="C26" s="89">
        <f>VLOOKUP(A26,[6]進出口值表查詢結果!$A$2:$C$80,3,0)</f>
        <v>775</v>
      </c>
      <c r="D26" s="505">
        <f t="shared" si="0"/>
        <v>1.2606451612903227</v>
      </c>
      <c r="E26" s="27">
        <f>整車出口!G26</f>
        <v>932878</v>
      </c>
      <c r="F26" s="89">
        <f>VLOOKUP(A26,[6]進出口值表查詢結果!$A$2:$C$80,2,0)</f>
        <v>418926</v>
      </c>
      <c r="G26" s="505">
        <f t="shared" si="1"/>
        <v>1.2268324238648354</v>
      </c>
      <c r="H26" s="87">
        <f t="shared" si="5"/>
        <v>532.46461187214607</v>
      </c>
      <c r="I26" s="88">
        <f t="shared" si="6"/>
        <v>540.54967741935479</v>
      </c>
      <c r="J26" s="505">
        <f t="shared" si="4"/>
        <v>-1.4957118438785763E-2</v>
      </c>
    </row>
    <row r="27" spans="1:10">
      <c r="A27" s="451" t="s">
        <v>209</v>
      </c>
      <c r="B27" s="27">
        <f>整車出口!E27</f>
        <v>7363</v>
      </c>
      <c r="C27" s="89">
        <f>VLOOKUP(A27,[6]進出口值表查詢結果!$A$2:$C$80,3,0)</f>
        <v>11848</v>
      </c>
      <c r="D27" s="505">
        <f t="shared" si="0"/>
        <v>-0.37854490209318026</v>
      </c>
      <c r="E27" s="27">
        <f>整車出口!G27</f>
        <v>3851848</v>
      </c>
      <c r="F27" s="89">
        <f>VLOOKUP(A27,[6]進出口值表查詢結果!$A$2:$C$80,2,0)</f>
        <v>3985378</v>
      </c>
      <c r="G27" s="505">
        <f t="shared" si="1"/>
        <v>-3.3504977445050384E-2</v>
      </c>
      <c r="H27" s="87">
        <f t="shared" si="5"/>
        <v>523.1356783919598</v>
      </c>
      <c r="I27" s="88">
        <f t="shared" si="6"/>
        <v>336.37559081701551</v>
      </c>
      <c r="J27" s="505">
        <f t="shared" si="4"/>
        <v>0.55521296037363088</v>
      </c>
    </row>
    <row r="28" spans="1:10">
      <c r="A28" s="451" t="s">
        <v>210</v>
      </c>
      <c r="B28" s="27">
        <f>整車出口!E28</f>
        <v>4768</v>
      </c>
      <c r="C28" s="89">
        <f>VLOOKUP(A28,[6]進出口值表查詢結果!$A$2:$C$80,3,0)</f>
        <v>6780</v>
      </c>
      <c r="D28" s="505">
        <f t="shared" si="0"/>
        <v>-0.29675516224188792</v>
      </c>
      <c r="E28" s="27">
        <f>整車出口!G28</f>
        <v>2126140</v>
      </c>
      <c r="F28" s="89">
        <f>VLOOKUP(A28,[6]進出口值表查詢結果!$A$2:$C$80,2,0)</f>
        <v>1922168</v>
      </c>
      <c r="G28" s="505">
        <f t="shared" si="1"/>
        <v>0.10611559447457246</v>
      </c>
      <c r="H28" s="87">
        <f t="shared" si="5"/>
        <v>445.91862416107381</v>
      </c>
      <c r="I28" s="88">
        <f t="shared" si="6"/>
        <v>283.50560471976399</v>
      </c>
      <c r="J28" s="505">
        <f t="shared" si="4"/>
        <v>0.57287410455906074</v>
      </c>
    </row>
    <row r="29" spans="1:10">
      <c r="A29" s="450" t="s">
        <v>211</v>
      </c>
      <c r="B29" s="27">
        <f>整車出口!E29</f>
        <v>1054</v>
      </c>
      <c r="C29" s="89">
        <f>VLOOKUP(A29,[6]進出口值表查詢結果!$A$2:$C$80,3,0)</f>
        <v>3823</v>
      </c>
      <c r="D29" s="505">
        <f t="shared" si="0"/>
        <v>-0.7243002877321475</v>
      </c>
      <c r="E29" s="27">
        <f>整車出口!G29</f>
        <v>456782</v>
      </c>
      <c r="F29" s="89">
        <f>VLOOKUP(A29,[6]進出口值表查詢結果!$A$2:$C$80,2,0)</f>
        <v>589100</v>
      </c>
      <c r="G29" s="505">
        <f t="shared" si="1"/>
        <v>-0.22461042267866235</v>
      </c>
      <c r="H29" s="87">
        <f t="shared" si="5"/>
        <v>433.37950664136622</v>
      </c>
      <c r="I29" s="88">
        <f t="shared" si="6"/>
        <v>154.09364373528643</v>
      </c>
      <c r="J29" s="505">
        <f t="shared" si="4"/>
        <v>1.8124424611949463</v>
      </c>
    </row>
    <row r="30" spans="1:10">
      <c r="A30" s="450" t="s">
        <v>212</v>
      </c>
      <c r="B30" s="27">
        <f>整車出口!E30</f>
        <v>0</v>
      </c>
      <c r="C30" s="89">
        <f>VLOOKUP(A30,[6]進出口值表查詢結果!$A$2:$C$80,3,0)</f>
        <v>52</v>
      </c>
      <c r="D30" s="505">
        <f t="shared" si="0"/>
        <v>-1</v>
      </c>
      <c r="E30" s="27">
        <f>整車出口!G30</f>
        <v>0</v>
      </c>
      <c r="F30" s="89">
        <f>VLOOKUP(A30,[6]進出口值表查詢結果!$A$2:$C$80,2,0)</f>
        <v>9005</v>
      </c>
      <c r="G30" s="505">
        <f t="shared" si="1"/>
        <v>-1</v>
      </c>
      <c r="H30" s="87">
        <f t="shared" si="5"/>
        <v>0</v>
      </c>
      <c r="I30" s="88">
        <f t="shared" si="6"/>
        <v>173.17307692307693</v>
      </c>
      <c r="J30" s="505">
        <f t="shared" si="4"/>
        <v>-1</v>
      </c>
    </row>
    <row r="31" spans="1:10">
      <c r="A31" s="450" t="s">
        <v>17</v>
      </c>
      <c r="B31" s="27">
        <f>整車出口!E31</f>
        <v>974</v>
      </c>
      <c r="C31" s="89">
        <f>VLOOKUP(A31,[6]進出口值表查詢結果!$A$2:$C$80,3,0)</f>
        <v>730</v>
      </c>
      <c r="D31" s="505">
        <f t="shared" si="0"/>
        <v>0.33424657534246577</v>
      </c>
      <c r="E31" s="384">
        <f>整車出口!G31</f>
        <v>880216</v>
      </c>
      <c r="F31" s="89">
        <f>VLOOKUP(A31,[6]進出口值表查詢結果!$A$2:$C$80,2,0)</f>
        <v>168893</v>
      </c>
      <c r="G31" s="505">
        <f t="shared" si="1"/>
        <v>4.2116783999336862</v>
      </c>
      <c r="H31" s="87">
        <f t="shared" si="5"/>
        <v>903.71252566735109</v>
      </c>
      <c r="I31" s="88">
        <f t="shared" si="6"/>
        <v>231.36027397260273</v>
      </c>
      <c r="J31" s="505">
        <f t="shared" si="4"/>
        <v>2.9060834003609761</v>
      </c>
    </row>
    <row r="32" spans="1:10">
      <c r="A32" s="450" t="s">
        <v>18</v>
      </c>
      <c r="B32" s="27">
        <f>整車出口!E32</f>
        <v>50</v>
      </c>
      <c r="C32" s="89">
        <f>VLOOKUP(A32,[6]進出口值表查詢結果!$A$2:$C$80,3,0)</f>
        <v>470</v>
      </c>
      <c r="D32" s="505">
        <f t="shared" si="0"/>
        <v>-0.8936170212765957</v>
      </c>
      <c r="E32" s="27">
        <f>整車出口!G32</f>
        <v>6219</v>
      </c>
      <c r="F32" s="89">
        <f>VLOOKUP(A32,[6]進出口值表查詢結果!$A$2:$C$80,2,0)</f>
        <v>77364</v>
      </c>
      <c r="G32" s="505">
        <f t="shared" si="1"/>
        <v>-0.91961377384830156</v>
      </c>
      <c r="H32" s="87">
        <f t="shared" si="5"/>
        <v>124.38</v>
      </c>
      <c r="I32" s="88">
        <f t="shared" si="6"/>
        <v>164.60425531914893</v>
      </c>
      <c r="J32" s="505">
        <f t="shared" si="4"/>
        <v>-0.24436947417403446</v>
      </c>
    </row>
    <row r="33" spans="1:10">
      <c r="A33" s="450" t="s">
        <v>213</v>
      </c>
      <c r="B33" s="27">
        <f>整車出口!E33</f>
        <v>697</v>
      </c>
      <c r="C33" s="89">
        <f>VLOOKUP(A33,[6]進出口值表查詢結果!$A$2:$C$80,3,0)</f>
        <v>437</v>
      </c>
      <c r="D33" s="505">
        <f t="shared" si="0"/>
        <v>0.59496567505720821</v>
      </c>
      <c r="E33" s="27">
        <f>整車出口!G33</f>
        <v>299048</v>
      </c>
      <c r="F33" s="89">
        <f>VLOOKUP(A33,[6]進出口值表查詢結果!$A$2:$C$80,2,0)</f>
        <v>109190</v>
      </c>
      <c r="G33" s="505">
        <f t="shared" si="1"/>
        <v>1.7387856030772049</v>
      </c>
      <c r="H33" s="87">
        <f t="shared" si="5"/>
        <v>429.05021520803444</v>
      </c>
      <c r="I33" s="88">
        <f t="shared" si="6"/>
        <v>249.86270022883295</v>
      </c>
      <c r="J33" s="505">
        <f t="shared" si="4"/>
        <v>0.71714391469833372</v>
      </c>
    </row>
    <row r="34" spans="1:10">
      <c r="A34" s="450" t="s">
        <v>214</v>
      </c>
      <c r="B34" s="27">
        <f>整車出口!E34</f>
        <v>263</v>
      </c>
      <c r="C34" s="89">
        <f>VLOOKUP(A34,[6]進出口值表查詢結果!$A$2:$C$80,3,0)</f>
        <v>876</v>
      </c>
      <c r="D34" s="505">
        <f t="shared" si="0"/>
        <v>-0.69977168949771684</v>
      </c>
      <c r="E34" s="27">
        <f>整車出口!G34</f>
        <v>84494</v>
      </c>
      <c r="F34" s="89">
        <f>VLOOKUP(A34,[6]進出口值表查詢結果!$A$2:$C$80,2,0)</f>
        <v>190424</v>
      </c>
      <c r="G34" s="505">
        <f t="shared" si="1"/>
        <v>-0.55628492206864677</v>
      </c>
      <c r="H34" s="87">
        <f t="shared" si="5"/>
        <v>321.26996197718631</v>
      </c>
      <c r="I34" s="88">
        <f t="shared" si="6"/>
        <v>217.37899543378995</v>
      </c>
      <c r="J34" s="505">
        <f t="shared" si="4"/>
        <v>0.47792550672192169</v>
      </c>
    </row>
    <row r="35" spans="1:10">
      <c r="A35" s="450" t="s">
        <v>215</v>
      </c>
      <c r="B35" s="27">
        <f>整車出口!E35</f>
        <v>409</v>
      </c>
      <c r="C35" s="89">
        <f>VLOOKUP(A35,[6]進出口值表查詢結果!$A$2:$C$80,3,0)</f>
        <v>1009</v>
      </c>
      <c r="D35" s="505">
        <f t="shared" si="0"/>
        <v>-0.59464816650148666</v>
      </c>
      <c r="E35" s="27">
        <f>整車出口!G35</f>
        <v>165765</v>
      </c>
      <c r="F35" s="89">
        <f>VLOOKUP(A35,[6]進出口值表查詢結果!$A$2:$C$80,2,0)</f>
        <v>261981</v>
      </c>
      <c r="G35" s="505">
        <f t="shared" si="1"/>
        <v>-0.36726327481763943</v>
      </c>
      <c r="H35" s="87">
        <f t="shared" si="5"/>
        <v>405.29339853300735</v>
      </c>
      <c r="I35" s="88">
        <f t="shared" si="6"/>
        <v>259.64420218037662</v>
      </c>
      <c r="J35" s="505">
        <f t="shared" si="4"/>
        <v>0.56095685992420974</v>
      </c>
    </row>
    <row r="36" spans="1:10">
      <c r="A36" s="450" t="s">
        <v>216</v>
      </c>
      <c r="B36" s="27">
        <f>整車出口!E36</f>
        <v>0</v>
      </c>
      <c r="C36" s="89">
        <f>VLOOKUP(A36,[6]進出口值表查詢結果!$A$2:$C$80,3,0)</f>
        <v>404</v>
      </c>
      <c r="D36" s="505">
        <f t="shared" si="0"/>
        <v>-1</v>
      </c>
      <c r="E36" s="27">
        <f>整車出口!G36</f>
        <v>0</v>
      </c>
      <c r="F36" s="89">
        <f>VLOOKUP(A36,[6]進出口值表查詢結果!$A$2:$C$80,2,0)</f>
        <v>68501</v>
      </c>
      <c r="G36" s="505">
        <f t="shared" si="1"/>
        <v>-1</v>
      </c>
      <c r="H36" s="87">
        <f t="shared" si="5"/>
        <v>0</v>
      </c>
      <c r="I36" s="88">
        <f t="shared" si="6"/>
        <v>169.55693069306932</v>
      </c>
      <c r="J36" s="505">
        <f t="shared" si="4"/>
        <v>-1</v>
      </c>
    </row>
    <row r="37" spans="1:10">
      <c r="A37" s="450" t="s">
        <v>217</v>
      </c>
      <c r="B37" s="27">
        <f>整車出口!E37</f>
        <v>0</v>
      </c>
      <c r="C37" s="89">
        <f>VLOOKUP(A37,[6]進出口值表查詢結果!$A$2:$C$80,3,0)</f>
        <v>114</v>
      </c>
      <c r="D37" s="505">
        <f t="shared" si="0"/>
        <v>-1</v>
      </c>
      <c r="E37" s="27">
        <f>整車出口!G37</f>
        <v>0</v>
      </c>
      <c r="F37" s="89">
        <f>VLOOKUP(A37,[6]進出口值表查詢結果!$A$2:$C$80,2,0)</f>
        <v>12060</v>
      </c>
      <c r="G37" s="505">
        <f t="shared" si="1"/>
        <v>-1</v>
      </c>
      <c r="H37" s="87">
        <f t="shared" si="5"/>
        <v>0</v>
      </c>
      <c r="I37" s="88">
        <f t="shared" si="6"/>
        <v>105.78947368421052</v>
      </c>
      <c r="J37" s="505">
        <f t="shared" si="4"/>
        <v>-1</v>
      </c>
    </row>
    <row r="38" spans="1:10">
      <c r="A38" s="450" t="s">
        <v>218</v>
      </c>
      <c r="B38" s="27">
        <f>整車出口!E38</f>
        <v>325</v>
      </c>
      <c r="C38" s="89">
        <f>VLOOKUP(A38,[6]進出口值表查詢結果!$A$2:$C$80,3,0)</f>
        <v>270</v>
      </c>
      <c r="D38" s="505">
        <f t="shared" si="0"/>
        <v>0.20370370370370369</v>
      </c>
      <c r="E38" s="27">
        <f>整車出口!G38</f>
        <v>48937</v>
      </c>
      <c r="F38" s="89">
        <f>VLOOKUP(A38,[6]進出口值表查詢結果!$A$2:$C$80,2,0)</f>
        <v>38612</v>
      </c>
      <c r="G38" s="505">
        <f t="shared" si="1"/>
        <v>0.26740391588107326</v>
      </c>
      <c r="H38" s="87">
        <f t="shared" si="5"/>
        <v>150.57538461538462</v>
      </c>
      <c r="I38" s="88">
        <f t="shared" si="6"/>
        <v>143.00740740740741</v>
      </c>
      <c r="J38" s="505">
        <f t="shared" si="4"/>
        <v>5.2920176270430073E-2</v>
      </c>
    </row>
    <row r="39" spans="1:10">
      <c r="A39" s="450" t="s">
        <v>19</v>
      </c>
      <c r="B39" s="27">
        <f>整車出口!E39</f>
        <v>323</v>
      </c>
      <c r="C39" s="89">
        <f>VLOOKUP(A39,[6]進出口值表查詢結果!$A$2:$C$80,3,0)</f>
        <v>345</v>
      </c>
      <c r="D39" s="505">
        <f t="shared" si="0"/>
        <v>-6.3768115942028983E-2</v>
      </c>
      <c r="E39" s="27">
        <f>整車出口!G39</f>
        <v>65785</v>
      </c>
      <c r="F39" s="89">
        <f>VLOOKUP(A39,[6]進出口值表查詢結果!$A$2:$C$80,2,0)</f>
        <v>56854</v>
      </c>
      <c r="G39" s="505">
        <f t="shared" si="1"/>
        <v>0.15708657262461745</v>
      </c>
      <c r="H39" s="87">
        <f t="shared" si="5"/>
        <v>203.6687306501548</v>
      </c>
      <c r="I39" s="88">
        <f t="shared" si="6"/>
        <v>164.79420289855074</v>
      </c>
      <c r="J39" s="505">
        <f t="shared" si="4"/>
        <v>0.23589742277242412</v>
      </c>
    </row>
    <row r="40" spans="1:10">
      <c r="A40" s="30"/>
      <c r="B40" s="27"/>
      <c r="C40" s="90"/>
      <c r="D40" s="505"/>
      <c r="E40" s="27"/>
      <c r="F40" s="90"/>
      <c r="G40" s="505"/>
      <c r="H40" s="87"/>
      <c r="I40" s="88"/>
      <c r="J40" s="505"/>
    </row>
    <row r="41" spans="1:10" ht="16.149999999999999" customHeight="1">
      <c r="A41" s="36" t="s">
        <v>20</v>
      </c>
      <c r="B41" s="33">
        <f>SUM(B42:B45)</f>
        <v>20833</v>
      </c>
      <c r="C41" s="91">
        <f>SUM(C42:C45)</f>
        <v>13676</v>
      </c>
      <c r="D41" s="505">
        <f t="shared" si="0"/>
        <v>0.52332553378180757</v>
      </c>
      <c r="E41" s="33">
        <f>SUM(E42:E45)</f>
        <v>13275044</v>
      </c>
      <c r="F41" s="91">
        <f>SUM(F42:F45)</f>
        <v>11217030</v>
      </c>
      <c r="G41" s="505">
        <f t="shared" si="1"/>
        <v>0.18347227385502224</v>
      </c>
      <c r="H41" s="87">
        <f t="shared" si="5"/>
        <v>637.21230739691839</v>
      </c>
      <c r="I41" s="88">
        <f t="shared" si="6"/>
        <v>820.19815735595205</v>
      </c>
      <c r="J41" s="505">
        <f t="shared" si="4"/>
        <v>-0.22309956236541617</v>
      </c>
    </row>
    <row r="42" spans="1:10">
      <c r="A42" s="449" t="s">
        <v>219</v>
      </c>
      <c r="B42" s="27">
        <f>整車出口!E42</f>
        <v>5268</v>
      </c>
      <c r="C42" s="89">
        <f>VLOOKUP(A42,[6]進出口值表查詢結果!$A$2:$C$80,3,0)</f>
        <v>5661</v>
      </c>
      <c r="D42" s="505">
        <f t="shared" si="0"/>
        <v>-6.9422363540010593E-2</v>
      </c>
      <c r="E42" s="27">
        <f>整車出口!G42</f>
        <v>7159673</v>
      </c>
      <c r="F42" s="89">
        <f>VLOOKUP(A42,[6]進出口值表查詢結果!$A$2:$C$80,2,0)</f>
        <v>6999828</v>
      </c>
      <c r="G42" s="505">
        <f t="shared" si="1"/>
        <v>2.2835561102358515E-2</v>
      </c>
      <c r="H42" s="87">
        <f t="shared" si="5"/>
        <v>1359.0875094912681</v>
      </c>
      <c r="I42" s="88">
        <f t="shared" si="6"/>
        <v>1236.5002649708531</v>
      </c>
      <c r="J42" s="505">
        <f t="shared" si="4"/>
        <v>9.9140491913525475E-2</v>
      </c>
    </row>
    <row r="43" spans="1:10">
      <c r="A43" s="449" t="s">
        <v>220</v>
      </c>
      <c r="B43" s="27">
        <f>整車出口!E43</f>
        <v>15510</v>
      </c>
      <c r="C43" s="89">
        <f>VLOOKUP(A43,[6]進出口值表查詢結果!$A$2:$C$80,3,0)</f>
        <v>7985</v>
      </c>
      <c r="D43" s="505">
        <f t="shared" si="0"/>
        <v>0.94239198497182219</v>
      </c>
      <c r="E43" s="27">
        <f>整車出口!G43</f>
        <v>6048936</v>
      </c>
      <c r="F43" s="89">
        <f>VLOOKUP(A43,[6]進出口值表查詢結果!$A$2:$C$80,2,0)</f>
        <v>4187932</v>
      </c>
      <c r="G43" s="505">
        <f t="shared" si="1"/>
        <v>0.44437302229358072</v>
      </c>
      <c r="H43" s="87">
        <f t="shared" si="5"/>
        <v>390.00232108317215</v>
      </c>
      <c r="I43" s="88">
        <f t="shared" si="6"/>
        <v>524.47489041953668</v>
      </c>
      <c r="J43" s="505">
        <f t="shared" si="4"/>
        <v>-0.25639467549875944</v>
      </c>
    </row>
    <row r="44" spans="1:10">
      <c r="A44" s="449" t="s">
        <v>221</v>
      </c>
      <c r="B44" s="27">
        <f>整車出口!E44</f>
        <v>55</v>
      </c>
      <c r="C44" s="89">
        <f>VLOOKUP(A44,[6]進出口值表查詢結果!$A$2:$C$80,3,0)</f>
        <v>30</v>
      </c>
      <c r="D44" s="505">
        <f t="shared" si="0"/>
        <v>0.83333333333333337</v>
      </c>
      <c r="E44" s="27">
        <f>整車出口!G44</f>
        <v>66435</v>
      </c>
      <c r="F44" s="89">
        <f>VLOOKUP(A44,[6]進出口值表查詢結果!$A$2:$C$80,2,0)</f>
        <v>29270</v>
      </c>
      <c r="G44" s="505">
        <f t="shared" si="1"/>
        <v>1.2697300990775537</v>
      </c>
      <c r="H44" s="87">
        <f t="shared" si="5"/>
        <v>1207.909090909091</v>
      </c>
      <c r="I44" s="88">
        <f t="shared" si="6"/>
        <v>975.66666666666663</v>
      </c>
      <c r="J44" s="505">
        <f t="shared" si="4"/>
        <v>0.23803459949684766</v>
      </c>
    </row>
    <row r="45" spans="1:10">
      <c r="A45" s="30" t="s">
        <v>21</v>
      </c>
      <c r="B45" s="27">
        <f>整車出口!E45</f>
        <v>0</v>
      </c>
      <c r="C45" s="89">
        <v>0</v>
      </c>
      <c r="D45" s="505">
        <f t="shared" si="0"/>
        <v>0</v>
      </c>
      <c r="E45" s="27">
        <f>整車出口!G45</f>
        <v>0</v>
      </c>
      <c r="F45" s="89">
        <v>0</v>
      </c>
      <c r="G45" s="505">
        <f t="shared" si="1"/>
        <v>0</v>
      </c>
      <c r="H45" s="87">
        <f t="shared" si="5"/>
        <v>0</v>
      </c>
      <c r="I45" s="88">
        <f t="shared" si="6"/>
        <v>0</v>
      </c>
      <c r="J45" s="505">
        <f t="shared" si="4"/>
        <v>0</v>
      </c>
    </row>
    <row r="46" spans="1:10" ht="17.45" customHeight="1">
      <c r="A46" s="30"/>
      <c r="B46" s="27"/>
      <c r="C46" s="90"/>
      <c r="D46" s="505"/>
      <c r="E46" s="27"/>
      <c r="F46" s="90"/>
      <c r="G46" s="505"/>
      <c r="H46" s="87"/>
      <c r="I46" s="88"/>
      <c r="J46" s="505"/>
    </row>
    <row r="47" spans="1:10">
      <c r="A47" s="36" t="s">
        <v>22</v>
      </c>
      <c r="B47" s="33">
        <f>SUM(B48:B65)</f>
        <v>176631</v>
      </c>
      <c r="C47" s="91">
        <f>SUM(C48:C65)</f>
        <v>198644</v>
      </c>
      <c r="D47" s="505">
        <f t="shared" si="0"/>
        <v>-0.1108163347496023</v>
      </c>
      <c r="E47" s="33">
        <f>SUM(E48:E65)</f>
        <v>175749448</v>
      </c>
      <c r="F47" s="91">
        <f>SUM(F48:F65)</f>
        <v>173802742</v>
      </c>
      <c r="G47" s="505">
        <f t="shared" si="1"/>
        <v>1.1200663335909855E-2</v>
      </c>
      <c r="H47" s="87">
        <f t="shared" si="5"/>
        <v>995.00907541711251</v>
      </c>
      <c r="I47" s="88">
        <f t="shared" si="6"/>
        <v>874.94584281428081</v>
      </c>
      <c r="J47" s="505">
        <f t="shared" si="4"/>
        <v>0.13722361628309007</v>
      </c>
    </row>
    <row r="48" spans="1:10">
      <c r="A48" s="481" t="s">
        <v>162</v>
      </c>
      <c r="B48" s="27">
        <f>整車出口!E48</f>
        <v>38308</v>
      </c>
      <c r="C48" s="89">
        <f>VLOOKUP(A48,[6]進出口值表查詢結果!$A$2:$C$80,3,0)</f>
        <v>58090</v>
      </c>
      <c r="D48" s="505">
        <f t="shared" si="0"/>
        <v>-0.34054054054054056</v>
      </c>
      <c r="E48" s="27">
        <f>整車出口!G48</f>
        <v>31452758</v>
      </c>
      <c r="F48" s="89">
        <f>VLOOKUP(A48,[6]進出口值表查詢結果!$A$2:$C$80,2,0)</f>
        <v>35520328</v>
      </c>
      <c r="G48" s="505">
        <f t="shared" si="1"/>
        <v>-0.11451386372333049</v>
      </c>
      <c r="H48" s="87">
        <f t="shared" si="5"/>
        <v>821.04933695311684</v>
      </c>
      <c r="I48" s="88">
        <f t="shared" si="6"/>
        <v>611.47061456360825</v>
      </c>
      <c r="J48" s="505">
        <f t="shared" si="4"/>
        <v>0.34274537058347415</v>
      </c>
    </row>
    <row r="49" spans="1:10">
      <c r="A49" s="449" t="s">
        <v>222</v>
      </c>
      <c r="B49" s="27">
        <f>整車出口!E49</f>
        <v>22929</v>
      </c>
      <c r="C49" s="89">
        <f>VLOOKUP(A49,[6]進出口值表查詢結果!$A$2:$C$80,3,0)</f>
        <v>22509</v>
      </c>
      <c r="D49" s="505">
        <f t="shared" si="0"/>
        <v>1.8659202985472478E-2</v>
      </c>
      <c r="E49" s="27">
        <f>整車出口!G49</f>
        <v>18159724</v>
      </c>
      <c r="F49" s="89">
        <f>VLOOKUP(A49,[6]進出口值表查詢結果!$A$2:$C$80,2,0)</f>
        <v>17242391</v>
      </c>
      <c r="G49" s="505">
        <f t="shared" si="1"/>
        <v>5.3202192201765988E-2</v>
      </c>
      <c r="H49" s="87">
        <f t="shared" si="5"/>
        <v>791.99808103275325</v>
      </c>
      <c r="I49" s="88">
        <f t="shared" si="6"/>
        <v>766.02208005686612</v>
      </c>
      <c r="J49" s="505">
        <f t="shared" si="4"/>
        <v>3.3910250960336272E-2</v>
      </c>
    </row>
    <row r="50" spans="1:10">
      <c r="A50" s="291" t="s">
        <v>223</v>
      </c>
      <c r="B50" s="27">
        <f>整車出口!E50</f>
        <v>1152</v>
      </c>
      <c r="C50" s="89">
        <f>VLOOKUP(A50,[6]進出口值表查詢結果!$A$2:$C$80,3,0)</f>
        <v>941</v>
      </c>
      <c r="D50" s="505">
        <f t="shared" si="0"/>
        <v>0.22422954303931988</v>
      </c>
      <c r="E50" s="27">
        <f>整車出口!G50</f>
        <v>1395293</v>
      </c>
      <c r="F50" s="89">
        <f>VLOOKUP(A50,[6]進出口值表查詢結果!$A$2:$C$80,2,0)</f>
        <v>1447594</v>
      </c>
      <c r="G50" s="505">
        <f t="shared" si="1"/>
        <v>-3.6129605400409229E-2</v>
      </c>
      <c r="H50" s="87">
        <f t="shared" si="5"/>
        <v>1211.1918402777778</v>
      </c>
      <c r="I50" s="88">
        <f t="shared" si="6"/>
        <v>1538.3570669500532</v>
      </c>
      <c r="J50" s="505">
        <f t="shared" si="4"/>
        <v>-0.212671839133494</v>
      </c>
    </row>
    <row r="51" spans="1:10">
      <c r="A51" s="449" t="s">
        <v>224</v>
      </c>
      <c r="B51" s="27">
        <f>整車出口!E51</f>
        <v>2692</v>
      </c>
      <c r="C51" s="89">
        <f>VLOOKUP(A51,[6]進出口值表查詢結果!$A$2:$C$80,3,0)</f>
        <v>1657</v>
      </c>
      <c r="D51" s="505">
        <f t="shared" si="0"/>
        <v>0.62462281231140615</v>
      </c>
      <c r="E51" s="27">
        <f>整車出口!G51</f>
        <v>4061100</v>
      </c>
      <c r="F51" s="89">
        <f>VLOOKUP(A51,[6]進出口值表查詢結果!$A$2:$C$80,2,0)</f>
        <v>2365194</v>
      </c>
      <c r="G51" s="505">
        <f t="shared" si="1"/>
        <v>0.71702617206030461</v>
      </c>
      <c r="H51" s="87">
        <f t="shared" si="5"/>
        <v>1508.5809806835066</v>
      </c>
      <c r="I51" s="88">
        <f t="shared" si="6"/>
        <v>1427.3952926976463</v>
      </c>
      <c r="J51" s="505">
        <f t="shared" si="4"/>
        <v>5.6876807988084949E-2</v>
      </c>
    </row>
    <row r="52" spans="1:10">
      <c r="A52" s="450" t="s">
        <v>23</v>
      </c>
      <c r="B52" s="27">
        <f>整車出口!E52</f>
        <v>425</v>
      </c>
      <c r="C52" s="89">
        <f>VLOOKUP(A52,[6]進出口值表查詢結果!$A$2:$C$80,3,0)</f>
        <v>1453</v>
      </c>
      <c r="D52" s="505">
        <f t="shared" si="0"/>
        <v>-0.70750172057811422</v>
      </c>
      <c r="E52" s="27">
        <f>整車出口!G52</f>
        <v>641676</v>
      </c>
      <c r="F52" s="89">
        <f>VLOOKUP(A52,[6]進出口值表查詢結果!$A$2:$C$80,2,0)</f>
        <v>1165920</v>
      </c>
      <c r="G52" s="505">
        <f t="shared" si="1"/>
        <v>-0.44963976945244954</v>
      </c>
      <c r="H52" s="87">
        <f t="shared" si="5"/>
        <v>1509.8258823529411</v>
      </c>
      <c r="I52" s="88">
        <f t="shared" si="6"/>
        <v>802.4225739848589</v>
      </c>
      <c r="J52" s="505">
        <f t="shared" si="4"/>
        <v>0.88158450584844883</v>
      </c>
    </row>
    <row r="53" spans="1:10">
      <c r="A53" s="449" t="s">
        <v>225</v>
      </c>
      <c r="B53" s="27">
        <f>整車出口!E53</f>
        <v>1877</v>
      </c>
      <c r="C53" s="89">
        <f>VLOOKUP(A53,[6]進出口值表查詢結果!$A$2:$C$80,3,0)</f>
        <v>5291</v>
      </c>
      <c r="D53" s="505">
        <f t="shared" si="0"/>
        <v>-0.64524664524664521</v>
      </c>
      <c r="E53" s="27">
        <f>整車出口!G53</f>
        <v>2967587</v>
      </c>
      <c r="F53" s="89">
        <f>VLOOKUP(A53,[6]進出口值表查詢結果!$A$2:$C$80,2,0)</f>
        <v>5705619</v>
      </c>
      <c r="G53" s="505">
        <f t="shared" si="1"/>
        <v>-0.47988342719694393</v>
      </c>
      <c r="H53" s="87">
        <f t="shared" si="5"/>
        <v>1581.0266382525306</v>
      </c>
      <c r="I53" s="88">
        <f t="shared" si="6"/>
        <v>1078.3630693630694</v>
      </c>
      <c r="J53" s="505">
        <f t="shared" si="4"/>
        <v>0.46613574144963749</v>
      </c>
    </row>
    <row r="54" spans="1:10">
      <c r="A54" s="450" t="s">
        <v>226</v>
      </c>
      <c r="B54" s="27">
        <f>整車出口!E54</f>
        <v>20739</v>
      </c>
      <c r="C54" s="89">
        <f>VLOOKUP(A54,[6]進出口值表查詢結果!$A$2:$C$80,3,0)</f>
        <v>46908</v>
      </c>
      <c r="D54" s="505">
        <f t="shared" si="0"/>
        <v>-0.55787925300588381</v>
      </c>
      <c r="E54" s="27">
        <f>整車出口!G54</f>
        <v>30309693</v>
      </c>
      <c r="F54" s="89">
        <f>VLOOKUP(A54,[6]進出口值表查詢結果!$A$2:$C$80,2,0)</f>
        <v>37354611</v>
      </c>
      <c r="G54" s="505">
        <f t="shared" si="1"/>
        <v>-0.18859567296792357</v>
      </c>
      <c r="H54" s="87">
        <f t="shared" si="5"/>
        <v>1461.4828583827571</v>
      </c>
      <c r="I54" s="88">
        <f t="shared" si="6"/>
        <v>796.33774622665646</v>
      </c>
      <c r="J54" s="505">
        <f t="shared" si="4"/>
        <v>0.83525503507501031</v>
      </c>
    </row>
    <row r="55" spans="1:10">
      <c r="A55" s="450" t="s">
        <v>24</v>
      </c>
      <c r="B55" s="27">
        <f>整車出口!E55</f>
        <v>2215</v>
      </c>
      <c r="C55" s="89">
        <f>VLOOKUP(A55,[6]進出口值表查詢結果!$A$2:$C$80,3,0)</f>
        <v>2813</v>
      </c>
      <c r="D55" s="505">
        <f t="shared" si="0"/>
        <v>-0.21258442943476716</v>
      </c>
      <c r="E55" s="27">
        <f>整車出口!G55</f>
        <v>2513511</v>
      </c>
      <c r="F55" s="89">
        <f>VLOOKUP(A55,[6]進出口值表查詢結果!$A$2:$C$80,2,0)</f>
        <v>3256996</v>
      </c>
      <c r="G55" s="505">
        <f t="shared" si="1"/>
        <v>-0.22827323091585006</v>
      </c>
      <c r="H55" s="87">
        <f t="shared" si="5"/>
        <v>1134.7679458239277</v>
      </c>
      <c r="I55" s="88">
        <f t="shared" si="6"/>
        <v>1157.8371845005333</v>
      </c>
      <c r="J55" s="505">
        <f t="shared" si="4"/>
        <v>-1.9924423731957831E-2</v>
      </c>
    </row>
    <row r="56" spans="1:10">
      <c r="A56" s="450" t="s">
        <v>227</v>
      </c>
      <c r="B56" s="27">
        <f>整車出口!E56</f>
        <v>59541</v>
      </c>
      <c r="C56" s="89">
        <f>VLOOKUP(A56,[6]進出口值表查詢結果!$A$2:$C$80,3,0)</f>
        <v>11352</v>
      </c>
      <c r="D56" s="505">
        <f t="shared" si="0"/>
        <v>4.2449788583509518</v>
      </c>
      <c r="E56" s="27">
        <f>整車出口!G56</f>
        <v>48565855</v>
      </c>
      <c r="F56" s="89">
        <f>VLOOKUP(A56,[6]進出口值表查詢結果!$A$2:$C$80,2,0)</f>
        <v>14434673</v>
      </c>
      <c r="G56" s="505">
        <f t="shared" si="1"/>
        <v>2.3645275511263746</v>
      </c>
      <c r="H56" s="87">
        <f t="shared" si="5"/>
        <v>815.67079827345867</v>
      </c>
      <c r="I56" s="88">
        <f t="shared" si="6"/>
        <v>1271.5532945736434</v>
      </c>
      <c r="J56" s="505">
        <f t="shared" si="4"/>
        <v>-0.35852409666638774</v>
      </c>
    </row>
    <row r="57" spans="1:10">
      <c r="A57" s="452" t="s">
        <v>455</v>
      </c>
      <c r="B57" s="27">
        <f>整車出口!E57</f>
        <v>14728</v>
      </c>
      <c r="C57" s="89">
        <f>VLOOKUP(A57,[6]進出口值表查詢結果!$A$2:$C$80,3,0)</f>
        <v>18770</v>
      </c>
      <c r="D57" s="505">
        <f t="shared" si="0"/>
        <v>-0.21534363345764518</v>
      </c>
      <c r="E57" s="27">
        <f>整車出口!G57</f>
        <v>18151863</v>
      </c>
      <c r="F57" s="89">
        <f>VLOOKUP(A57,[6]進出口值表查詢結果!$A$2:$C$80,2,0)</f>
        <v>22374895</v>
      </c>
      <c r="G57" s="505">
        <f t="shared" si="1"/>
        <v>-0.18873974604126634</v>
      </c>
      <c r="H57" s="87">
        <f t="shared" si="5"/>
        <v>1232.4730445410103</v>
      </c>
      <c r="I57" s="88">
        <f t="shared" si="6"/>
        <v>1192.0562067128396</v>
      </c>
      <c r="J57" s="505">
        <f t="shared" si="4"/>
        <v>3.3905144405583253E-2</v>
      </c>
    </row>
    <row r="58" spans="1:10">
      <c r="A58" s="450" t="s">
        <v>25</v>
      </c>
      <c r="B58" s="27">
        <f>整車出口!E58</f>
        <v>1347</v>
      </c>
      <c r="C58" s="89">
        <f>VLOOKUP(A58,[6]進出口值表查詢結果!$A$2:$C$80,3,0)</f>
        <v>2815</v>
      </c>
      <c r="D58" s="505">
        <f t="shared" si="0"/>
        <v>-0.52149200710479571</v>
      </c>
      <c r="E58" s="27">
        <f>整車出口!G58</f>
        <v>623809</v>
      </c>
      <c r="F58" s="89">
        <f>VLOOKUP(A58,[6]進出口值表查詢結果!$A$2:$C$80,2,0)</f>
        <v>827297</v>
      </c>
      <c r="G58" s="505">
        <f t="shared" si="1"/>
        <v>-0.2459672886520802</v>
      </c>
      <c r="H58" s="87">
        <f t="shared" si="5"/>
        <v>463.10987379361546</v>
      </c>
      <c r="I58" s="88">
        <f t="shared" si="6"/>
        <v>293.88880994671405</v>
      </c>
      <c r="J58" s="505">
        <f t="shared" si="4"/>
        <v>0.57579961577163641</v>
      </c>
    </row>
    <row r="59" spans="1:10">
      <c r="A59" s="450" t="s">
        <v>26</v>
      </c>
      <c r="B59" s="27">
        <f>整車出口!E59</f>
        <v>119</v>
      </c>
      <c r="C59" s="89">
        <f>VLOOKUP(A59,[6]進出口值表查詢結果!$A$2:$C$80,3,0)</f>
        <v>212</v>
      </c>
      <c r="D59" s="505">
        <f t="shared" si="0"/>
        <v>-0.43867924528301888</v>
      </c>
      <c r="E59" s="27">
        <f>整車出口!G59</f>
        <v>44021</v>
      </c>
      <c r="F59" s="89">
        <f>VLOOKUP(A59,[6]進出口值表查詢結果!$A$2:$C$80,2,0)</f>
        <v>36817</v>
      </c>
      <c r="G59" s="505">
        <f t="shared" si="1"/>
        <v>0.19567047831164952</v>
      </c>
      <c r="H59" s="87">
        <f t="shared" si="5"/>
        <v>369.92436974789916</v>
      </c>
      <c r="I59" s="88">
        <f t="shared" si="6"/>
        <v>173.66509433962264</v>
      </c>
      <c r="J59" s="505">
        <f t="shared" si="4"/>
        <v>1.130102028588821</v>
      </c>
    </row>
    <row r="60" spans="1:10">
      <c r="A60" s="450" t="s">
        <v>27</v>
      </c>
      <c r="B60" s="27">
        <f>整車出口!E60</f>
        <v>3906</v>
      </c>
      <c r="C60" s="89">
        <f>VLOOKUP(A60,[6]進出口值表查詢結果!$A$2:$C$80,3,0)</f>
        <v>11743</v>
      </c>
      <c r="D60" s="505">
        <f t="shared" si="0"/>
        <v>-0.66737630929064118</v>
      </c>
      <c r="E60" s="27">
        <f>整車出口!G60</f>
        <v>6048024</v>
      </c>
      <c r="F60" s="89">
        <f>VLOOKUP(A60,[6]進出口值表查詢結果!$A$2:$C$80,2,0)</f>
        <v>12373855</v>
      </c>
      <c r="G60" s="505">
        <f t="shared" si="1"/>
        <v>-0.51122556390065987</v>
      </c>
      <c r="H60" s="87">
        <f t="shared" si="5"/>
        <v>1548.3932411674348</v>
      </c>
      <c r="I60" s="88">
        <f t="shared" si="6"/>
        <v>1053.7217917056971</v>
      </c>
      <c r="J60" s="505">
        <f t="shared" si="4"/>
        <v>0.4694516649038788</v>
      </c>
    </row>
    <row r="61" spans="1:10">
      <c r="A61" s="451" t="s">
        <v>228</v>
      </c>
      <c r="B61" s="27">
        <f>整車出口!E61</f>
        <v>2168</v>
      </c>
      <c r="C61" s="89">
        <f>VLOOKUP(A61,[6]進出口值表查詢結果!$A$2:$C$80,3,0)</f>
        <v>3239</v>
      </c>
      <c r="D61" s="505">
        <f t="shared" si="0"/>
        <v>-0.33065761037357211</v>
      </c>
      <c r="E61" s="27">
        <f>整車出口!G61</f>
        <v>4208207</v>
      </c>
      <c r="F61" s="89">
        <f>VLOOKUP(A61,[6]進出口值表查詢結果!$A$2:$C$80,2,0)</f>
        <v>4914543</v>
      </c>
      <c r="G61" s="505">
        <f t="shared" si="1"/>
        <v>-0.14372363818975639</v>
      </c>
      <c r="H61" s="87">
        <f t="shared" si="5"/>
        <v>1941.0548892988929</v>
      </c>
      <c r="I61" s="88">
        <f t="shared" si="6"/>
        <v>1517.3025625192961</v>
      </c>
      <c r="J61" s="505">
        <f t="shared" si="4"/>
        <v>0.27928004423587588</v>
      </c>
    </row>
    <row r="62" spans="1:10">
      <c r="A62" s="450" t="s">
        <v>28</v>
      </c>
      <c r="B62" s="27">
        <f>整車出口!E62</f>
        <v>2224</v>
      </c>
      <c r="C62" s="89">
        <f>VLOOKUP(A62,[6]進出口值表查詢結果!$A$2:$C$80,3,0)</f>
        <v>4584</v>
      </c>
      <c r="D62" s="505">
        <f t="shared" si="0"/>
        <v>-0.51483420593368234</v>
      </c>
      <c r="E62" s="27">
        <f>整車出口!G62</f>
        <v>3658284</v>
      </c>
      <c r="F62" s="89">
        <f>VLOOKUP(A62,[6]進出口值表查詢結果!$A$2:$C$80,2,0)</f>
        <v>6127813</v>
      </c>
      <c r="G62" s="505">
        <f t="shared" si="1"/>
        <v>-0.40300332271888845</v>
      </c>
      <c r="H62" s="87">
        <f t="shared" si="5"/>
        <v>1644.9118705035971</v>
      </c>
      <c r="I62" s="88">
        <f t="shared" si="6"/>
        <v>1336.7829406631763</v>
      </c>
      <c r="J62" s="505">
        <f t="shared" si="4"/>
        <v>0.23050034561898169</v>
      </c>
    </row>
    <row r="63" spans="1:10">
      <c r="A63" s="294" t="s">
        <v>229</v>
      </c>
      <c r="B63" s="27">
        <f>整車出口!E63</f>
        <v>58</v>
      </c>
      <c r="C63" s="89">
        <f>VLOOKUP(A63,[6]進出口值表查詢結果!$A$2:$C$80,3,0)</f>
        <v>1355</v>
      </c>
      <c r="D63" s="505">
        <f t="shared" si="0"/>
        <v>-0.95719557195571958</v>
      </c>
      <c r="E63" s="27">
        <f>整車出口!G63</f>
        <v>183137</v>
      </c>
      <c r="F63" s="89">
        <f>VLOOKUP(A63,[6]進出口值表查詢結果!$A$2:$C$80,2,0)</f>
        <v>1549192</v>
      </c>
      <c r="G63" s="505">
        <f t="shared" si="1"/>
        <v>-0.88178547268511587</v>
      </c>
      <c r="H63" s="87">
        <f t="shared" si="5"/>
        <v>3157.5344827586205</v>
      </c>
      <c r="I63" s="88">
        <f t="shared" si="6"/>
        <v>1143.3151291512916</v>
      </c>
      <c r="J63" s="505">
        <f t="shared" si="4"/>
        <v>1.7617359398563448</v>
      </c>
    </row>
    <row r="64" spans="1:10">
      <c r="A64" s="450" t="s">
        <v>29</v>
      </c>
      <c r="B64" s="27">
        <f>整車出口!E64</f>
        <v>909</v>
      </c>
      <c r="C64" s="89">
        <f>VLOOKUP(A64,[6]進出口值表查詢結果!$A$2:$C$80,3,0)</f>
        <v>2709</v>
      </c>
      <c r="D64" s="505">
        <f t="shared" si="0"/>
        <v>-0.66445182724252494</v>
      </c>
      <c r="E64" s="27">
        <f>整車出口!G64</f>
        <v>1768295</v>
      </c>
      <c r="F64" s="89">
        <f>VLOOKUP(A64,[6]進出口值表查詢結果!$A$2:$C$80,2,0)</f>
        <v>4046558</v>
      </c>
      <c r="G64" s="505">
        <f t="shared" si="1"/>
        <v>-0.56301256524680976</v>
      </c>
      <c r="H64" s="87">
        <f t="shared" si="5"/>
        <v>1945.3190319031903</v>
      </c>
      <c r="I64" s="88">
        <f t="shared" si="6"/>
        <v>1493.7460317460318</v>
      </c>
      <c r="J64" s="505">
        <f t="shared" si="4"/>
        <v>0.30230908772980453</v>
      </c>
    </row>
    <row r="65" spans="1:10">
      <c r="A65" s="294" t="s">
        <v>230</v>
      </c>
      <c r="B65" s="27">
        <f>整車出口!E65</f>
        <v>1294</v>
      </c>
      <c r="C65" s="89">
        <f>VLOOKUP(A65,[6]進出口值表查詢結果!$A$2:$C$80,3,0)</f>
        <v>2203</v>
      </c>
      <c r="D65" s="505">
        <f t="shared" si="0"/>
        <v>-0.4126191556967771</v>
      </c>
      <c r="E65" s="27">
        <f>整車出口!G65</f>
        <v>996611</v>
      </c>
      <c r="F65" s="89">
        <f>VLOOKUP(A65,[6]進出口值表查詢結果!$A$2:$C$80,2,0)</f>
        <v>3058446</v>
      </c>
      <c r="G65" s="505">
        <f t="shared" si="1"/>
        <v>-0.67414464731435508</v>
      </c>
      <c r="H65" s="87">
        <f t="shared" si="5"/>
        <v>770.17851622874809</v>
      </c>
      <c r="I65" s="88">
        <f t="shared" si="6"/>
        <v>1388.3095778483885</v>
      </c>
      <c r="J65" s="505">
        <f t="shared" si="4"/>
        <v>-0.44524007576006502</v>
      </c>
    </row>
    <row r="66" spans="1:10">
      <c r="A66" s="30" t="s">
        <v>30</v>
      </c>
      <c r="B66" s="27">
        <f>B67-B47-B41-B12-B7</f>
        <v>14311</v>
      </c>
      <c r="C66" s="90">
        <f>C67-C47-C41-C12-C7</f>
        <v>19970</v>
      </c>
      <c r="D66" s="505">
        <f t="shared" si="0"/>
        <v>-0.28337506259389084</v>
      </c>
      <c r="E66" s="27">
        <f>E67-E47-E41-E12-E7</f>
        <v>18095307</v>
      </c>
      <c r="F66" s="90">
        <f>F67-F47-F41-F12-F7</f>
        <v>23124221</v>
      </c>
      <c r="G66" s="505">
        <f t="shared" si="1"/>
        <v>-0.2174738772821796</v>
      </c>
      <c r="H66" s="87">
        <f t="shared" si="5"/>
        <v>1264.433442806233</v>
      </c>
      <c r="I66" s="88">
        <f t="shared" si="6"/>
        <v>1157.9479719579369</v>
      </c>
      <c r="J66" s="505">
        <f t="shared" si="4"/>
        <v>9.1960496867785138E-2</v>
      </c>
    </row>
    <row r="67" spans="1:10">
      <c r="A67" s="32" t="s">
        <v>400</v>
      </c>
      <c r="B67" s="33">
        <f>整車出口!E67</f>
        <v>676162</v>
      </c>
      <c r="C67" s="89">
        <f>VLOOKUP(A67,[6]進出口值表查詢結果!$A$2:$C$80,3,0)</f>
        <v>834702</v>
      </c>
      <c r="D67" s="505">
        <f t="shared" si="0"/>
        <v>-0.1899360490330681</v>
      </c>
      <c r="E67" s="33">
        <f>整車出口!G67</f>
        <v>634728880</v>
      </c>
      <c r="F67" s="89">
        <f>VLOOKUP(A67,[6]進出口值表查詢結果!$A$2:$C$80,2,0)</f>
        <v>604877519</v>
      </c>
      <c r="G67" s="505">
        <f t="shared" si="1"/>
        <v>4.9351083586890589E-2</v>
      </c>
      <c r="H67" s="87">
        <f t="shared" si="5"/>
        <v>938.72308707084983</v>
      </c>
      <c r="I67" s="88">
        <f t="shared" si="6"/>
        <v>724.66283655723839</v>
      </c>
      <c r="J67" s="505">
        <f t="shared" si="4"/>
        <v>0.29539289130732677</v>
      </c>
    </row>
    <row r="68" spans="1:10">
      <c r="A68" s="96"/>
      <c r="B68" s="97"/>
      <c r="C68" s="98"/>
      <c r="D68" s="99"/>
      <c r="E68" s="97"/>
      <c r="F68" s="98"/>
      <c r="G68" s="100"/>
      <c r="H68" s="94"/>
      <c r="I68" s="94"/>
      <c r="J68" s="95"/>
    </row>
    <row r="69" spans="1:10">
      <c r="A69" s="101" t="s">
        <v>153</v>
      </c>
      <c r="B69" s="102"/>
      <c r="C69" s="103"/>
      <c r="D69" s="104"/>
      <c r="E69" s="102"/>
      <c r="F69" s="103"/>
      <c r="G69" s="105"/>
      <c r="H69" s="94"/>
      <c r="I69" s="94"/>
      <c r="J69" s="95"/>
    </row>
    <row r="70" spans="1:10">
      <c r="A70" s="70" t="s">
        <v>489</v>
      </c>
      <c r="B70" s="8" t="s">
        <v>420</v>
      </c>
      <c r="C70" s="71" t="s">
        <v>421</v>
      </c>
      <c r="D70" s="72" t="s">
        <v>159</v>
      </c>
      <c r="E70" s="8" t="s">
        <v>420</v>
      </c>
      <c r="F70" s="71" t="s">
        <v>514</v>
      </c>
      <c r="G70" s="74" t="s">
        <v>160</v>
      </c>
      <c r="H70" s="8" t="s">
        <v>420</v>
      </c>
      <c r="I70" s="71" t="s">
        <v>421</v>
      </c>
      <c r="J70" s="75" t="s">
        <v>37</v>
      </c>
    </row>
    <row r="71" spans="1:10">
      <c r="A71" s="46"/>
      <c r="B71" s="106" t="s">
        <v>33</v>
      </c>
      <c r="C71" s="107" t="s">
        <v>33</v>
      </c>
      <c r="D71" s="445" t="s">
        <v>2</v>
      </c>
      <c r="E71" s="48" t="s">
        <v>34</v>
      </c>
      <c r="F71" s="107" t="s">
        <v>34</v>
      </c>
      <c r="G71" s="446" t="s">
        <v>2</v>
      </c>
      <c r="H71" s="78" t="s">
        <v>35</v>
      </c>
      <c r="I71" s="79" t="s">
        <v>110</v>
      </c>
      <c r="J71" s="445" t="s">
        <v>2</v>
      </c>
    </row>
    <row r="72" spans="1:10">
      <c r="A72" s="32" t="s">
        <v>31</v>
      </c>
      <c r="B72" s="33">
        <f>整車出口!E72</f>
        <v>17090</v>
      </c>
      <c r="C72" s="89">
        <v>20017</v>
      </c>
      <c r="D72" s="86">
        <f>(B72-C72)/C72</f>
        <v>-0.14622570814807415</v>
      </c>
      <c r="E72" s="33">
        <f>整車出口!G72</f>
        <v>6934806</v>
      </c>
      <c r="F72" s="89">
        <v>7390003</v>
      </c>
      <c r="G72" s="93">
        <f>(E72-F72)/F72</f>
        <v>-6.159632140880051E-2</v>
      </c>
      <c r="H72" s="87">
        <f t="shared" ref="H72" si="7">IF(B72,E72/B72,0)</f>
        <v>405.78150965476885</v>
      </c>
      <c r="I72" s="88">
        <f t="shared" ref="I72" si="8">IF(C72,F72/C72,0)</f>
        <v>369.18634160963182</v>
      </c>
      <c r="J72" s="92">
        <f>(H72-I72)/I72</f>
        <v>9.9123840512582731E-2</v>
      </c>
    </row>
    <row r="73" spans="1:10" ht="9" customHeight="1">
      <c r="A73" s="108"/>
      <c r="B73" s="109"/>
      <c r="C73" s="110"/>
      <c r="D73" s="109"/>
      <c r="E73" s="109"/>
      <c r="F73" s="109"/>
      <c r="G73" s="109"/>
      <c r="H73" s="109"/>
      <c r="I73" s="109"/>
      <c r="J73" s="109"/>
    </row>
    <row r="74" spans="1:10" s="109" customFormat="1">
      <c r="A74" s="54" t="s">
        <v>32</v>
      </c>
      <c r="B74" s="13"/>
      <c r="C74" s="59"/>
      <c r="D74" s="60"/>
      <c r="E74" s="13"/>
      <c r="F74" s="59"/>
      <c r="G74" s="60"/>
      <c r="H74" s="5"/>
      <c r="I74" s="5"/>
      <c r="J74" s="5"/>
    </row>
  </sheetData>
  <mergeCells count="1">
    <mergeCell ref="A1:J1"/>
  </mergeCells>
  <phoneticPr fontId="3" type="noConversion"/>
  <conditionalFormatting sqref="D2:D4 J6:J70 D72:D1048576">
    <cfRule type="cellIs" dxfId="73" priority="9" operator="greaterThanOrEqual">
      <formula>0</formula>
    </cfRule>
    <cfRule type="cellIs" dxfId="72" priority="10" operator="lessThan">
      <formula>0</formula>
    </cfRule>
  </conditionalFormatting>
  <conditionalFormatting sqref="D6:D70">
    <cfRule type="cellIs" dxfId="71" priority="3" operator="greaterThanOrEqual">
      <formula>0</formula>
    </cfRule>
    <cfRule type="cellIs" dxfId="70" priority="4" operator="lessThan">
      <formula>0</formula>
    </cfRule>
  </conditionalFormatting>
  <conditionalFormatting sqref="G2:G4 G72:G1048576">
    <cfRule type="cellIs" dxfId="69" priority="7" operator="greaterThanOrEqual">
      <formula>0</formula>
    </cfRule>
    <cfRule type="cellIs" dxfId="68" priority="8" operator="lessThan">
      <formula>0</formula>
    </cfRule>
  </conditionalFormatting>
  <conditionalFormatting sqref="G6:G70">
    <cfRule type="cellIs" dxfId="67" priority="1" operator="greaterThanOrEqual">
      <formula>0</formula>
    </cfRule>
    <cfRule type="cellIs" dxfId="66" priority="2" operator="lessThan">
      <formula>0</formula>
    </cfRule>
  </conditionalFormatting>
  <conditionalFormatting sqref="J2:J3 J72:J1048576">
    <cfRule type="cellIs" dxfId="65" priority="5" operator="greaterThanOrEqual">
      <formula>0</formula>
    </cfRule>
    <cfRule type="cellIs" dxfId="64" priority="6" operator="lessThan">
      <formula>0</formula>
    </cfRule>
  </conditionalFormatting>
  <pageMargins left="0.51181102362204722" right="0.31496062992125984" top="0.15748031496062992" bottom="0.15748031496062992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2"/>
  <sheetViews>
    <sheetView zoomScaleNormal="100" workbookViewId="0">
      <selection activeCell="A2" sqref="A2"/>
    </sheetView>
  </sheetViews>
  <sheetFormatPr defaultRowHeight="16.5"/>
  <cols>
    <col min="1" max="1" width="6.5" style="96" customWidth="1"/>
    <col min="2" max="2" width="16.125" style="5" customWidth="1"/>
    <col min="3" max="3" width="13.875" style="5" customWidth="1"/>
    <col min="4" max="4" width="13.5" style="5" customWidth="1"/>
    <col min="5" max="6" width="14.375" style="5" customWidth="1"/>
    <col min="7" max="7" width="14.125" style="5" customWidth="1"/>
    <col min="8" max="9" width="13.5" style="5" customWidth="1"/>
    <col min="10" max="10" width="9.375" style="5" customWidth="1"/>
    <col min="11" max="11" width="8.875" style="5"/>
    <col min="12" max="12" width="11.875" style="5" customWidth="1"/>
    <col min="13" max="254" width="8.875" style="5"/>
    <col min="255" max="255" width="6.5" style="5" customWidth="1"/>
    <col min="256" max="256" width="16.75" style="5" customWidth="1"/>
    <col min="257" max="257" width="13.875" style="5" customWidth="1"/>
    <col min="258" max="258" width="13.5" style="5" customWidth="1"/>
    <col min="259" max="260" width="14.375" style="5" customWidth="1"/>
    <col min="261" max="261" width="14.125" style="5" customWidth="1"/>
    <col min="262" max="263" width="13.5" style="5" customWidth="1"/>
    <col min="264" max="264" width="13.875" style="5" customWidth="1"/>
    <col min="265" max="510" width="8.875" style="5"/>
    <col min="511" max="511" width="6.5" style="5" customWidth="1"/>
    <col min="512" max="512" width="16.75" style="5" customWidth="1"/>
    <col min="513" max="513" width="13.875" style="5" customWidth="1"/>
    <col min="514" max="514" width="13.5" style="5" customWidth="1"/>
    <col min="515" max="516" width="14.375" style="5" customWidth="1"/>
    <col min="517" max="517" width="14.125" style="5" customWidth="1"/>
    <col min="518" max="519" width="13.5" style="5" customWidth="1"/>
    <col min="520" max="520" width="13.875" style="5" customWidth="1"/>
    <col min="521" max="766" width="8.875" style="5"/>
    <col min="767" max="767" width="6.5" style="5" customWidth="1"/>
    <col min="768" max="768" width="16.75" style="5" customWidth="1"/>
    <col min="769" max="769" width="13.875" style="5" customWidth="1"/>
    <col min="770" max="770" width="13.5" style="5" customWidth="1"/>
    <col min="771" max="772" width="14.375" style="5" customWidth="1"/>
    <col min="773" max="773" width="14.125" style="5" customWidth="1"/>
    <col min="774" max="775" width="13.5" style="5" customWidth="1"/>
    <col min="776" max="776" width="13.875" style="5" customWidth="1"/>
    <col min="777" max="1022" width="8.875" style="5"/>
    <col min="1023" max="1023" width="6.5" style="5" customWidth="1"/>
    <col min="1024" max="1024" width="16.75" style="5" customWidth="1"/>
    <col min="1025" max="1025" width="13.875" style="5" customWidth="1"/>
    <col min="1026" max="1026" width="13.5" style="5" customWidth="1"/>
    <col min="1027" max="1028" width="14.375" style="5" customWidth="1"/>
    <col min="1029" max="1029" width="14.125" style="5" customWidth="1"/>
    <col min="1030" max="1031" width="13.5" style="5" customWidth="1"/>
    <col min="1032" max="1032" width="13.875" style="5" customWidth="1"/>
    <col min="1033" max="1278" width="8.875" style="5"/>
    <col min="1279" max="1279" width="6.5" style="5" customWidth="1"/>
    <col min="1280" max="1280" width="16.75" style="5" customWidth="1"/>
    <col min="1281" max="1281" width="13.875" style="5" customWidth="1"/>
    <col min="1282" max="1282" width="13.5" style="5" customWidth="1"/>
    <col min="1283" max="1284" width="14.375" style="5" customWidth="1"/>
    <col min="1285" max="1285" width="14.125" style="5" customWidth="1"/>
    <col min="1286" max="1287" width="13.5" style="5" customWidth="1"/>
    <col min="1288" max="1288" width="13.875" style="5" customWidth="1"/>
    <col min="1289" max="1534" width="8.875" style="5"/>
    <col min="1535" max="1535" width="6.5" style="5" customWidth="1"/>
    <col min="1536" max="1536" width="16.75" style="5" customWidth="1"/>
    <col min="1537" max="1537" width="13.875" style="5" customWidth="1"/>
    <col min="1538" max="1538" width="13.5" style="5" customWidth="1"/>
    <col min="1539" max="1540" width="14.375" style="5" customWidth="1"/>
    <col min="1541" max="1541" width="14.125" style="5" customWidth="1"/>
    <col min="1542" max="1543" width="13.5" style="5" customWidth="1"/>
    <col min="1544" max="1544" width="13.875" style="5" customWidth="1"/>
    <col min="1545" max="1790" width="8.875" style="5"/>
    <col min="1791" max="1791" width="6.5" style="5" customWidth="1"/>
    <col min="1792" max="1792" width="16.75" style="5" customWidth="1"/>
    <col min="1793" max="1793" width="13.875" style="5" customWidth="1"/>
    <col min="1794" max="1794" width="13.5" style="5" customWidth="1"/>
    <col min="1795" max="1796" width="14.375" style="5" customWidth="1"/>
    <col min="1797" max="1797" width="14.125" style="5" customWidth="1"/>
    <col min="1798" max="1799" width="13.5" style="5" customWidth="1"/>
    <col min="1800" max="1800" width="13.875" style="5" customWidth="1"/>
    <col min="1801" max="2046" width="8.875" style="5"/>
    <col min="2047" max="2047" width="6.5" style="5" customWidth="1"/>
    <col min="2048" max="2048" width="16.75" style="5" customWidth="1"/>
    <col min="2049" max="2049" width="13.875" style="5" customWidth="1"/>
    <col min="2050" max="2050" width="13.5" style="5" customWidth="1"/>
    <col min="2051" max="2052" width="14.375" style="5" customWidth="1"/>
    <col min="2053" max="2053" width="14.125" style="5" customWidth="1"/>
    <col min="2054" max="2055" width="13.5" style="5" customWidth="1"/>
    <col min="2056" max="2056" width="13.875" style="5" customWidth="1"/>
    <col min="2057" max="2302" width="8.875" style="5"/>
    <col min="2303" max="2303" width="6.5" style="5" customWidth="1"/>
    <col min="2304" max="2304" width="16.75" style="5" customWidth="1"/>
    <col min="2305" max="2305" width="13.875" style="5" customWidth="1"/>
    <col min="2306" max="2306" width="13.5" style="5" customWidth="1"/>
    <col min="2307" max="2308" width="14.375" style="5" customWidth="1"/>
    <col min="2309" max="2309" width="14.125" style="5" customWidth="1"/>
    <col min="2310" max="2311" width="13.5" style="5" customWidth="1"/>
    <col min="2312" max="2312" width="13.875" style="5" customWidth="1"/>
    <col min="2313" max="2558" width="8.875" style="5"/>
    <col min="2559" max="2559" width="6.5" style="5" customWidth="1"/>
    <col min="2560" max="2560" width="16.75" style="5" customWidth="1"/>
    <col min="2561" max="2561" width="13.875" style="5" customWidth="1"/>
    <col min="2562" max="2562" width="13.5" style="5" customWidth="1"/>
    <col min="2563" max="2564" width="14.375" style="5" customWidth="1"/>
    <col min="2565" max="2565" width="14.125" style="5" customWidth="1"/>
    <col min="2566" max="2567" width="13.5" style="5" customWidth="1"/>
    <col min="2568" max="2568" width="13.875" style="5" customWidth="1"/>
    <col min="2569" max="2814" width="8.875" style="5"/>
    <col min="2815" max="2815" width="6.5" style="5" customWidth="1"/>
    <col min="2816" max="2816" width="16.75" style="5" customWidth="1"/>
    <col min="2817" max="2817" width="13.875" style="5" customWidth="1"/>
    <col min="2818" max="2818" width="13.5" style="5" customWidth="1"/>
    <col min="2819" max="2820" width="14.375" style="5" customWidth="1"/>
    <col min="2821" max="2821" width="14.125" style="5" customWidth="1"/>
    <col min="2822" max="2823" width="13.5" style="5" customWidth="1"/>
    <col min="2824" max="2824" width="13.875" style="5" customWidth="1"/>
    <col min="2825" max="3070" width="8.875" style="5"/>
    <col min="3071" max="3071" width="6.5" style="5" customWidth="1"/>
    <col min="3072" max="3072" width="16.75" style="5" customWidth="1"/>
    <col min="3073" max="3073" width="13.875" style="5" customWidth="1"/>
    <col min="3074" max="3074" width="13.5" style="5" customWidth="1"/>
    <col min="3075" max="3076" width="14.375" style="5" customWidth="1"/>
    <col min="3077" max="3077" width="14.125" style="5" customWidth="1"/>
    <col min="3078" max="3079" width="13.5" style="5" customWidth="1"/>
    <col min="3080" max="3080" width="13.875" style="5" customWidth="1"/>
    <col min="3081" max="3326" width="8.875" style="5"/>
    <col min="3327" max="3327" width="6.5" style="5" customWidth="1"/>
    <col min="3328" max="3328" width="16.75" style="5" customWidth="1"/>
    <col min="3329" max="3329" width="13.875" style="5" customWidth="1"/>
    <col min="3330" max="3330" width="13.5" style="5" customWidth="1"/>
    <col min="3331" max="3332" width="14.375" style="5" customWidth="1"/>
    <col min="3333" max="3333" width="14.125" style="5" customWidth="1"/>
    <col min="3334" max="3335" width="13.5" style="5" customWidth="1"/>
    <col min="3336" max="3336" width="13.875" style="5" customWidth="1"/>
    <col min="3337" max="3582" width="8.875" style="5"/>
    <col min="3583" max="3583" width="6.5" style="5" customWidth="1"/>
    <col min="3584" max="3584" width="16.75" style="5" customWidth="1"/>
    <col min="3585" max="3585" width="13.875" style="5" customWidth="1"/>
    <col min="3586" max="3586" width="13.5" style="5" customWidth="1"/>
    <col min="3587" max="3588" width="14.375" style="5" customWidth="1"/>
    <col min="3589" max="3589" width="14.125" style="5" customWidth="1"/>
    <col min="3590" max="3591" width="13.5" style="5" customWidth="1"/>
    <col min="3592" max="3592" width="13.875" style="5" customWidth="1"/>
    <col min="3593" max="3838" width="8.875" style="5"/>
    <col min="3839" max="3839" width="6.5" style="5" customWidth="1"/>
    <col min="3840" max="3840" width="16.75" style="5" customWidth="1"/>
    <col min="3841" max="3841" width="13.875" style="5" customWidth="1"/>
    <col min="3842" max="3842" width="13.5" style="5" customWidth="1"/>
    <col min="3843" max="3844" width="14.375" style="5" customWidth="1"/>
    <col min="3845" max="3845" width="14.125" style="5" customWidth="1"/>
    <col min="3846" max="3847" width="13.5" style="5" customWidth="1"/>
    <col min="3848" max="3848" width="13.875" style="5" customWidth="1"/>
    <col min="3849" max="4094" width="8.875" style="5"/>
    <col min="4095" max="4095" width="6.5" style="5" customWidth="1"/>
    <col min="4096" max="4096" width="16.75" style="5" customWidth="1"/>
    <col min="4097" max="4097" width="13.875" style="5" customWidth="1"/>
    <col min="4098" max="4098" width="13.5" style="5" customWidth="1"/>
    <col min="4099" max="4100" width="14.375" style="5" customWidth="1"/>
    <col min="4101" max="4101" width="14.125" style="5" customWidth="1"/>
    <col min="4102" max="4103" width="13.5" style="5" customWidth="1"/>
    <col min="4104" max="4104" width="13.875" style="5" customWidth="1"/>
    <col min="4105" max="4350" width="8.875" style="5"/>
    <col min="4351" max="4351" width="6.5" style="5" customWidth="1"/>
    <col min="4352" max="4352" width="16.75" style="5" customWidth="1"/>
    <col min="4353" max="4353" width="13.875" style="5" customWidth="1"/>
    <col min="4354" max="4354" width="13.5" style="5" customWidth="1"/>
    <col min="4355" max="4356" width="14.375" style="5" customWidth="1"/>
    <col min="4357" max="4357" width="14.125" style="5" customWidth="1"/>
    <col min="4358" max="4359" width="13.5" style="5" customWidth="1"/>
    <col min="4360" max="4360" width="13.875" style="5" customWidth="1"/>
    <col min="4361" max="4606" width="8.875" style="5"/>
    <col min="4607" max="4607" width="6.5" style="5" customWidth="1"/>
    <col min="4608" max="4608" width="16.75" style="5" customWidth="1"/>
    <col min="4609" max="4609" width="13.875" style="5" customWidth="1"/>
    <col min="4610" max="4610" width="13.5" style="5" customWidth="1"/>
    <col min="4611" max="4612" width="14.375" style="5" customWidth="1"/>
    <col min="4613" max="4613" width="14.125" style="5" customWidth="1"/>
    <col min="4614" max="4615" width="13.5" style="5" customWidth="1"/>
    <col min="4616" max="4616" width="13.875" style="5" customWidth="1"/>
    <col min="4617" max="4862" width="8.875" style="5"/>
    <col min="4863" max="4863" width="6.5" style="5" customWidth="1"/>
    <col min="4864" max="4864" width="16.75" style="5" customWidth="1"/>
    <col min="4865" max="4865" width="13.875" style="5" customWidth="1"/>
    <col min="4866" max="4866" width="13.5" style="5" customWidth="1"/>
    <col min="4867" max="4868" width="14.375" style="5" customWidth="1"/>
    <col min="4869" max="4869" width="14.125" style="5" customWidth="1"/>
    <col min="4870" max="4871" width="13.5" style="5" customWidth="1"/>
    <col min="4872" max="4872" width="13.875" style="5" customWidth="1"/>
    <col min="4873" max="5118" width="8.875" style="5"/>
    <col min="5119" max="5119" width="6.5" style="5" customWidth="1"/>
    <col min="5120" max="5120" width="16.75" style="5" customWidth="1"/>
    <col min="5121" max="5121" width="13.875" style="5" customWidth="1"/>
    <col min="5122" max="5122" width="13.5" style="5" customWidth="1"/>
    <col min="5123" max="5124" width="14.375" style="5" customWidth="1"/>
    <col min="5125" max="5125" width="14.125" style="5" customWidth="1"/>
    <col min="5126" max="5127" width="13.5" style="5" customWidth="1"/>
    <col min="5128" max="5128" width="13.875" style="5" customWidth="1"/>
    <col min="5129" max="5374" width="8.875" style="5"/>
    <col min="5375" max="5375" width="6.5" style="5" customWidth="1"/>
    <col min="5376" max="5376" width="16.75" style="5" customWidth="1"/>
    <col min="5377" max="5377" width="13.875" style="5" customWidth="1"/>
    <col min="5378" max="5378" width="13.5" style="5" customWidth="1"/>
    <col min="5379" max="5380" width="14.375" style="5" customWidth="1"/>
    <col min="5381" max="5381" width="14.125" style="5" customWidth="1"/>
    <col min="5382" max="5383" width="13.5" style="5" customWidth="1"/>
    <col min="5384" max="5384" width="13.875" style="5" customWidth="1"/>
    <col min="5385" max="5630" width="8.875" style="5"/>
    <col min="5631" max="5631" width="6.5" style="5" customWidth="1"/>
    <col min="5632" max="5632" width="16.75" style="5" customWidth="1"/>
    <col min="5633" max="5633" width="13.875" style="5" customWidth="1"/>
    <col min="5634" max="5634" width="13.5" style="5" customWidth="1"/>
    <col min="5635" max="5636" width="14.375" style="5" customWidth="1"/>
    <col min="5637" max="5637" width="14.125" style="5" customWidth="1"/>
    <col min="5638" max="5639" width="13.5" style="5" customWidth="1"/>
    <col min="5640" max="5640" width="13.875" style="5" customWidth="1"/>
    <col min="5641" max="5886" width="8.875" style="5"/>
    <col min="5887" max="5887" width="6.5" style="5" customWidth="1"/>
    <col min="5888" max="5888" width="16.75" style="5" customWidth="1"/>
    <col min="5889" max="5889" width="13.875" style="5" customWidth="1"/>
    <col min="5890" max="5890" width="13.5" style="5" customWidth="1"/>
    <col min="5891" max="5892" width="14.375" style="5" customWidth="1"/>
    <col min="5893" max="5893" width="14.125" style="5" customWidth="1"/>
    <col min="5894" max="5895" width="13.5" style="5" customWidth="1"/>
    <col min="5896" max="5896" width="13.875" style="5" customWidth="1"/>
    <col min="5897" max="6142" width="8.875" style="5"/>
    <col min="6143" max="6143" width="6.5" style="5" customWidth="1"/>
    <col min="6144" max="6144" width="16.75" style="5" customWidth="1"/>
    <col min="6145" max="6145" width="13.875" style="5" customWidth="1"/>
    <col min="6146" max="6146" width="13.5" style="5" customWidth="1"/>
    <col min="6147" max="6148" width="14.375" style="5" customWidth="1"/>
    <col min="6149" max="6149" width="14.125" style="5" customWidth="1"/>
    <col min="6150" max="6151" width="13.5" style="5" customWidth="1"/>
    <col min="6152" max="6152" width="13.875" style="5" customWidth="1"/>
    <col min="6153" max="6398" width="8.875" style="5"/>
    <col min="6399" max="6399" width="6.5" style="5" customWidth="1"/>
    <col min="6400" max="6400" width="16.75" style="5" customWidth="1"/>
    <col min="6401" max="6401" width="13.875" style="5" customWidth="1"/>
    <col min="6402" max="6402" width="13.5" style="5" customWidth="1"/>
    <col min="6403" max="6404" width="14.375" style="5" customWidth="1"/>
    <col min="6405" max="6405" width="14.125" style="5" customWidth="1"/>
    <col min="6406" max="6407" width="13.5" style="5" customWidth="1"/>
    <col min="6408" max="6408" width="13.875" style="5" customWidth="1"/>
    <col min="6409" max="6654" width="8.875" style="5"/>
    <col min="6655" max="6655" width="6.5" style="5" customWidth="1"/>
    <col min="6656" max="6656" width="16.75" style="5" customWidth="1"/>
    <col min="6657" max="6657" width="13.875" style="5" customWidth="1"/>
    <col min="6658" max="6658" width="13.5" style="5" customWidth="1"/>
    <col min="6659" max="6660" width="14.375" style="5" customWidth="1"/>
    <col min="6661" max="6661" width="14.125" style="5" customWidth="1"/>
    <col min="6662" max="6663" width="13.5" style="5" customWidth="1"/>
    <col min="6664" max="6664" width="13.875" style="5" customWidth="1"/>
    <col min="6665" max="6910" width="8.875" style="5"/>
    <col min="6911" max="6911" width="6.5" style="5" customWidth="1"/>
    <col min="6912" max="6912" width="16.75" style="5" customWidth="1"/>
    <col min="6913" max="6913" width="13.875" style="5" customWidth="1"/>
    <col min="6914" max="6914" width="13.5" style="5" customWidth="1"/>
    <col min="6915" max="6916" width="14.375" style="5" customWidth="1"/>
    <col min="6917" max="6917" width="14.125" style="5" customWidth="1"/>
    <col min="6918" max="6919" width="13.5" style="5" customWidth="1"/>
    <col min="6920" max="6920" width="13.875" style="5" customWidth="1"/>
    <col min="6921" max="7166" width="8.875" style="5"/>
    <col min="7167" max="7167" width="6.5" style="5" customWidth="1"/>
    <col min="7168" max="7168" width="16.75" style="5" customWidth="1"/>
    <col min="7169" max="7169" width="13.875" style="5" customWidth="1"/>
    <col min="7170" max="7170" width="13.5" style="5" customWidth="1"/>
    <col min="7171" max="7172" width="14.375" style="5" customWidth="1"/>
    <col min="7173" max="7173" width="14.125" style="5" customWidth="1"/>
    <col min="7174" max="7175" width="13.5" style="5" customWidth="1"/>
    <col min="7176" max="7176" width="13.875" style="5" customWidth="1"/>
    <col min="7177" max="7422" width="8.875" style="5"/>
    <col min="7423" max="7423" width="6.5" style="5" customWidth="1"/>
    <col min="7424" max="7424" width="16.75" style="5" customWidth="1"/>
    <col min="7425" max="7425" width="13.875" style="5" customWidth="1"/>
    <col min="7426" max="7426" width="13.5" style="5" customWidth="1"/>
    <col min="7427" max="7428" width="14.375" style="5" customWidth="1"/>
    <col min="7429" max="7429" width="14.125" style="5" customWidth="1"/>
    <col min="7430" max="7431" width="13.5" style="5" customWidth="1"/>
    <col min="7432" max="7432" width="13.875" style="5" customWidth="1"/>
    <col min="7433" max="7678" width="8.875" style="5"/>
    <col min="7679" max="7679" width="6.5" style="5" customWidth="1"/>
    <col min="7680" max="7680" width="16.75" style="5" customWidth="1"/>
    <col min="7681" max="7681" width="13.875" style="5" customWidth="1"/>
    <col min="7682" max="7682" width="13.5" style="5" customWidth="1"/>
    <col min="7683" max="7684" width="14.375" style="5" customWidth="1"/>
    <col min="7685" max="7685" width="14.125" style="5" customWidth="1"/>
    <col min="7686" max="7687" width="13.5" style="5" customWidth="1"/>
    <col min="7688" max="7688" width="13.875" style="5" customWidth="1"/>
    <col min="7689" max="7934" width="8.875" style="5"/>
    <col min="7935" max="7935" width="6.5" style="5" customWidth="1"/>
    <col min="7936" max="7936" width="16.75" style="5" customWidth="1"/>
    <col min="7937" max="7937" width="13.875" style="5" customWidth="1"/>
    <col min="7938" max="7938" width="13.5" style="5" customWidth="1"/>
    <col min="7939" max="7940" width="14.375" style="5" customWidth="1"/>
    <col min="7941" max="7941" width="14.125" style="5" customWidth="1"/>
    <col min="7942" max="7943" width="13.5" style="5" customWidth="1"/>
    <col min="7944" max="7944" width="13.875" style="5" customWidth="1"/>
    <col min="7945" max="8190" width="8.875" style="5"/>
    <col min="8191" max="8191" width="6.5" style="5" customWidth="1"/>
    <col min="8192" max="8192" width="16.75" style="5" customWidth="1"/>
    <col min="8193" max="8193" width="13.875" style="5" customWidth="1"/>
    <col min="8194" max="8194" width="13.5" style="5" customWidth="1"/>
    <col min="8195" max="8196" width="14.375" style="5" customWidth="1"/>
    <col min="8197" max="8197" width="14.125" style="5" customWidth="1"/>
    <col min="8198" max="8199" width="13.5" style="5" customWidth="1"/>
    <col min="8200" max="8200" width="13.875" style="5" customWidth="1"/>
    <col min="8201" max="8446" width="8.875" style="5"/>
    <col min="8447" max="8447" width="6.5" style="5" customWidth="1"/>
    <col min="8448" max="8448" width="16.75" style="5" customWidth="1"/>
    <col min="8449" max="8449" width="13.875" style="5" customWidth="1"/>
    <col min="8450" max="8450" width="13.5" style="5" customWidth="1"/>
    <col min="8451" max="8452" width="14.375" style="5" customWidth="1"/>
    <col min="8453" max="8453" width="14.125" style="5" customWidth="1"/>
    <col min="8454" max="8455" width="13.5" style="5" customWidth="1"/>
    <col min="8456" max="8456" width="13.875" style="5" customWidth="1"/>
    <col min="8457" max="8702" width="8.875" style="5"/>
    <col min="8703" max="8703" width="6.5" style="5" customWidth="1"/>
    <col min="8704" max="8704" width="16.75" style="5" customWidth="1"/>
    <col min="8705" max="8705" width="13.875" style="5" customWidth="1"/>
    <col min="8706" max="8706" width="13.5" style="5" customWidth="1"/>
    <col min="8707" max="8708" width="14.375" style="5" customWidth="1"/>
    <col min="8709" max="8709" width="14.125" style="5" customWidth="1"/>
    <col min="8710" max="8711" width="13.5" style="5" customWidth="1"/>
    <col min="8712" max="8712" width="13.875" style="5" customWidth="1"/>
    <col min="8713" max="8958" width="8.875" style="5"/>
    <col min="8959" max="8959" width="6.5" style="5" customWidth="1"/>
    <col min="8960" max="8960" width="16.75" style="5" customWidth="1"/>
    <col min="8961" max="8961" width="13.875" style="5" customWidth="1"/>
    <col min="8962" max="8962" width="13.5" style="5" customWidth="1"/>
    <col min="8963" max="8964" width="14.375" style="5" customWidth="1"/>
    <col min="8965" max="8965" width="14.125" style="5" customWidth="1"/>
    <col min="8966" max="8967" width="13.5" style="5" customWidth="1"/>
    <col min="8968" max="8968" width="13.875" style="5" customWidth="1"/>
    <col min="8969" max="9214" width="8.875" style="5"/>
    <col min="9215" max="9215" width="6.5" style="5" customWidth="1"/>
    <col min="9216" max="9216" width="16.75" style="5" customWidth="1"/>
    <col min="9217" max="9217" width="13.875" style="5" customWidth="1"/>
    <col min="9218" max="9218" width="13.5" style="5" customWidth="1"/>
    <col min="9219" max="9220" width="14.375" style="5" customWidth="1"/>
    <col min="9221" max="9221" width="14.125" style="5" customWidth="1"/>
    <col min="9222" max="9223" width="13.5" style="5" customWidth="1"/>
    <col min="9224" max="9224" width="13.875" style="5" customWidth="1"/>
    <col min="9225" max="9470" width="8.875" style="5"/>
    <col min="9471" max="9471" width="6.5" style="5" customWidth="1"/>
    <col min="9472" max="9472" width="16.75" style="5" customWidth="1"/>
    <col min="9473" max="9473" width="13.875" style="5" customWidth="1"/>
    <col min="9474" max="9474" width="13.5" style="5" customWidth="1"/>
    <col min="9475" max="9476" width="14.375" style="5" customWidth="1"/>
    <col min="9477" max="9477" width="14.125" style="5" customWidth="1"/>
    <col min="9478" max="9479" width="13.5" style="5" customWidth="1"/>
    <col min="9480" max="9480" width="13.875" style="5" customWidth="1"/>
    <col min="9481" max="9726" width="8.875" style="5"/>
    <col min="9727" max="9727" width="6.5" style="5" customWidth="1"/>
    <col min="9728" max="9728" width="16.75" style="5" customWidth="1"/>
    <col min="9729" max="9729" width="13.875" style="5" customWidth="1"/>
    <col min="9730" max="9730" width="13.5" style="5" customWidth="1"/>
    <col min="9731" max="9732" width="14.375" style="5" customWidth="1"/>
    <col min="9733" max="9733" width="14.125" style="5" customWidth="1"/>
    <col min="9734" max="9735" width="13.5" style="5" customWidth="1"/>
    <col min="9736" max="9736" width="13.875" style="5" customWidth="1"/>
    <col min="9737" max="9982" width="8.875" style="5"/>
    <col min="9983" max="9983" width="6.5" style="5" customWidth="1"/>
    <col min="9984" max="9984" width="16.75" style="5" customWidth="1"/>
    <col min="9985" max="9985" width="13.875" style="5" customWidth="1"/>
    <col min="9986" max="9986" width="13.5" style="5" customWidth="1"/>
    <col min="9987" max="9988" width="14.375" style="5" customWidth="1"/>
    <col min="9989" max="9989" width="14.125" style="5" customWidth="1"/>
    <col min="9990" max="9991" width="13.5" style="5" customWidth="1"/>
    <col min="9992" max="9992" width="13.875" style="5" customWidth="1"/>
    <col min="9993" max="10238" width="8.875" style="5"/>
    <col min="10239" max="10239" width="6.5" style="5" customWidth="1"/>
    <col min="10240" max="10240" width="16.75" style="5" customWidth="1"/>
    <col min="10241" max="10241" width="13.875" style="5" customWidth="1"/>
    <col min="10242" max="10242" width="13.5" style="5" customWidth="1"/>
    <col min="10243" max="10244" width="14.375" style="5" customWidth="1"/>
    <col min="10245" max="10245" width="14.125" style="5" customWidth="1"/>
    <col min="10246" max="10247" width="13.5" style="5" customWidth="1"/>
    <col min="10248" max="10248" width="13.875" style="5" customWidth="1"/>
    <col min="10249" max="10494" width="8.875" style="5"/>
    <col min="10495" max="10495" width="6.5" style="5" customWidth="1"/>
    <col min="10496" max="10496" width="16.75" style="5" customWidth="1"/>
    <col min="10497" max="10497" width="13.875" style="5" customWidth="1"/>
    <col min="10498" max="10498" width="13.5" style="5" customWidth="1"/>
    <col min="10499" max="10500" width="14.375" style="5" customWidth="1"/>
    <col min="10501" max="10501" width="14.125" style="5" customWidth="1"/>
    <col min="10502" max="10503" width="13.5" style="5" customWidth="1"/>
    <col min="10504" max="10504" width="13.875" style="5" customWidth="1"/>
    <col min="10505" max="10750" width="8.875" style="5"/>
    <col min="10751" max="10751" width="6.5" style="5" customWidth="1"/>
    <col min="10752" max="10752" width="16.75" style="5" customWidth="1"/>
    <col min="10753" max="10753" width="13.875" style="5" customWidth="1"/>
    <col min="10754" max="10754" width="13.5" style="5" customWidth="1"/>
    <col min="10755" max="10756" width="14.375" style="5" customWidth="1"/>
    <col min="10757" max="10757" width="14.125" style="5" customWidth="1"/>
    <col min="10758" max="10759" width="13.5" style="5" customWidth="1"/>
    <col min="10760" max="10760" width="13.875" style="5" customWidth="1"/>
    <col min="10761" max="11006" width="8.875" style="5"/>
    <col min="11007" max="11007" width="6.5" style="5" customWidth="1"/>
    <col min="11008" max="11008" width="16.75" style="5" customWidth="1"/>
    <col min="11009" max="11009" width="13.875" style="5" customWidth="1"/>
    <col min="11010" max="11010" width="13.5" style="5" customWidth="1"/>
    <col min="11011" max="11012" width="14.375" style="5" customWidth="1"/>
    <col min="11013" max="11013" width="14.125" style="5" customWidth="1"/>
    <col min="11014" max="11015" width="13.5" style="5" customWidth="1"/>
    <col min="11016" max="11016" width="13.875" style="5" customWidth="1"/>
    <col min="11017" max="11262" width="8.875" style="5"/>
    <col min="11263" max="11263" width="6.5" style="5" customWidth="1"/>
    <col min="11264" max="11264" width="16.75" style="5" customWidth="1"/>
    <col min="11265" max="11265" width="13.875" style="5" customWidth="1"/>
    <col min="11266" max="11266" width="13.5" style="5" customWidth="1"/>
    <col min="11267" max="11268" width="14.375" style="5" customWidth="1"/>
    <col min="11269" max="11269" width="14.125" style="5" customWidth="1"/>
    <col min="11270" max="11271" width="13.5" style="5" customWidth="1"/>
    <col min="11272" max="11272" width="13.875" style="5" customWidth="1"/>
    <col min="11273" max="11518" width="8.875" style="5"/>
    <col min="11519" max="11519" width="6.5" style="5" customWidth="1"/>
    <col min="11520" max="11520" width="16.75" style="5" customWidth="1"/>
    <col min="11521" max="11521" width="13.875" style="5" customWidth="1"/>
    <col min="11522" max="11522" width="13.5" style="5" customWidth="1"/>
    <col min="11523" max="11524" width="14.375" style="5" customWidth="1"/>
    <col min="11525" max="11525" width="14.125" style="5" customWidth="1"/>
    <col min="11526" max="11527" width="13.5" style="5" customWidth="1"/>
    <col min="11528" max="11528" width="13.875" style="5" customWidth="1"/>
    <col min="11529" max="11774" width="8.875" style="5"/>
    <col min="11775" max="11775" width="6.5" style="5" customWidth="1"/>
    <col min="11776" max="11776" width="16.75" style="5" customWidth="1"/>
    <col min="11777" max="11777" width="13.875" style="5" customWidth="1"/>
    <col min="11778" max="11778" width="13.5" style="5" customWidth="1"/>
    <col min="11779" max="11780" width="14.375" style="5" customWidth="1"/>
    <col min="11781" max="11781" width="14.125" style="5" customWidth="1"/>
    <col min="11782" max="11783" width="13.5" style="5" customWidth="1"/>
    <col min="11784" max="11784" width="13.875" style="5" customWidth="1"/>
    <col min="11785" max="12030" width="8.875" style="5"/>
    <col min="12031" max="12031" width="6.5" style="5" customWidth="1"/>
    <col min="12032" max="12032" width="16.75" style="5" customWidth="1"/>
    <col min="12033" max="12033" width="13.875" style="5" customWidth="1"/>
    <col min="12034" max="12034" width="13.5" style="5" customWidth="1"/>
    <col min="12035" max="12036" width="14.375" style="5" customWidth="1"/>
    <col min="12037" max="12037" width="14.125" style="5" customWidth="1"/>
    <col min="12038" max="12039" width="13.5" style="5" customWidth="1"/>
    <col min="12040" max="12040" width="13.875" style="5" customWidth="1"/>
    <col min="12041" max="12286" width="8.875" style="5"/>
    <col min="12287" max="12287" width="6.5" style="5" customWidth="1"/>
    <col min="12288" max="12288" width="16.75" style="5" customWidth="1"/>
    <col min="12289" max="12289" width="13.875" style="5" customWidth="1"/>
    <col min="12290" max="12290" width="13.5" style="5" customWidth="1"/>
    <col min="12291" max="12292" width="14.375" style="5" customWidth="1"/>
    <col min="12293" max="12293" width="14.125" style="5" customWidth="1"/>
    <col min="12294" max="12295" width="13.5" style="5" customWidth="1"/>
    <col min="12296" max="12296" width="13.875" style="5" customWidth="1"/>
    <col min="12297" max="12542" width="8.875" style="5"/>
    <col min="12543" max="12543" width="6.5" style="5" customWidth="1"/>
    <col min="12544" max="12544" width="16.75" style="5" customWidth="1"/>
    <col min="12545" max="12545" width="13.875" style="5" customWidth="1"/>
    <col min="12546" max="12546" width="13.5" style="5" customWidth="1"/>
    <col min="12547" max="12548" width="14.375" style="5" customWidth="1"/>
    <col min="12549" max="12549" width="14.125" style="5" customWidth="1"/>
    <col min="12550" max="12551" width="13.5" style="5" customWidth="1"/>
    <col min="12552" max="12552" width="13.875" style="5" customWidth="1"/>
    <col min="12553" max="12798" width="8.875" style="5"/>
    <col min="12799" max="12799" width="6.5" style="5" customWidth="1"/>
    <col min="12800" max="12800" width="16.75" style="5" customWidth="1"/>
    <col min="12801" max="12801" width="13.875" style="5" customWidth="1"/>
    <col min="12802" max="12802" width="13.5" style="5" customWidth="1"/>
    <col min="12803" max="12804" width="14.375" style="5" customWidth="1"/>
    <col min="12805" max="12805" width="14.125" style="5" customWidth="1"/>
    <col min="12806" max="12807" width="13.5" style="5" customWidth="1"/>
    <col min="12808" max="12808" width="13.875" style="5" customWidth="1"/>
    <col min="12809" max="13054" width="8.875" style="5"/>
    <col min="13055" max="13055" width="6.5" style="5" customWidth="1"/>
    <col min="13056" max="13056" width="16.75" style="5" customWidth="1"/>
    <col min="13057" max="13057" width="13.875" style="5" customWidth="1"/>
    <col min="13058" max="13058" width="13.5" style="5" customWidth="1"/>
    <col min="13059" max="13060" width="14.375" style="5" customWidth="1"/>
    <col min="13061" max="13061" width="14.125" style="5" customWidth="1"/>
    <col min="13062" max="13063" width="13.5" style="5" customWidth="1"/>
    <col min="13064" max="13064" width="13.875" style="5" customWidth="1"/>
    <col min="13065" max="13310" width="8.875" style="5"/>
    <col min="13311" max="13311" width="6.5" style="5" customWidth="1"/>
    <col min="13312" max="13312" width="16.75" style="5" customWidth="1"/>
    <col min="13313" max="13313" width="13.875" style="5" customWidth="1"/>
    <col min="13314" max="13314" width="13.5" style="5" customWidth="1"/>
    <col min="13315" max="13316" width="14.375" style="5" customWidth="1"/>
    <col min="13317" max="13317" width="14.125" style="5" customWidth="1"/>
    <col min="13318" max="13319" width="13.5" style="5" customWidth="1"/>
    <col min="13320" max="13320" width="13.875" style="5" customWidth="1"/>
    <col min="13321" max="13566" width="8.875" style="5"/>
    <col min="13567" max="13567" width="6.5" style="5" customWidth="1"/>
    <col min="13568" max="13568" width="16.75" style="5" customWidth="1"/>
    <col min="13569" max="13569" width="13.875" style="5" customWidth="1"/>
    <col min="13570" max="13570" width="13.5" style="5" customWidth="1"/>
    <col min="13571" max="13572" width="14.375" style="5" customWidth="1"/>
    <col min="13573" max="13573" width="14.125" style="5" customWidth="1"/>
    <col min="13574" max="13575" width="13.5" style="5" customWidth="1"/>
    <col min="13576" max="13576" width="13.875" style="5" customWidth="1"/>
    <col min="13577" max="13822" width="8.875" style="5"/>
    <col min="13823" max="13823" width="6.5" style="5" customWidth="1"/>
    <col min="13824" max="13824" width="16.75" style="5" customWidth="1"/>
    <col min="13825" max="13825" width="13.875" style="5" customWidth="1"/>
    <col min="13826" max="13826" width="13.5" style="5" customWidth="1"/>
    <col min="13827" max="13828" width="14.375" style="5" customWidth="1"/>
    <col min="13829" max="13829" width="14.125" style="5" customWidth="1"/>
    <col min="13830" max="13831" width="13.5" style="5" customWidth="1"/>
    <col min="13832" max="13832" width="13.875" style="5" customWidth="1"/>
    <col min="13833" max="14078" width="8.875" style="5"/>
    <col min="14079" max="14079" width="6.5" style="5" customWidth="1"/>
    <col min="14080" max="14080" width="16.75" style="5" customWidth="1"/>
    <col min="14081" max="14081" width="13.875" style="5" customWidth="1"/>
    <col min="14082" max="14082" width="13.5" style="5" customWidth="1"/>
    <col min="14083" max="14084" width="14.375" style="5" customWidth="1"/>
    <col min="14085" max="14085" width="14.125" style="5" customWidth="1"/>
    <col min="14086" max="14087" width="13.5" style="5" customWidth="1"/>
    <col min="14088" max="14088" width="13.875" style="5" customWidth="1"/>
    <col min="14089" max="14334" width="8.875" style="5"/>
    <col min="14335" max="14335" width="6.5" style="5" customWidth="1"/>
    <col min="14336" max="14336" width="16.75" style="5" customWidth="1"/>
    <col min="14337" max="14337" width="13.875" style="5" customWidth="1"/>
    <col min="14338" max="14338" width="13.5" style="5" customWidth="1"/>
    <col min="14339" max="14340" width="14.375" style="5" customWidth="1"/>
    <col min="14341" max="14341" width="14.125" style="5" customWidth="1"/>
    <col min="14342" max="14343" width="13.5" style="5" customWidth="1"/>
    <col min="14344" max="14344" width="13.875" style="5" customWidth="1"/>
    <col min="14345" max="14590" width="8.875" style="5"/>
    <col min="14591" max="14591" width="6.5" style="5" customWidth="1"/>
    <col min="14592" max="14592" width="16.75" style="5" customWidth="1"/>
    <col min="14593" max="14593" width="13.875" style="5" customWidth="1"/>
    <col min="14594" max="14594" width="13.5" style="5" customWidth="1"/>
    <col min="14595" max="14596" width="14.375" style="5" customWidth="1"/>
    <col min="14597" max="14597" width="14.125" style="5" customWidth="1"/>
    <col min="14598" max="14599" width="13.5" style="5" customWidth="1"/>
    <col min="14600" max="14600" width="13.875" style="5" customWidth="1"/>
    <col min="14601" max="14846" width="8.875" style="5"/>
    <col min="14847" max="14847" width="6.5" style="5" customWidth="1"/>
    <col min="14848" max="14848" width="16.75" style="5" customWidth="1"/>
    <col min="14849" max="14849" width="13.875" style="5" customWidth="1"/>
    <col min="14850" max="14850" width="13.5" style="5" customWidth="1"/>
    <col min="14851" max="14852" width="14.375" style="5" customWidth="1"/>
    <col min="14853" max="14853" width="14.125" style="5" customWidth="1"/>
    <col min="14854" max="14855" width="13.5" style="5" customWidth="1"/>
    <col min="14856" max="14856" width="13.875" style="5" customWidth="1"/>
    <col min="14857" max="15102" width="8.875" style="5"/>
    <col min="15103" max="15103" width="6.5" style="5" customWidth="1"/>
    <col min="15104" max="15104" width="16.75" style="5" customWidth="1"/>
    <col min="15105" max="15105" width="13.875" style="5" customWidth="1"/>
    <col min="15106" max="15106" width="13.5" style="5" customWidth="1"/>
    <col min="15107" max="15108" width="14.375" style="5" customWidth="1"/>
    <col min="15109" max="15109" width="14.125" style="5" customWidth="1"/>
    <col min="15110" max="15111" width="13.5" style="5" customWidth="1"/>
    <col min="15112" max="15112" width="13.875" style="5" customWidth="1"/>
    <col min="15113" max="15358" width="8.875" style="5"/>
    <col min="15359" max="15359" width="6.5" style="5" customWidth="1"/>
    <col min="15360" max="15360" width="16.75" style="5" customWidth="1"/>
    <col min="15361" max="15361" width="13.875" style="5" customWidth="1"/>
    <col min="15362" max="15362" width="13.5" style="5" customWidth="1"/>
    <col min="15363" max="15364" width="14.375" style="5" customWidth="1"/>
    <col min="15365" max="15365" width="14.125" style="5" customWidth="1"/>
    <col min="15366" max="15367" width="13.5" style="5" customWidth="1"/>
    <col min="15368" max="15368" width="13.875" style="5" customWidth="1"/>
    <col min="15369" max="15614" width="8.875" style="5"/>
    <col min="15615" max="15615" width="6.5" style="5" customWidth="1"/>
    <col min="15616" max="15616" width="16.75" style="5" customWidth="1"/>
    <col min="15617" max="15617" width="13.875" style="5" customWidth="1"/>
    <col min="15618" max="15618" width="13.5" style="5" customWidth="1"/>
    <col min="15619" max="15620" width="14.375" style="5" customWidth="1"/>
    <col min="15621" max="15621" width="14.125" style="5" customWidth="1"/>
    <col min="15622" max="15623" width="13.5" style="5" customWidth="1"/>
    <col min="15624" max="15624" width="13.875" style="5" customWidth="1"/>
    <col min="15625" max="15870" width="8.875" style="5"/>
    <col min="15871" max="15871" width="6.5" style="5" customWidth="1"/>
    <col min="15872" max="15872" width="16.75" style="5" customWidth="1"/>
    <col min="15873" max="15873" width="13.875" style="5" customWidth="1"/>
    <col min="15874" max="15874" width="13.5" style="5" customWidth="1"/>
    <col min="15875" max="15876" width="14.375" style="5" customWidth="1"/>
    <col min="15877" max="15877" width="14.125" style="5" customWidth="1"/>
    <col min="15878" max="15879" width="13.5" style="5" customWidth="1"/>
    <col min="15880" max="15880" width="13.875" style="5" customWidth="1"/>
    <col min="15881" max="16126" width="8.875" style="5"/>
    <col min="16127" max="16127" width="6.5" style="5" customWidth="1"/>
    <col min="16128" max="16128" width="16.75" style="5" customWidth="1"/>
    <col min="16129" max="16129" width="13.875" style="5" customWidth="1"/>
    <col min="16130" max="16130" width="13.5" style="5" customWidth="1"/>
    <col min="16131" max="16132" width="14.375" style="5" customWidth="1"/>
    <col min="16133" max="16133" width="14.125" style="5" customWidth="1"/>
    <col min="16134" max="16135" width="13.5" style="5" customWidth="1"/>
    <col min="16136" max="16136" width="13.875" style="5" customWidth="1"/>
    <col min="16137" max="16382" width="8.875" style="5"/>
    <col min="16383" max="16384" width="8.875" style="5" customWidth="1"/>
  </cols>
  <sheetData>
    <row r="1" spans="1:14" s="111" customFormat="1" ht="19.5">
      <c r="B1" s="1"/>
      <c r="C1" s="1"/>
      <c r="D1" s="1"/>
      <c r="E1" s="180" t="s">
        <v>490</v>
      </c>
      <c r="F1" s="1"/>
      <c r="G1" s="1"/>
      <c r="H1" s="1"/>
      <c r="I1" s="1"/>
      <c r="J1" s="1"/>
      <c r="K1" s="5"/>
      <c r="L1" s="5"/>
      <c r="M1" s="5"/>
      <c r="N1" s="5"/>
    </row>
    <row r="3" spans="1:14" s="115" customFormat="1">
      <c r="A3" s="112" t="s">
        <v>38</v>
      </c>
      <c r="B3" s="113"/>
      <c r="C3" s="113"/>
      <c r="D3" s="113"/>
      <c r="E3" s="113"/>
      <c r="F3" s="113"/>
      <c r="G3" s="113"/>
      <c r="H3" s="113"/>
      <c r="I3" s="113"/>
      <c r="J3" s="114"/>
      <c r="K3" s="5"/>
      <c r="L3" s="5"/>
      <c r="M3" s="5"/>
      <c r="N3" s="5"/>
    </row>
    <row r="4" spans="1:14" s="13" customFormat="1">
      <c r="A4" s="116" t="s">
        <v>39</v>
      </c>
      <c r="B4" s="117"/>
      <c r="C4" s="117"/>
      <c r="D4" s="117"/>
      <c r="E4" s="117"/>
      <c r="F4" s="117"/>
      <c r="G4" s="117"/>
      <c r="H4" s="117"/>
      <c r="I4" s="117"/>
      <c r="J4" s="118"/>
      <c r="K4" s="5"/>
      <c r="L4" s="5"/>
      <c r="M4" s="5"/>
      <c r="N4" s="5"/>
    </row>
    <row r="5" spans="1:14" s="122" customFormat="1">
      <c r="A5" s="119" t="s">
        <v>40</v>
      </c>
      <c r="B5" s="120" t="s">
        <v>41</v>
      </c>
      <c r="C5" s="121" t="s">
        <v>42</v>
      </c>
      <c r="D5" s="120" t="s">
        <v>43</v>
      </c>
      <c r="E5" s="120" t="s">
        <v>44</v>
      </c>
      <c r="F5" s="120" t="s">
        <v>45</v>
      </c>
      <c r="G5" s="120" t="s">
        <v>46</v>
      </c>
      <c r="H5" s="120" t="s">
        <v>47</v>
      </c>
      <c r="I5" s="120" t="s">
        <v>48</v>
      </c>
      <c r="J5" s="120" t="s">
        <v>49</v>
      </c>
      <c r="K5" s="5"/>
      <c r="L5" s="5"/>
      <c r="M5" s="5"/>
      <c r="N5" s="5"/>
    </row>
    <row r="6" spans="1:14" s="122" customFormat="1">
      <c r="A6" s="123"/>
      <c r="B6" s="124" t="s">
        <v>50</v>
      </c>
      <c r="C6" s="125"/>
      <c r="D6" s="125"/>
      <c r="E6" s="125"/>
      <c r="F6" s="125"/>
      <c r="G6" s="125"/>
      <c r="H6" s="125"/>
      <c r="I6" s="125"/>
      <c r="J6" s="125"/>
      <c r="K6" s="5"/>
      <c r="L6" s="5"/>
      <c r="M6" s="5"/>
      <c r="N6" s="5"/>
    </row>
    <row r="7" spans="1:14">
      <c r="A7" s="126">
        <v>1</v>
      </c>
      <c r="B7" s="27">
        <f t="shared" ref="B7:B16" si="0">SUM(C7:J7)</f>
        <v>162493</v>
      </c>
      <c r="C7" s="376">
        <v>54703</v>
      </c>
      <c r="D7" s="376">
        <v>75533</v>
      </c>
      <c r="E7" s="377">
        <v>19471</v>
      </c>
      <c r="F7" s="376">
        <v>3320</v>
      </c>
      <c r="G7" s="376">
        <v>705</v>
      </c>
      <c r="H7" s="376">
        <v>8248</v>
      </c>
      <c r="I7" s="377">
        <v>513</v>
      </c>
      <c r="J7" s="377">
        <v>0</v>
      </c>
    </row>
    <row r="8" spans="1:14">
      <c r="A8" s="127"/>
      <c r="B8" s="27">
        <f t="shared" si="0"/>
        <v>151997099</v>
      </c>
      <c r="C8" s="376">
        <v>56124187</v>
      </c>
      <c r="D8" s="378">
        <v>57956348</v>
      </c>
      <c r="E8" s="376">
        <v>18004543</v>
      </c>
      <c r="F8" s="378">
        <v>5802647</v>
      </c>
      <c r="G8" s="378">
        <v>909998</v>
      </c>
      <c r="H8" s="378">
        <v>11974996</v>
      </c>
      <c r="I8" s="376">
        <v>1224380</v>
      </c>
      <c r="J8" s="376">
        <v>0</v>
      </c>
    </row>
    <row r="9" spans="1:14">
      <c r="A9" s="126">
        <v>2</v>
      </c>
      <c r="B9" s="27">
        <f t="shared" si="0"/>
        <v>115013</v>
      </c>
      <c r="C9" s="376">
        <v>38869</v>
      </c>
      <c r="D9" s="376">
        <v>44134</v>
      </c>
      <c r="E9" s="376">
        <v>23805</v>
      </c>
      <c r="F9" s="376">
        <v>2717</v>
      </c>
      <c r="G9" s="376">
        <v>514</v>
      </c>
      <c r="H9" s="376">
        <v>4534</v>
      </c>
      <c r="I9" s="376">
        <v>440</v>
      </c>
      <c r="J9" s="376">
        <v>0</v>
      </c>
    </row>
    <row r="10" spans="1:14">
      <c r="A10" s="127"/>
      <c r="B10" s="27">
        <f t="shared" si="0"/>
        <v>109496132</v>
      </c>
      <c r="C10" s="378">
        <v>39857934</v>
      </c>
      <c r="D10" s="484">
        <v>40045090</v>
      </c>
      <c r="E10" s="378">
        <v>17929546</v>
      </c>
      <c r="F10" s="378">
        <v>3876252</v>
      </c>
      <c r="G10" s="378">
        <v>414507</v>
      </c>
      <c r="H10" s="378">
        <v>6621595</v>
      </c>
      <c r="I10" s="378">
        <v>751208</v>
      </c>
      <c r="J10" s="378">
        <v>0</v>
      </c>
    </row>
    <row r="11" spans="1:14">
      <c r="A11" s="126">
        <v>3</v>
      </c>
      <c r="B11" s="27">
        <f t="shared" si="0"/>
        <v>134607</v>
      </c>
      <c r="C11" s="376">
        <v>52446</v>
      </c>
      <c r="D11" s="376">
        <v>48089</v>
      </c>
      <c r="E11" s="376">
        <v>24299</v>
      </c>
      <c r="F11" s="376">
        <v>2178</v>
      </c>
      <c r="G11" s="376">
        <v>1114</v>
      </c>
      <c r="H11" s="376">
        <v>6176</v>
      </c>
      <c r="I11" s="376">
        <v>305</v>
      </c>
      <c r="J11" s="376">
        <v>0</v>
      </c>
    </row>
    <row r="12" spans="1:14">
      <c r="A12" s="127"/>
      <c r="B12" s="27">
        <f t="shared" si="0"/>
        <v>122131450</v>
      </c>
      <c r="C12" s="378">
        <v>53609233</v>
      </c>
      <c r="D12" s="378">
        <v>34813313</v>
      </c>
      <c r="E12" s="378">
        <v>20000952</v>
      </c>
      <c r="F12" s="378">
        <v>3320479</v>
      </c>
      <c r="G12" s="378">
        <v>1237260</v>
      </c>
      <c r="H12" s="378">
        <v>8716292</v>
      </c>
      <c r="I12" s="378">
        <v>433921</v>
      </c>
      <c r="J12" s="378">
        <v>0</v>
      </c>
      <c r="L12" s="483"/>
    </row>
    <row r="13" spans="1:14">
      <c r="A13" s="126">
        <v>4</v>
      </c>
      <c r="B13" s="27">
        <f t="shared" si="0"/>
        <v>133349</v>
      </c>
      <c r="C13" s="377">
        <v>52312</v>
      </c>
      <c r="D13" s="377">
        <v>53119</v>
      </c>
      <c r="E13" s="377">
        <v>21561</v>
      </c>
      <c r="F13" s="377">
        <v>2379</v>
      </c>
      <c r="G13" s="377">
        <v>478</v>
      </c>
      <c r="H13" s="377">
        <v>3103</v>
      </c>
      <c r="I13" s="377">
        <v>397</v>
      </c>
      <c r="J13" s="378">
        <v>0</v>
      </c>
    </row>
    <row r="14" spans="1:14">
      <c r="A14" s="127"/>
      <c r="B14" s="27">
        <f t="shared" si="0"/>
        <v>126190344</v>
      </c>
      <c r="C14" s="376">
        <v>54180448</v>
      </c>
      <c r="D14" s="376">
        <v>43860514</v>
      </c>
      <c r="E14" s="376">
        <v>18514393</v>
      </c>
      <c r="F14" s="376">
        <v>3504834</v>
      </c>
      <c r="G14" s="376">
        <v>499801</v>
      </c>
      <c r="H14" s="376">
        <v>4716228</v>
      </c>
      <c r="I14" s="376">
        <v>914126</v>
      </c>
      <c r="J14" s="378">
        <v>0</v>
      </c>
    </row>
    <row r="15" spans="1:14">
      <c r="A15" s="128">
        <v>5</v>
      </c>
      <c r="B15" s="27">
        <f t="shared" si="0"/>
        <v>130700</v>
      </c>
      <c r="C15" s="376">
        <v>55331</v>
      </c>
      <c r="D15" s="376">
        <v>50458</v>
      </c>
      <c r="E15" s="376">
        <v>18326</v>
      </c>
      <c r="F15" s="376">
        <v>2465</v>
      </c>
      <c r="G15" s="376">
        <v>696</v>
      </c>
      <c r="H15" s="376">
        <v>2863</v>
      </c>
      <c r="I15" s="376">
        <v>561</v>
      </c>
      <c r="J15" s="378">
        <v>0</v>
      </c>
    </row>
    <row r="16" spans="1:14">
      <c r="A16" s="128"/>
      <c r="B16" s="27">
        <f t="shared" si="0"/>
        <v>124913855</v>
      </c>
      <c r="C16" s="376">
        <v>48648942</v>
      </c>
      <c r="D16" s="376">
        <v>43908704</v>
      </c>
      <c r="E16" s="376">
        <v>21393330</v>
      </c>
      <c r="F16" s="376">
        <v>4598569</v>
      </c>
      <c r="G16" s="376">
        <v>989028</v>
      </c>
      <c r="H16" s="376">
        <v>4465937</v>
      </c>
      <c r="I16" s="376">
        <v>909345</v>
      </c>
      <c r="J16" s="378">
        <v>0</v>
      </c>
    </row>
    <row r="17" spans="1:10">
      <c r="A17" s="126">
        <v>6</v>
      </c>
      <c r="B17" s="27"/>
      <c r="C17" s="376"/>
      <c r="D17" s="376"/>
      <c r="E17" s="376"/>
      <c r="F17" s="376"/>
      <c r="G17" s="376"/>
      <c r="H17" s="376"/>
      <c r="I17" s="376"/>
      <c r="J17" s="376"/>
    </row>
    <row r="18" spans="1:10">
      <c r="A18" s="127"/>
      <c r="B18" s="27"/>
      <c r="C18" s="376"/>
      <c r="D18" s="376"/>
      <c r="E18" s="376"/>
      <c r="F18" s="376"/>
      <c r="G18" s="376"/>
      <c r="H18" s="376"/>
      <c r="I18" s="376"/>
      <c r="J18" s="376"/>
    </row>
    <row r="19" spans="1:10">
      <c r="A19" s="126">
        <v>7</v>
      </c>
      <c r="B19" s="27"/>
      <c r="C19" s="376"/>
      <c r="D19" s="376"/>
      <c r="E19" s="376"/>
      <c r="F19" s="376"/>
      <c r="G19" s="376"/>
      <c r="H19" s="376"/>
      <c r="I19" s="376"/>
      <c r="J19" s="376"/>
    </row>
    <row r="20" spans="1:10">
      <c r="A20" s="127"/>
      <c r="B20" s="27"/>
      <c r="C20" s="376"/>
      <c r="D20" s="376"/>
      <c r="E20" s="376"/>
      <c r="F20" s="376"/>
      <c r="G20" s="376"/>
      <c r="H20" s="376"/>
      <c r="I20" s="376"/>
      <c r="J20" s="376"/>
    </row>
    <row r="21" spans="1:10">
      <c r="A21" s="126">
        <v>8</v>
      </c>
      <c r="B21" s="27"/>
      <c r="C21" s="376"/>
      <c r="D21" s="376"/>
      <c r="E21" s="376"/>
      <c r="F21" s="376"/>
      <c r="G21" s="376"/>
      <c r="H21" s="376"/>
      <c r="I21" s="376"/>
      <c r="J21" s="376"/>
    </row>
    <row r="22" spans="1:10">
      <c r="A22" s="127"/>
      <c r="B22" s="27"/>
      <c r="C22" s="376"/>
      <c r="D22" s="376"/>
      <c r="E22" s="376"/>
      <c r="F22" s="376"/>
      <c r="G22" s="376"/>
      <c r="H22" s="376"/>
      <c r="I22" s="376"/>
      <c r="J22" s="376"/>
    </row>
    <row r="23" spans="1:10">
      <c r="A23" s="126">
        <v>9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>
      <c r="A24" s="127"/>
      <c r="B24" s="27"/>
      <c r="C24" s="27"/>
      <c r="D24" s="27"/>
      <c r="E24" s="27"/>
      <c r="F24" s="27"/>
      <c r="G24" s="27"/>
      <c r="H24" s="27"/>
      <c r="I24" s="27"/>
      <c r="J24" s="27"/>
    </row>
    <row r="25" spans="1:10">
      <c r="A25" s="126">
        <v>10</v>
      </c>
      <c r="B25" s="27"/>
      <c r="C25" s="27"/>
      <c r="D25" s="27"/>
      <c r="E25" s="27"/>
      <c r="F25" s="27"/>
      <c r="G25" s="27"/>
      <c r="H25" s="27"/>
      <c r="I25" s="27"/>
      <c r="J25" s="27"/>
    </row>
    <row r="26" spans="1:10">
      <c r="A26" s="127"/>
      <c r="B26" s="27"/>
      <c r="C26" s="27"/>
      <c r="D26" s="27"/>
      <c r="E26" s="27"/>
      <c r="F26" s="27"/>
      <c r="G26" s="27"/>
      <c r="H26" s="27"/>
      <c r="I26" s="27"/>
      <c r="J26" s="27"/>
    </row>
    <row r="27" spans="1:10">
      <c r="A27" s="126">
        <v>11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>
      <c r="A28" s="127"/>
      <c r="B28" s="27"/>
      <c r="C28" s="27"/>
      <c r="D28" s="27"/>
      <c r="E28" s="27"/>
      <c r="F28" s="27"/>
      <c r="G28" s="27"/>
      <c r="H28" s="27"/>
      <c r="I28" s="510"/>
      <c r="J28" s="27"/>
    </row>
    <row r="29" spans="1:10">
      <c r="A29" s="126">
        <v>12</v>
      </c>
      <c r="B29" s="27"/>
      <c r="C29" s="27"/>
      <c r="D29" s="27"/>
      <c r="E29" s="27"/>
      <c r="F29" s="27"/>
      <c r="G29" s="27"/>
      <c r="H29" s="27"/>
      <c r="I29" s="511"/>
      <c r="J29" s="27"/>
    </row>
    <row r="30" spans="1:10">
      <c r="A30" s="127"/>
      <c r="B30" s="27"/>
      <c r="C30" s="27"/>
      <c r="D30" s="27"/>
      <c r="E30" s="27"/>
      <c r="F30" s="27"/>
      <c r="G30" s="27"/>
      <c r="H30" s="27"/>
      <c r="I30" s="211"/>
      <c r="J30" s="27">
        <v>0</v>
      </c>
    </row>
    <row r="31" spans="1:10" s="115" customFormat="1">
      <c r="A31" s="562" t="s">
        <v>51</v>
      </c>
      <c r="B31" s="33">
        <f>SUM(B7,B9,B11,B13,B15,B17,B19,B21,B23,B25,B27,B29)</f>
        <v>676162</v>
      </c>
      <c r="C31" s="33">
        <f>SUM(C7+C9+C11+C13+C15+C17+C19+C21+C23+C25+C27+C29)</f>
        <v>253661</v>
      </c>
      <c r="D31" s="33">
        <f t="shared" ref="D31:J31" si="1">SUM(D7+D9+D11+D13+D15+D17+D19+D21+D23+D25+D27+D29)</f>
        <v>271333</v>
      </c>
      <c r="E31" s="33">
        <f t="shared" si="1"/>
        <v>107462</v>
      </c>
      <c r="F31" s="33">
        <f t="shared" si="1"/>
        <v>13059</v>
      </c>
      <c r="G31" s="33">
        <f t="shared" si="1"/>
        <v>3507</v>
      </c>
      <c r="H31" s="33">
        <f t="shared" si="1"/>
        <v>24924</v>
      </c>
      <c r="I31" s="33">
        <f t="shared" si="1"/>
        <v>2216</v>
      </c>
      <c r="J31" s="33">
        <f t="shared" si="1"/>
        <v>0</v>
      </c>
    </row>
    <row r="32" spans="1:10" s="115" customFormat="1">
      <c r="A32" s="558"/>
      <c r="B32" s="33">
        <f>SUM(B8,B10,B12,B14,B16,B18,B20,B22,B24,B26,B28,B30)</f>
        <v>634728880</v>
      </c>
      <c r="C32" s="33">
        <f t="shared" ref="C32:J32" si="2">SUM(C8,C10,C12,C14,C16,C18,C20,C22,C24,C26,C28,C30)</f>
        <v>252420744</v>
      </c>
      <c r="D32" s="33">
        <f t="shared" si="2"/>
        <v>220583969</v>
      </c>
      <c r="E32" s="33">
        <f t="shared" si="2"/>
        <v>95842764</v>
      </c>
      <c r="F32" s="33">
        <f t="shared" si="2"/>
        <v>21102781</v>
      </c>
      <c r="G32" s="33">
        <f t="shared" si="2"/>
        <v>4050594</v>
      </c>
      <c r="H32" s="33">
        <f t="shared" si="2"/>
        <v>36495048</v>
      </c>
      <c r="I32" s="33">
        <f t="shared" si="2"/>
        <v>4232980</v>
      </c>
      <c r="J32" s="33">
        <f t="shared" si="2"/>
        <v>0</v>
      </c>
    </row>
    <row r="33" spans="1:10" s="115" customFormat="1" ht="6.75" customHeight="1">
      <c r="A33" s="492"/>
      <c r="B33" s="39"/>
      <c r="C33" s="39"/>
      <c r="D33" s="39"/>
      <c r="E33" s="39"/>
      <c r="F33" s="39"/>
      <c r="G33" s="39"/>
      <c r="H33" s="39"/>
      <c r="I33" s="39"/>
      <c r="J33" s="39"/>
    </row>
    <row r="34" spans="1:10" s="13" customFormat="1" ht="15.75" customHeight="1">
      <c r="A34" s="54" t="s">
        <v>414</v>
      </c>
    </row>
    <row r="35" spans="1:10">
      <c r="D35" s="483"/>
      <c r="E35" s="483"/>
      <c r="F35" s="483"/>
      <c r="G35" s="483"/>
      <c r="H35" s="483"/>
    </row>
    <row r="36" spans="1:10">
      <c r="D36" s="483"/>
      <c r="E36" s="483"/>
      <c r="F36" s="483"/>
      <c r="G36" s="483"/>
      <c r="H36" s="483"/>
    </row>
    <row r="37" spans="1:10">
      <c r="D37" s="483"/>
      <c r="F37" s="483"/>
      <c r="G37" s="483"/>
    </row>
    <row r="38" spans="1:10">
      <c r="D38" s="483"/>
      <c r="E38" s="483"/>
      <c r="G38" s="483"/>
      <c r="H38" s="483"/>
    </row>
    <row r="39" spans="1:10">
      <c r="F39" s="483"/>
      <c r="G39" s="483"/>
      <c r="H39" s="483"/>
    </row>
    <row r="40" spans="1:10">
      <c r="F40" s="483"/>
      <c r="G40" s="483"/>
      <c r="H40" s="483"/>
    </row>
    <row r="41" spans="1:10">
      <c r="G41" s="483"/>
      <c r="H41" s="483"/>
    </row>
    <row r="42" spans="1:10">
      <c r="G42" s="483"/>
      <c r="H42" s="483"/>
    </row>
    <row r="43" spans="1:10">
      <c r="G43" s="483"/>
      <c r="H43" s="483"/>
    </row>
    <row r="44" spans="1:10">
      <c r="G44" s="483"/>
      <c r="H44" s="483"/>
    </row>
    <row r="45" spans="1:10">
      <c r="G45" s="483"/>
      <c r="H45" s="483"/>
    </row>
    <row r="46" spans="1:10">
      <c r="G46" s="483"/>
      <c r="H46" s="483"/>
    </row>
    <row r="47" spans="1:10">
      <c r="G47" s="483"/>
    </row>
    <row r="48" spans="1:10">
      <c r="G48" s="483"/>
      <c r="H48" s="483"/>
    </row>
    <row r="49" spans="7:8">
      <c r="G49" s="483"/>
    </row>
    <row r="50" spans="7:8">
      <c r="G50" s="483"/>
    </row>
    <row r="51" spans="7:8">
      <c r="G51" s="483"/>
    </row>
    <row r="52" spans="7:8">
      <c r="G52" s="483"/>
    </row>
    <row r="53" spans="7:8">
      <c r="G53" s="483"/>
    </row>
    <row r="54" spans="7:8">
      <c r="G54" s="483"/>
    </row>
    <row r="55" spans="7:8">
      <c r="G55" s="483"/>
    </row>
    <row r="56" spans="7:8">
      <c r="G56" s="483"/>
    </row>
    <row r="57" spans="7:8">
      <c r="G57" s="483"/>
    </row>
    <row r="58" spans="7:8">
      <c r="G58" s="483"/>
    </row>
    <row r="59" spans="7:8">
      <c r="G59" s="483"/>
    </row>
    <row r="60" spans="7:8">
      <c r="G60" s="483"/>
    </row>
    <row r="62" spans="7:8">
      <c r="G62" s="483"/>
      <c r="H62" s="483"/>
    </row>
  </sheetData>
  <mergeCells count="1">
    <mergeCell ref="A31:A32"/>
  </mergeCells>
  <phoneticPr fontId="3" type="noConversion"/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74"/>
  <sheetViews>
    <sheetView workbookViewId="0">
      <selection activeCell="E73" sqref="E73"/>
    </sheetView>
  </sheetViews>
  <sheetFormatPr defaultRowHeight="16.5"/>
  <cols>
    <col min="1" max="1" width="15.125" style="5" customWidth="1"/>
    <col min="2" max="2" width="14.125" style="5" customWidth="1"/>
    <col min="3" max="3" width="14.375" style="5" customWidth="1"/>
    <col min="4" max="4" width="12.625" style="6" customWidth="1"/>
    <col min="5" max="5" width="13.875" style="5" customWidth="1"/>
    <col min="6" max="6" width="12.125" style="5" customWidth="1"/>
    <col min="7" max="7" width="14.5" style="5" customWidth="1"/>
    <col min="8" max="8" width="12.5" style="5" customWidth="1"/>
    <col min="9" max="9" width="14.375" style="6" customWidth="1"/>
    <col min="10" max="256" width="8.875" style="5"/>
    <col min="257" max="257" width="15.125" style="5" customWidth="1"/>
    <col min="258" max="258" width="14.125" style="5" customWidth="1"/>
    <col min="259" max="259" width="14.375" style="5" customWidth="1"/>
    <col min="260" max="260" width="12.625" style="5" customWidth="1"/>
    <col min="261" max="261" width="13.875" style="5" customWidth="1"/>
    <col min="262" max="262" width="16.375" style="5" customWidth="1"/>
    <col min="263" max="263" width="14.5" style="5" customWidth="1"/>
    <col min="264" max="264" width="12.5" style="5" customWidth="1"/>
    <col min="265" max="265" width="13.875" style="5" customWidth="1"/>
    <col min="266" max="512" width="8.875" style="5"/>
    <col min="513" max="513" width="15.125" style="5" customWidth="1"/>
    <col min="514" max="514" width="14.125" style="5" customWidth="1"/>
    <col min="515" max="515" width="14.375" style="5" customWidth="1"/>
    <col min="516" max="516" width="12.625" style="5" customWidth="1"/>
    <col min="517" max="517" width="13.875" style="5" customWidth="1"/>
    <col min="518" max="518" width="16.375" style="5" customWidth="1"/>
    <col min="519" max="519" width="14.5" style="5" customWidth="1"/>
    <col min="520" max="520" width="12.5" style="5" customWidth="1"/>
    <col min="521" max="521" width="13.875" style="5" customWidth="1"/>
    <col min="522" max="768" width="8.875" style="5"/>
    <col min="769" max="769" width="15.125" style="5" customWidth="1"/>
    <col min="770" max="770" width="14.125" style="5" customWidth="1"/>
    <col min="771" max="771" width="14.375" style="5" customWidth="1"/>
    <col min="772" max="772" width="12.625" style="5" customWidth="1"/>
    <col min="773" max="773" width="13.875" style="5" customWidth="1"/>
    <col min="774" max="774" width="16.375" style="5" customWidth="1"/>
    <col min="775" max="775" width="14.5" style="5" customWidth="1"/>
    <col min="776" max="776" width="12.5" style="5" customWidth="1"/>
    <col min="777" max="777" width="13.875" style="5" customWidth="1"/>
    <col min="778" max="1024" width="8.875" style="5"/>
    <col min="1025" max="1025" width="15.125" style="5" customWidth="1"/>
    <col min="1026" max="1026" width="14.125" style="5" customWidth="1"/>
    <col min="1027" max="1027" width="14.375" style="5" customWidth="1"/>
    <col min="1028" max="1028" width="12.625" style="5" customWidth="1"/>
    <col min="1029" max="1029" width="13.875" style="5" customWidth="1"/>
    <col min="1030" max="1030" width="16.375" style="5" customWidth="1"/>
    <col min="1031" max="1031" width="14.5" style="5" customWidth="1"/>
    <col min="1032" max="1032" width="12.5" style="5" customWidth="1"/>
    <col min="1033" max="1033" width="13.875" style="5" customWidth="1"/>
    <col min="1034" max="1280" width="8.875" style="5"/>
    <col min="1281" max="1281" width="15.125" style="5" customWidth="1"/>
    <col min="1282" max="1282" width="14.125" style="5" customWidth="1"/>
    <col min="1283" max="1283" width="14.375" style="5" customWidth="1"/>
    <col min="1284" max="1284" width="12.625" style="5" customWidth="1"/>
    <col min="1285" max="1285" width="13.875" style="5" customWidth="1"/>
    <col min="1286" max="1286" width="16.375" style="5" customWidth="1"/>
    <col min="1287" max="1287" width="14.5" style="5" customWidth="1"/>
    <col min="1288" max="1288" width="12.5" style="5" customWidth="1"/>
    <col min="1289" max="1289" width="13.875" style="5" customWidth="1"/>
    <col min="1290" max="1536" width="8.875" style="5"/>
    <col min="1537" max="1537" width="15.125" style="5" customWidth="1"/>
    <col min="1538" max="1538" width="14.125" style="5" customWidth="1"/>
    <col min="1539" max="1539" width="14.375" style="5" customWidth="1"/>
    <col min="1540" max="1540" width="12.625" style="5" customWidth="1"/>
    <col min="1541" max="1541" width="13.875" style="5" customWidth="1"/>
    <col min="1542" max="1542" width="16.375" style="5" customWidth="1"/>
    <col min="1543" max="1543" width="14.5" style="5" customWidth="1"/>
    <col min="1544" max="1544" width="12.5" style="5" customWidth="1"/>
    <col min="1545" max="1545" width="13.875" style="5" customWidth="1"/>
    <col min="1546" max="1792" width="8.875" style="5"/>
    <col min="1793" max="1793" width="15.125" style="5" customWidth="1"/>
    <col min="1794" max="1794" width="14.125" style="5" customWidth="1"/>
    <col min="1795" max="1795" width="14.375" style="5" customWidth="1"/>
    <col min="1796" max="1796" width="12.625" style="5" customWidth="1"/>
    <col min="1797" max="1797" width="13.875" style="5" customWidth="1"/>
    <col min="1798" max="1798" width="16.375" style="5" customWidth="1"/>
    <col min="1799" max="1799" width="14.5" style="5" customWidth="1"/>
    <col min="1800" max="1800" width="12.5" style="5" customWidth="1"/>
    <col min="1801" max="1801" width="13.875" style="5" customWidth="1"/>
    <col min="1802" max="2048" width="8.875" style="5"/>
    <col min="2049" max="2049" width="15.125" style="5" customWidth="1"/>
    <col min="2050" max="2050" width="14.125" style="5" customWidth="1"/>
    <col min="2051" max="2051" width="14.375" style="5" customWidth="1"/>
    <col min="2052" max="2052" width="12.625" style="5" customWidth="1"/>
    <col min="2053" max="2053" width="13.875" style="5" customWidth="1"/>
    <col min="2054" max="2054" width="16.375" style="5" customWidth="1"/>
    <col min="2055" max="2055" width="14.5" style="5" customWidth="1"/>
    <col min="2056" max="2056" width="12.5" style="5" customWidth="1"/>
    <col min="2057" max="2057" width="13.875" style="5" customWidth="1"/>
    <col min="2058" max="2304" width="8.875" style="5"/>
    <col min="2305" max="2305" width="15.125" style="5" customWidth="1"/>
    <col min="2306" max="2306" width="14.125" style="5" customWidth="1"/>
    <col min="2307" max="2307" width="14.375" style="5" customWidth="1"/>
    <col min="2308" max="2308" width="12.625" style="5" customWidth="1"/>
    <col min="2309" max="2309" width="13.875" style="5" customWidth="1"/>
    <col min="2310" max="2310" width="16.375" style="5" customWidth="1"/>
    <col min="2311" max="2311" width="14.5" style="5" customWidth="1"/>
    <col min="2312" max="2312" width="12.5" style="5" customWidth="1"/>
    <col min="2313" max="2313" width="13.875" style="5" customWidth="1"/>
    <col min="2314" max="2560" width="8.875" style="5"/>
    <col min="2561" max="2561" width="15.125" style="5" customWidth="1"/>
    <col min="2562" max="2562" width="14.125" style="5" customWidth="1"/>
    <col min="2563" max="2563" width="14.375" style="5" customWidth="1"/>
    <col min="2564" max="2564" width="12.625" style="5" customWidth="1"/>
    <col min="2565" max="2565" width="13.875" style="5" customWidth="1"/>
    <col min="2566" max="2566" width="16.375" style="5" customWidth="1"/>
    <col min="2567" max="2567" width="14.5" style="5" customWidth="1"/>
    <col min="2568" max="2568" width="12.5" style="5" customWidth="1"/>
    <col min="2569" max="2569" width="13.875" style="5" customWidth="1"/>
    <col min="2570" max="2816" width="8.875" style="5"/>
    <col min="2817" max="2817" width="15.125" style="5" customWidth="1"/>
    <col min="2818" max="2818" width="14.125" style="5" customWidth="1"/>
    <col min="2819" max="2819" width="14.375" style="5" customWidth="1"/>
    <col min="2820" max="2820" width="12.625" style="5" customWidth="1"/>
    <col min="2821" max="2821" width="13.875" style="5" customWidth="1"/>
    <col min="2822" max="2822" width="16.375" style="5" customWidth="1"/>
    <col min="2823" max="2823" width="14.5" style="5" customWidth="1"/>
    <col min="2824" max="2824" width="12.5" style="5" customWidth="1"/>
    <col min="2825" max="2825" width="13.875" style="5" customWidth="1"/>
    <col min="2826" max="3072" width="8.875" style="5"/>
    <col min="3073" max="3073" width="15.125" style="5" customWidth="1"/>
    <col min="3074" max="3074" width="14.125" style="5" customWidth="1"/>
    <col min="3075" max="3075" width="14.375" style="5" customWidth="1"/>
    <col min="3076" max="3076" width="12.625" style="5" customWidth="1"/>
    <col min="3077" max="3077" width="13.875" style="5" customWidth="1"/>
    <col min="3078" max="3078" width="16.375" style="5" customWidth="1"/>
    <col min="3079" max="3079" width="14.5" style="5" customWidth="1"/>
    <col min="3080" max="3080" width="12.5" style="5" customWidth="1"/>
    <col min="3081" max="3081" width="13.875" style="5" customWidth="1"/>
    <col min="3082" max="3328" width="8.875" style="5"/>
    <col min="3329" max="3329" width="15.125" style="5" customWidth="1"/>
    <col min="3330" max="3330" width="14.125" style="5" customWidth="1"/>
    <col min="3331" max="3331" width="14.375" style="5" customWidth="1"/>
    <col min="3332" max="3332" width="12.625" style="5" customWidth="1"/>
    <col min="3333" max="3333" width="13.875" style="5" customWidth="1"/>
    <col min="3334" max="3334" width="16.375" style="5" customWidth="1"/>
    <col min="3335" max="3335" width="14.5" style="5" customWidth="1"/>
    <col min="3336" max="3336" width="12.5" style="5" customWidth="1"/>
    <col min="3337" max="3337" width="13.875" style="5" customWidth="1"/>
    <col min="3338" max="3584" width="8.875" style="5"/>
    <col min="3585" max="3585" width="15.125" style="5" customWidth="1"/>
    <col min="3586" max="3586" width="14.125" style="5" customWidth="1"/>
    <col min="3587" max="3587" width="14.375" style="5" customWidth="1"/>
    <col min="3588" max="3588" width="12.625" style="5" customWidth="1"/>
    <col min="3589" max="3589" width="13.875" style="5" customWidth="1"/>
    <col min="3590" max="3590" width="16.375" style="5" customWidth="1"/>
    <col min="3591" max="3591" width="14.5" style="5" customWidth="1"/>
    <col min="3592" max="3592" width="12.5" style="5" customWidth="1"/>
    <col min="3593" max="3593" width="13.875" style="5" customWidth="1"/>
    <col min="3594" max="3840" width="8.875" style="5"/>
    <col min="3841" max="3841" width="15.125" style="5" customWidth="1"/>
    <col min="3842" max="3842" width="14.125" style="5" customWidth="1"/>
    <col min="3843" max="3843" width="14.375" style="5" customWidth="1"/>
    <col min="3844" max="3844" width="12.625" style="5" customWidth="1"/>
    <col min="3845" max="3845" width="13.875" style="5" customWidth="1"/>
    <col min="3846" max="3846" width="16.375" style="5" customWidth="1"/>
    <col min="3847" max="3847" width="14.5" style="5" customWidth="1"/>
    <col min="3848" max="3848" width="12.5" style="5" customWidth="1"/>
    <col min="3849" max="3849" width="13.875" style="5" customWidth="1"/>
    <col min="3850" max="4096" width="8.875" style="5"/>
    <col min="4097" max="4097" width="15.125" style="5" customWidth="1"/>
    <col min="4098" max="4098" width="14.125" style="5" customWidth="1"/>
    <col min="4099" max="4099" width="14.375" style="5" customWidth="1"/>
    <col min="4100" max="4100" width="12.625" style="5" customWidth="1"/>
    <col min="4101" max="4101" width="13.875" style="5" customWidth="1"/>
    <col min="4102" max="4102" width="16.375" style="5" customWidth="1"/>
    <col min="4103" max="4103" width="14.5" style="5" customWidth="1"/>
    <col min="4104" max="4104" width="12.5" style="5" customWidth="1"/>
    <col min="4105" max="4105" width="13.875" style="5" customWidth="1"/>
    <col min="4106" max="4352" width="8.875" style="5"/>
    <col min="4353" max="4353" width="15.125" style="5" customWidth="1"/>
    <col min="4354" max="4354" width="14.125" style="5" customWidth="1"/>
    <col min="4355" max="4355" width="14.375" style="5" customWidth="1"/>
    <col min="4356" max="4356" width="12.625" style="5" customWidth="1"/>
    <col min="4357" max="4357" width="13.875" style="5" customWidth="1"/>
    <col min="4358" max="4358" width="16.375" style="5" customWidth="1"/>
    <col min="4359" max="4359" width="14.5" style="5" customWidth="1"/>
    <col min="4360" max="4360" width="12.5" style="5" customWidth="1"/>
    <col min="4361" max="4361" width="13.875" style="5" customWidth="1"/>
    <col min="4362" max="4608" width="8.875" style="5"/>
    <col min="4609" max="4609" width="15.125" style="5" customWidth="1"/>
    <col min="4610" max="4610" width="14.125" style="5" customWidth="1"/>
    <col min="4611" max="4611" width="14.375" style="5" customWidth="1"/>
    <col min="4612" max="4612" width="12.625" style="5" customWidth="1"/>
    <col min="4613" max="4613" width="13.875" style="5" customWidth="1"/>
    <col min="4614" max="4614" width="16.375" style="5" customWidth="1"/>
    <col min="4615" max="4615" width="14.5" style="5" customWidth="1"/>
    <col min="4616" max="4616" width="12.5" style="5" customWidth="1"/>
    <col min="4617" max="4617" width="13.875" style="5" customWidth="1"/>
    <col min="4618" max="4864" width="8.875" style="5"/>
    <col min="4865" max="4865" width="15.125" style="5" customWidth="1"/>
    <col min="4866" max="4866" width="14.125" style="5" customWidth="1"/>
    <col min="4867" max="4867" width="14.375" style="5" customWidth="1"/>
    <col min="4868" max="4868" width="12.625" style="5" customWidth="1"/>
    <col min="4869" max="4869" width="13.875" style="5" customWidth="1"/>
    <col min="4870" max="4870" width="16.375" style="5" customWidth="1"/>
    <col min="4871" max="4871" width="14.5" style="5" customWidth="1"/>
    <col min="4872" max="4872" width="12.5" style="5" customWidth="1"/>
    <col min="4873" max="4873" width="13.875" style="5" customWidth="1"/>
    <col min="4874" max="5120" width="8.875" style="5"/>
    <col min="5121" max="5121" width="15.125" style="5" customWidth="1"/>
    <col min="5122" max="5122" width="14.125" style="5" customWidth="1"/>
    <col min="5123" max="5123" width="14.375" style="5" customWidth="1"/>
    <col min="5124" max="5124" width="12.625" style="5" customWidth="1"/>
    <col min="5125" max="5125" width="13.875" style="5" customWidth="1"/>
    <col min="5126" max="5126" width="16.375" style="5" customWidth="1"/>
    <col min="5127" max="5127" width="14.5" style="5" customWidth="1"/>
    <col min="5128" max="5128" width="12.5" style="5" customWidth="1"/>
    <col min="5129" max="5129" width="13.875" style="5" customWidth="1"/>
    <col min="5130" max="5376" width="8.875" style="5"/>
    <col min="5377" max="5377" width="15.125" style="5" customWidth="1"/>
    <col min="5378" max="5378" width="14.125" style="5" customWidth="1"/>
    <col min="5379" max="5379" width="14.375" style="5" customWidth="1"/>
    <col min="5380" max="5380" width="12.625" style="5" customWidth="1"/>
    <col min="5381" max="5381" width="13.875" style="5" customWidth="1"/>
    <col min="5382" max="5382" width="16.375" style="5" customWidth="1"/>
    <col min="5383" max="5383" width="14.5" style="5" customWidth="1"/>
    <col min="5384" max="5384" width="12.5" style="5" customWidth="1"/>
    <col min="5385" max="5385" width="13.875" style="5" customWidth="1"/>
    <col min="5386" max="5632" width="8.875" style="5"/>
    <col min="5633" max="5633" width="15.125" style="5" customWidth="1"/>
    <col min="5634" max="5634" width="14.125" style="5" customWidth="1"/>
    <col min="5635" max="5635" width="14.375" style="5" customWidth="1"/>
    <col min="5636" max="5636" width="12.625" style="5" customWidth="1"/>
    <col min="5637" max="5637" width="13.875" style="5" customWidth="1"/>
    <col min="5638" max="5638" width="16.375" style="5" customWidth="1"/>
    <col min="5639" max="5639" width="14.5" style="5" customWidth="1"/>
    <col min="5640" max="5640" width="12.5" style="5" customWidth="1"/>
    <col min="5641" max="5641" width="13.875" style="5" customWidth="1"/>
    <col min="5642" max="5888" width="8.875" style="5"/>
    <col min="5889" max="5889" width="15.125" style="5" customWidth="1"/>
    <col min="5890" max="5890" width="14.125" style="5" customWidth="1"/>
    <col min="5891" max="5891" width="14.375" style="5" customWidth="1"/>
    <col min="5892" max="5892" width="12.625" style="5" customWidth="1"/>
    <col min="5893" max="5893" width="13.875" style="5" customWidth="1"/>
    <col min="5894" max="5894" width="16.375" style="5" customWidth="1"/>
    <col min="5895" max="5895" width="14.5" style="5" customWidth="1"/>
    <col min="5896" max="5896" width="12.5" style="5" customWidth="1"/>
    <col min="5897" max="5897" width="13.875" style="5" customWidth="1"/>
    <col min="5898" max="6144" width="8.875" style="5"/>
    <col min="6145" max="6145" width="15.125" style="5" customWidth="1"/>
    <col min="6146" max="6146" width="14.125" style="5" customWidth="1"/>
    <col min="6147" max="6147" width="14.375" style="5" customWidth="1"/>
    <col min="6148" max="6148" width="12.625" style="5" customWidth="1"/>
    <col min="6149" max="6149" width="13.875" style="5" customWidth="1"/>
    <col min="6150" max="6150" width="16.375" style="5" customWidth="1"/>
    <col min="6151" max="6151" width="14.5" style="5" customWidth="1"/>
    <col min="6152" max="6152" width="12.5" style="5" customWidth="1"/>
    <col min="6153" max="6153" width="13.875" style="5" customWidth="1"/>
    <col min="6154" max="6400" width="8.875" style="5"/>
    <col min="6401" max="6401" width="15.125" style="5" customWidth="1"/>
    <col min="6402" max="6402" width="14.125" style="5" customWidth="1"/>
    <col min="6403" max="6403" width="14.375" style="5" customWidth="1"/>
    <col min="6404" max="6404" width="12.625" style="5" customWidth="1"/>
    <col min="6405" max="6405" width="13.875" style="5" customWidth="1"/>
    <col min="6406" max="6406" width="16.375" style="5" customWidth="1"/>
    <col min="6407" max="6407" width="14.5" style="5" customWidth="1"/>
    <col min="6408" max="6408" width="12.5" style="5" customWidth="1"/>
    <col min="6409" max="6409" width="13.875" style="5" customWidth="1"/>
    <col min="6410" max="6656" width="8.875" style="5"/>
    <col min="6657" max="6657" width="15.125" style="5" customWidth="1"/>
    <col min="6658" max="6658" width="14.125" style="5" customWidth="1"/>
    <col min="6659" max="6659" width="14.375" style="5" customWidth="1"/>
    <col min="6660" max="6660" width="12.625" style="5" customWidth="1"/>
    <col min="6661" max="6661" width="13.875" style="5" customWidth="1"/>
    <col min="6662" max="6662" width="16.375" style="5" customWidth="1"/>
    <col min="6663" max="6663" width="14.5" style="5" customWidth="1"/>
    <col min="6664" max="6664" width="12.5" style="5" customWidth="1"/>
    <col min="6665" max="6665" width="13.875" style="5" customWidth="1"/>
    <col min="6666" max="6912" width="8.875" style="5"/>
    <col min="6913" max="6913" width="15.125" style="5" customWidth="1"/>
    <col min="6914" max="6914" width="14.125" style="5" customWidth="1"/>
    <col min="6915" max="6915" width="14.375" style="5" customWidth="1"/>
    <col min="6916" max="6916" width="12.625" style="5" customWidth="1"/>
    <col min="6917" max="6917" width="13.875" style="5" customWidth="1"/>
    <col min="6918" max="6918" width="16.375" style="5" customWidth="1"/>
    <col min="6919" max="6919" width="14.5" style="5" customWidth="1"/>
    <col min="6920" max="6920" width="12.5" style="5" customWidth="1"/>
    <col min="6921" max="6921" width="13.875" style="5" customWidth="1"/>
    <col min="6922" max="7168" width="8.875" style="5"/>
    <col min="7169" max="7169" width="15.125" style="5" customWidth="1"/>
    <col min="7170" max="7170" width="14.125" style="5" customWidth="1"/>
    <col min="7171" max="7171" width="14.375" style="5" customWidth="1"/>
    <col min="7172" max="7172" width="12.625" style="5" customWidth="1"/>
    <col min="7173" max="7173" width="13.875" style="5" customWidth="1"/>
    <col min="7174" max="7174" width="16.375" style="5" customWidth="1"/>
    <col min="7175" max="7175" width="14.5" style="5" customWidth="1"/>
    <col min="7176" max="7176" width="12.5" style="5" customWidth="1"/>
    <col min="7177" max="7177" width="13.875" style="5" customWidth="1"/>
    <col min="7178" max="7424" width="8.875" style="5"/>
    <col min="7425" max="7425" width="15.125" style="5" customWidth="1"/>
    <col min="7426" max="7426" width="14.125" style="5" customWidth="1"/>
    <col min="7427" max="7427" width="14.375" style="5" customWidth="1"/>
    <col min="7428" max="7428" width="12.625" style="5" customWidth="1"/>
    <col min="7429" max="7429" width="13.875" style="5" customWidth="1"/>
    <col min="7430" max="7430" width="16.375" style="5" customWidth="1"/>
    <col min="7431" max="7431" width="14.5" style="5" customWidth="1"/>
    <col min="7432" max="7432" width="12.5" style="5" customWidth="1"/>
    <col min="7433" max="7433" width="13.875" style="5" customWidth="1"/>
    <col min="7434" max="7680" width="8.875" style="5"/>
    <col min="7681" max="7681" width="15.125" style="5" customWidth="1"/>
    <col min="7682" max="7682" width="14.125" style="5" customWidth="1"/>
    <col min="7683" max="7683" width="14.375" style="5" customWidth="1"/>
    <col min="7684" max="7684" width="12.625" style="5" customWidth="1"/>
    <col min="7685" max="7685" width="13.875" style="5" customWidth="1"/>
    <col min="7686" max="7686" width="16.375" style="5" customWidth="1"/>
    <col min="7687" max="7687" width="14.5" style="5" customWidth="1"/>
    <col min="7688" max="7688" width="12.5" style="5" customWidth="1"/>
    <col min="7689" max="7689" width="13.875" style="5" customWidth="1"/>
    <col min="7690" max="7936" width="8.875" style="5"/>
    <col min="7937" max="7937" width="15.125" style="5" customWidth="1"/>
    <col min="7938" max="7938" width="14.125" style="5" customWidth="1"/>
    <col min="7939" max="7939" width="14.375" style="5" customWidth="1"/>
    <col min="7940" max="7940" width="12.625" style="5" customWidth="1"/>
    <col min="7941" max="7941" width="13.875" style="5" customWidth="1"/>
    <col min="7942" max="7942" width="16.375" style="5" customWidth="1"/>
    <col min="7943" max="7943" width="14.5" style="5" customWidth="1"/>
    <col min="7944" max="7944" width="12.5" style="5" customWidth="1"/>
    <col min="7945" max="7945" width="13.875" style="5" customWidth="1"/>
    <col min="7946" max="8192" width="8.875" style="5"/>
    <col min="8193" max="8193" width="15.125" style="5" customWidth="1"/>
    <col min="8194" max="8194" width="14.125" style="5" customWidth="1"/>
    <col min="8195" max="8195" width="14.375" style="5" customWidth="1"/>
    <col min="8196" max="8196" width="12.625" style="5" customWidth="1"/>
    <col min="8197" max="8197" width="13.875" style="5" customWidth="1"/>
    <col min="8198" max="8198" width="16.375" style="5" customWidth="1"/>
    <col min="8199" max="8199" width="14.5" style="5" customWidth="1"/>
    <col min="8200" max="8200" width="12.5" style="5" customWidth="1"/>
    <col min="8201" max="8201" width="13.875" style="5" customWidth="1"/>
    <col min="8202" max="8448" width="8.875" style="5"/>
    <col min="8449" max="8449" width="15.125" style="5" customWidth="1"/>
    <col min="8450" max="8450" width="14.125" style="5" customWidth="1"/>
    <col min="8451" max="8451" width="14.375" style="5" customWidth="1"/>
    <col min="8452" max="8452" width="12.625" style="5" customWidth="1"/>
    <col min="8453" max="8453" width="13.875" style="5" customWidth="1"/>
    <col min="8454" max="8454" width="16.375" style="5" customWidth="1"/>
    <col min="8455" max="8455" width="14.5" style="5" customWidth="1"/>
    <col min="8456" max="8456" width="12.5" style="5" customWidth="1"/>
    <col min="8457" max="8457" width="13.875" style="5" customWidth="1"/>
    <col min="8458" max="8704" width="8.875" style="5"/>
    <col min="8705" max="8705" width="15.125" style="5" customWidth="1"/>
    <col min="8706" max="8706" width="14.125" style="5" customWidth="1"/>
    <col min="8707" max="8707" width="14.375" style="5" customWidth="1"/>
    <col min="8708" max="8708" width="12.625" style="5" customWidth="1"/>
    <col min="8709" max="8709" width="13.875" style="5" customWidth="1"/>
    <col min="8710" max="8710" width="16.375" style="5" customWidth="1"/>
    <col min="8711" max="8711" width="14.5" style="5" customWidth="1"/>
    <col min="8712" max="8712" width="12.5" style="5" customWidth="1"/>
    <col min="8713" max="8713" width="13.875" style="5" customWidth="1"/>
    <col min="8714" max="8960" width="8.875" style="5"/>
    <col min="8961" max="8961" width="15.125" style="5" customWidth="1"/>
    <col min="8962" max="8962" width="14.125" style="5" customWidth="1"/>
    <col min="8963" max="8963" width="14.375" style="5" customWidth="1"/>
    <col min="8964" max="8964" width="12.625" style="5" customWidth="1"/>
    <col min="8965" max="8965" width="13.875" style="5" customWidth="1"/>
    <col min="8966" max="8966" width="16.375" style="5" customWidth="1"/>
    <col min="8967" max="8967" width="14.5" style="5" customWidth="1"/>
    <col min="8968" max="8968" width="12.5" style="5" customWidth="1"/>
    <col min="8969" max="8969" width="13.875" style="5" customWidth="1"/>
    <col min="8970" max="9216" width="8.875" style="5"/>
    <col min="9217" max="9217" width="15.125" style="5" customWidth="1"/>
    <col min="9218" max="9218" width="14.125" style="5" customWidth="1"/>
    <col min="9219" max="9219" width="14.375" style="5" customWidth="1"/>
    <col min="9220" max="9220" width="12.625" style="5" customWidth="1"/>
    <col min="9221" max="9221" width="13.875" style="5" customWidth="1"/>
    <col min="9222" max="9222" width="16.375" style="5" customWidth="1"/>
    <col min="9223" max="9223" width="14.5" style="5" customWidth="1"/>
    <col min="9224" max="9224" width="12.5" style="5" customWidth="1"/>
    <col min="9225" max="9225" width="13.875" style="5" customWidth="1"/>
    <col min="9226" max="9472" width="8.875" style="5"/>
    <col min="9473" max="9473" width="15.125" style="5" customWidth="1"/>
    <col min="9474" max="9474" width="14.125" style="5" customWidth="1"/>
    <col min="9475" max="9475" width="14.375" style="5" customWidth="1"/>
    <col min="9476" max="9476" width="12.625" style="5" customWidth="1"/>
    <col min="9477" max="9477" width="13.875" style="5" customWidth="1"/>
    <col min="9478" max="9478" width="16.375" style="5" customWidth="1"/>
    <col min="9479" max="9479" width="14.5" style="5" customWidth="1"/>
    <col min="9480" max="9480" width="12.5" style="5" customWidth="1"/>
    <col min="9481" max="9481" width="13.875" style="5" customWidth="1"/>
    <col min="9482" max="9728" width="8.875" style="5"/>
    <col min="9729" max="9729" width="15.125" style="5" customWidth="1"/>
    <col min="9730" max="9730" width="14.125" style="5" customWidth="1"/>
    <col min="9731" max="9731" width="14.375" style="5" customWidth="1"/>
    <col min="9732" max="9732" width="12.625" style="5" customWidth="1"/>
    <col min="9733" max="9733" width="13.875" style="5" customWidth="1"/>
    <col min="9734" max="9734" width="16.375" style="5" customWidth="1"/>
    <col min="9735" max="9735" width="14.5" style="5" customWidth="1"/>
    <col min="9736" max="9736" width="12.5" style="5" customWidth="1"/>
    <col min="9737" max="9737" width="13.875" style="5" customWidth="1"/>
    <col min="9738" max="9984" width="8.875" style="5"/>
    <col min="9985" max="9985" width="15.125" style="5" customWidth="1"/>
    <col min="9986" max="9986" width="14.125" style="5" customWidth="1"/>
    <col min="9987" max="9987" width="14.375" style="5" customWidth="1"/>
    <col min="9988" max="9988" width="12.625" style="5" customWidth="1"/>
    <col min="9989" max="9989" width="13.875" style="5" customWidth="1"/>
    <col min="9990" max="9990" width="16.375" style="5" customWidth="1"/>
    <col min="9991" max="9991" width="14.5" style="5" customWidth="1"/>
    <col min="9992" max="9992" width="12.5" style="5" customWidth="1"/>
    <col min="9993" max="9993" width="13.875" style="5" customWidth="1"/>
    <col min="9994" max="10240" width="8.875" style="5"/>
    <col min="10241" max="10241" width="15.125" style="5" customWidth="1"/>
    <col min="10242" max="10242" width="14.125" style="5" customWidth="1"/>
    <col min="10243" max="10243" width="14.375" style="5" customWidth="1"/>
    <col min="10244" max="10244" width="12.625" style="5" customWidth="1"/>
    <col min="10245" max="10245" width="13.875" style="5" customWidth="1"/>
    <col min="10246" max="10246" width="16.375" style="5" customWidth="1"/>
    <col min="10247" max="10247" width="14.5" style="5" customWidth="1"/>
    <col min="10248" max="10248" width="12.5" style="5" customWidth="1"/>
    <col min="10249" max="10249" width="13.875" style="5" customWidth="1"/>
    <col min="10250" max="10496" width="8.875" style="5"/>
    <col min="10497" max="10497" width="15.125" style="5" customWidth="1"/>
    <col min="10498" max="10498" width="14.125" style="5" customWidth="1"/>
    <col min="10499" max="10499" width="14.375" style="5" customWidth="1"/>
    <col min="10500" max="10500" width="12.625" style="5" customWidth="1"/>
    <col min="10501" max="10501" width="13.875" style="5" customWidth="1"/>
    <col min="10502" max="10502" width="16.375" style="5" customWidth="1"/>
    <col min="10503" max="10503" width="14.5" style="5" customWidth="1"/>
    <col min="10504" max="10504" width="12.5" style="5" customWidth="1"/>
    <col min="10505" max="10505" width="13.875" style="5" customWidth="1"/>
    <col min="10506" max="10752" width="8.875" style="5"/>
    <col min="10753" max="10753" width="15.125" style="5" customWidth="1"/>
    <col min="10754" max="10754" width="14.125" style="5" customWidth="1"/>
    <col min="10755" max="10755" width="14.375" style="5" customWidth="1"/>
    <col min="10756" max="10756" width="12.625" style="5" customWidth="1"/>
    <col min="10757" max="10757" width="13.875" style="5" customWidth="1"/>
    <col min="10758" max="10758" width="16.375" style="5" customWidth="1"/>
    <col min="10759" max="10759" width="14.5" style="5" customWidth="1"/>
    <col min="10760" max="10760" width="12.5" style="5" customWidth="1"/>
    <col min="10761" max="10761" width="13.875" style="5" customWidth="1"/>
    <col min="10762" max="11008" width="8.875" style="5"/>
    <col min="11009" max="11009" width="15.125" style="5" customWidth="1"/>
    <col min="11010" max="11010" width="14.125" style="5" customWidth="1"/>
    <col min="11011" max="11011" width="14.375" style="5" customWidth="1"/>
    <col min="11012" max="11012" width="12.625" style="5" customWidth="1"/>
    <col min="11013" max="11013" width="13.875" style="5" customWidth="1"/>
    <col min="11014" max="11014" width="16.375" style="5" customWidth="1"/>
    <col min="11015" max="11015" width="14.5" style="5" customWidth="1"/>
    <col min="11016" max="11016" width="12.5" style="5" customWidth="1"/>
    <col min="11017" max="11017" width="13.875" style="5" customWidth="1"/>
    <col min="11018" max="11264" width="8.875" style="5"/>
    <col min="11265" max="11265" width="15.125" style="5" customWidth="1"/>
    <col min="11266" max="11266" width="14.125" style="5" customWidth="1"/>
    <col min="11267" max="11267" width="14.375" style="5" customWidth="1"/>
    <col min="11268" max="11268" width="12.625" style="5" customWidth="1"/>
    <col min="11269" max="11269" width="13.875" style="5" customWidth="1"/>
    <col min="11270" max="11270" width="16.375" style="5" customWidth="1"/>
    <col min="11271" max="11271" width="14.5" style="5" customWidth="1"/>
    <col min="11272" max="11272" width="12.5" style="5" customWidth="1"/>
    <col min="11273" max="11273" width="13.875" style="5" customWidth="1"/>
    <col min="11274" max="11520" width="8.875" style="5"/>
    <col min="11521" max="11521" width="15.125" style="5" customWidth="1"/>
    <col min="11522" max="11522" width="14.125" style="5" customWidth="1"/>
    <col min="11523" max="11523" width="14.375" style="5" customWidth="1"/>
    <col min="11524" max="11524" width="12.625" style="5" customWidth="1"/>
    <col min="11525" max="11525" width="13.875" style="5" customWidth="1"/>
    <col min="11526" max="11526" width="16.375" style="5" customWidth="1"/>
    <col min="11527" max="11527" width="14.5" style="5" customWidth="1"/>
    <col min="11528" max="11528" width="12.5" style="5" customWidth="1"/>
    <col min="11529" max="11529" width="13.875" style="5" customWidth="1"/>
    <col min="11530" max="11776" width="8.875" style="5"/>
    <col min="11777" max="11777" width="15.125" style="5" customWidth="1"/>
    <col min="11778" max="11778" width="14.125" style="5" customWidth="1"/>
    <col min="11779" max="11779" width="14.375" style="5" customWidth="1"/>
    <col min="11780" max="11780" width="12.625" style="5" customWidth="1"/>
    <col min="11781" max="11781" width="13.875" style="5" customWidth="1"/>
    <col min="11782" max="11782" width="16.375" style="5" customWidth="1"/>
    <col min="11783" max="11783" width="14.5" style="5" customWidth="1"/>
    <col min="11784" max="11784" width="12.5" style="5" customWidth="1"/>
    <col min="11785" max="11785" width="13.875" style="5" customWidth="1"/>
    <col min="11786" max="12032" width="8.875" style="5"/>
    <col min="12033" max="12033" width="15.125" style="5" customWidth="1"/>
    <col min="12034" max="12034" width="14.125" style="5" customWidth="1"/>
    <col min="12035" max="12035" width="14.375" style="5" customWidth="1"/>
    <col min="12036" max="12036" width="12.625" style="5" customWidth="1"/>
    <col min="12037" max="12037" width="13.875" style="5" customWidth="1"/>
    <col min="12038" max="12038" width="16.375" style="5" customWidth="1"/>
    <col min="12039" max="12039" width="14.5" style="5" customWidth="1"/>
    <col min="12040" max="12040" width="12.5" style="5" customWidth="1"/>
    <col min="12041" max="12041" width="13.875" style="5" customWidth="1"/>
    <col min="12042" max="12288" width="8.875" style="5"/>
    <col min="12289" max="12289" width="15.125" style="5" customWidth="1"/>
    <col min="12290" max="12290" width="14.125" style="5" customWidth="1"/>
    <col min="12291" max="12291" width="14.375" style="5" customWidth="1"/>
    <col min="12292" max="12292" width="12.625" style="5" customWidth="1"/>
    <col min="12293" max="12293" width="13.875" style="5" customWidth="1"/>
    <col min="12294" max="12294" width="16.375" style="5" customWidth="1"/>
    <col min="12295" max="12295" width="14.5" style="5" customWidth="1"/>
    <col min="12296" max="12296" width="12.5" style="5" customWidth="1"/>
    <col min="12297" max="12297" width="13.875" style="5" customWidth="1"/>
    <col min="12298" max="12544" width="8.875" style="5"/>
    <col min="12545" max="12545" width="15.125" style="5" customWidth="1"/>
    <col min="12546" max="12546" width="14.125" style="5" customWidth="1"/>
    <col min="12547" max="12547" width="14.375" style="5" customWidth="1"/>
    <col min="12548" max="12548" width="12.625" style="5" customWidth="1"/>
    <col min="12549" max="12549" width="13.875" style="5" customWidth="1"/>
    <col min="12550" max="12550" width="16.375" style="5" customWidth="1"/>
    <col min="12551" max="12551" width="14.5" style="5" customWidth="1"/>
    <col min="12552" max="12552" width="12.5" style="5" customWidth="1"/>
    <col min="12553" max="12553" width="13.875" style="5" customWidth="1"/>
    <col min="12554" max="12800" width="8.875" style="5"/>
    <col min="12801" max="12801" width="15.125" style="5" customWidth="1"/>
    <col min="12802" max="12802" width="14.125" style="5" customWidth="1"/>
    <col min="12803" max="12803" width="14.375" style="5" customWidth="1"/>
    <col min="12804" max="12804" width="12.625" style="5" customWidth="1"/>
    <col min="12805" max="12805" width="13.875" style="5" customWidth="1"/>
    <col min="12806" max="12806" width="16.375" style="5" customWidth="1"/>
    <col min="12807" max="12807" width="14.5" style="5" customWidth="1"/>
    <col min="12808" max="12808" width="12.5" style="5" customWidth="1"/>
    <col min="12809" max="12809" width="13.875" style="5" customWidth="1"/>
    <col min="12810" max="13056" width="8.875" style="5"/>
    <col min="13057" max="13057" width="15.125" style="5" customWidth="1"/>
    <col min="13058" max="13058" width="14.125" style="5" customWidth="1"/>
    <col min="13059" max="13059" width="14.375" style="5" customWidth="1"/>
    <col min="13060" max="13060" width="12.625" style="5" customWidth="1"/>
    <col min="13061" max="13061" width="13.875" style="5" customWidth="1"/>
    <col min="13062" max="13062" width="16.375" style="5" customWidth="1"/>
    <col min="13063" max="13063" width="14.5" style="5" customWidth="1"/>
    <col min="13064" max="13064" width="12.5" style="5" customWidth="1"/>
    <col min="13065" max="13065" width="13.875" style="5" customWidth="1"/>
    <col min="13066" max="13312" width="8.875" style="5"/>
    <col min="13313" max="13313" width="15.125" style="5" customWidth="1"/>
    <col min="13314" max="13314" width="14.125" style="5" customWidth="1"/>
    <col min="13315" max="13315" width="14.375" style="5" customWidth="1"/>
    <col min="13316" max="13316" width="12.625" style="5" customWidth="1"/>
    <col min="13317" max="13317" width="13.875" style="5" customWidth="1"/>
    <col min="13318" max="13318" width="16.375" style="5" customWidth="1"/>
    <col min="13319" max="13319" width="14.5" style="5" customWidth="1"/>
    <col min="13320" max="13320" width="12.5" style="5" customWidth="1"/>
    <col min="13321" max="13321" width="13.875" style="5" customWidth="1"/>
    <col min="13322" max="13568" width="8.875" style="5"/>
    <col min="13569" max="13569" width="15.125" style="5" customWidth="1"/>
    <col min="13570" max="13570" width="14.125" style="5" customWidth="1"/>
    <col min="13571" max="13571" width="14.375" style="5" customWidth="1"/>
    <col min="13572" max="13572" width="12.625" style="5" customWidth="1"/>
    <col min="13573" max="13573" width="13.875" style="5" customWidth="1"/>
    <col min="13574" max="13574" width="16.375" style="5" customWidth="1"/>
    <col min="13575" max="13575" width="14.5" style="5" customWidth="1"/>
    <col min="13576" max="13576" width="12.5" style="5" customWidth="1"/>
    <col min="13577" max="13577" width="13.875" style="5" customWidth="1"/>
    <col min="13578" max="13824" width="8.875" style="5"/>
    <col min="13825" max="13825" width="15.125" style="5" customWidth="1"/>
    <col min="13826" max="13826" width="14.125" style="5" customWidth="1"/>
    <col min="13827" max="13827" width="14.375" style="5" customWidth="1"/>
    <col min="13828" max="13828" width="12.625" style="5" customWidth="1"/>
    <col min="13829" max="13829" width="13.875" style="5" customWidth="1"/>
    <col min="13830" max="13830" width="16.375" style="5" customWidth="1"/>
    <col min="13831" max="13831" width="14.5" style="5" customWidth="1"/>
    <col min="13832" max="13832" width="12.5" style="5" customWidth="1"/>
    <col min="13833" max="13833" width="13.875" style="5" customWidth="1"/>
    <col min="13834" max="14080" width="8.875" style="5"/>
    <col min="14081" max="14081" width="15.125" style="5" customWidth="1"/>
    <col min="14082" max="14082" width="14.125" style="5" customWidth="1"/>
    <col min="14083" max="14083" width="14.375" style="5" customWidth="1"/>
    <col min="14084" max="14084" width="12.625" style="5" customWidth="1"/>
    <col min="14085" max="14085" width="13.875" style="5" customWidth="1"/>
    <col min="14086" max="14086" width="16.375" style="5" customWidth="1"/>
    <col min="14087" max="14087" width="14.5" style="5" customWidth="1"/>
    <col min="14088" max="14088" width="12.5" style="5" customWidth="1"/>
    <col min="14089" max="14089" width="13.875" style="5" customWidth="1"/>
    <col min="14090" max="14336" width="8.875" style="5"/>
    <col min="14337" max="14337" width="15.125" style="5" customWidth="1"/>
    <col min="14338" max="14338" width="14.125" style="5" customWidth="1"/>
    <col min="14339" max="14339" width="14.375" style="5" customWidth="1"/>
    <col min="14340" max="14340" width="12.625" style="5" customWidth="1"/>
    <col min="14341" max="14341" width="13.875" style="5" customWidth="1"/>
    <col min="14342" max="14342" width="16.375" style="5" customWidth="1"/>
    <col min="14343" max="14343" width="14.5" style="5" customWidth="1"/>
    <col min="14344" max="14344" width="12.5" style="5" customWidth="1"/>
    <col min="14345" max="14345" width="13.875" style="5" customWidth="1"/>
    <col min="14346" max="14592" width="8.875" style="5"/>
    <col min="14593" max="14593" width="15.125" style="5" customWidth="1"/>
    <col min="14594" max="14594" width="14.125" style="5" customWidth="1"/>
    <col min="14595" max="14595" width="14.375" style="5" customWidth="1"/>
    <col min="14596" max="14596" width="12.625" style="5" customWidth="1"/>
    <col min="14597" max="14597" width="13.875" style="5" customWidth="1"/>
    <col min="14598" max="14598" width="16.375" style="5" customWidth="1"/>
    <col min="14599" max="14599" width="14.5" style="5" customWidth="1"/>
    <col min="14600" max="14600" width="12.5" style="5" customWidth="1"/>
    <col min="14601" max="14601" width="13.875" style="5" customWidth="1"/>
    <col min="14602" max="14848" width="8.875" style="5"/>
    <col min="14849" max="14849" width="15.125" style="5" customWidth="1"/>
    <col min="14850" max="14850" width="14.125" style="5" customWidth="1"/>
    <col min="14851" max="14851" width="14.375" style="5" customWidth="1"/>
    <col min="14852" max="14852" width="12.625" style="5" customWidth="1"/>
    <col min="14853" max="14853" width="13.875" style="5" customWidth="1"/>
    <col min="14854" max="14854" width="16.375" style="5" customWidth="1"/>
    <col min="14855" max="14855" width="14.5" style="5" customWidth="1"/>
    <col min="14856" max="14856" width="12.5" style="5" customWidth="1"/>
    <col min="14857" max="14857" width="13.875" style="5" customWidth="1"/>
    <col min="14858" max="15104" width="8.875" style="5"/>
    <col min="15105" max="15105" width="15.125" style="5" customWidth="1"/>
    <col min="15106" max="15106" width="14.125" style="5" customWidth="1"/>
    <col min="15107" max="15107" width="14.375" style="5" customWidth="1"/>
    <col min="15108" max="15108" width="12.625" style="5" customWidth="1"/>
    <col min="15109" max="15109" width="13.875" style="5" customWidth="1"/>
    <col min="15110" max="15110" width="16.375" style="5" customWidth="1"/>
    <col min="15111" max="15111" width="14.5" style="5" customWidth="1"/>
    <col min="15112" max="15112" width="12.5" style="5" customWidth="1"/>
    <col min="15113" max="15113" width="13.875" style="5" customWidth="1"/>
    <col min="15114" max="15360" width="8.875" style="5"/>
    <col min="15361" max="15361" width="15.125" style="5" customWidth="1"/>
    <col min="15362" max="15362" width="14.125" style="5" customWidth="1"/>
    <col min="15363" max="15363" width="14.375" style="5" customWidth="1"/>
    <col min="15364" max="15364" width="12.625" style="5" customWidth="1"/>
    <col min="15365" max="15365" width="13.875" style="5" customWidth="1"/>
    <col min="15366" max="15366" width="16.375" style="5" customWidth="1"/>
    <col min="15367" max="15367" width="14.5" style="5" customWidth="1"/>
    <col min="15368" max="15368" width="12.5" style="5" customWidth="1"/>
    <col min="15369" max="15369" width="13.875" style="5" customWidth="1"/>
    <col min="15370" max="15616" width="8.875" style="5"/>
    <col min="15617" max="15617" width="15.125" style="5" customWidth="1"/>
    <col min="15618" max="15618" width="14.125" style="5" customWidth="1"/>
    <col min="15619" max="15619" width="14.375" style="5" customWidth="1"/>
    <col min="15620" max="15620" width="12.625" style="5" customWidth="1"/>
    <col min="15621" max="15621" width="13.875" style="5" customWidth="1"/>
    <col min="15622" max="15622" width="16.375" style="5" customWidth="1"/>
    <col min="15623" max="15623" width="14.5" style="5" customWidth="1"/>
    <col min="15624" max="15624" width="12.5" style="5" customWidth="1"/>
    <col min="15625" max="15625" width="13.875" style="5" customWidth="1"/>
    <col min="15626" max="15872" width="8.875" style="5"/>
    <col min="15873" max="15873" width="15.125" style="5" customWidth="1"/>
    <col min="15874" max="15874" width="14.125" style="5" customWidth="1"/>
    <col min="15875" max="15875" width="14.375" style="5" customWidth="1"/>
    <col min="15876" max="15876" width="12.625" style="5" customWidth="1"/>
    <col min="15877" max="15877" width="13.875" style="5" customWidth="1"/>
    <col min="15878" max="15878" width="16.375" style="5" customWidth="1"/>
    <col min="15879" max="15879" width="14.5" style="5" customWidth="1"/>
    <col min="15880" max="15880" width="12.5" style="5" customWidth="1"/>
    <col min="15881" max="15881" width="13.875" style="5" customWidth="1"/>
    <col min="15882" max="16128" width="8.875" style="5"/>
    <col min="16129" max="16129" width="15.125" style="5" customWidth="1"/>
    <col min="16130" max="16130" width="14.125" style="5" customWidth="1"/>
    <col min="16131" max="16131" width="14.375" style="5" customWidth="1"/>
    <col min="16132" max="16132" width="12.625" style="5" customWidth="1"/>
    <col min="16133" max="16133" width="13.875" style="5" customWidth="1"/>
    <col min="16134" max="16134" width="16.375" style="5" customWidth="1"/>
    <col min="16135" max="16135" width="14.5" style="5" customWidth="1"/>
    <col min="16136" max="16136" width="12.5" style="5" customWidth="1"/>
    <col min="16137" max="16137" width="13.875" style="5" customWidth="1"/>
    <col min="16138" max="16384" width="8.875" style="5"/>
  </cols>
  <sheetData>
    <row r="1" spans="1:9" ht="19.5">
      <c r="A1" s="561" t="s">
        <v>491</v>
      </c>
      <c r="B1" s="561"/>
      <c r="C1" s="561"/>
      <c r="D1" s="561"/>
      <c r="E1" s="561"/>
      <c r="F1" s="561"/>
      <c r="G1" s="561"/>
      <c r="H1" s="561"/>
      <c r="I1" s="561"/>
    </row>
    <row r="2" spans="1:9" ht="12" customHeight="1"/>
    <row r="3" spans="1:9">
      <c r="A3" s="62" t="s">
        <v>0</v>
      </c>
      <c r="B3" s="63"/>
      <c r="C3" s="63"/>
      <c r="D3" s="171"/>
      <c r="E3" s="63"/>
      <c r="F3" s="63"/>
      <c r="G3" s="63"/>
      <c r="H3" s="63"/>
      <c r="I3" s="171"/>
    </row>
    <row r="4" spans="1:9">
      <c r="A4" s="8" t="s">
        <v>480</v>
      </c>
      <c r="B4" s="8" t="s">
        <v>481</v>
      </c>
      <c r="C4" s="8" t="s">
        <v>485</v>
      </c>
      <c r="D4" s="9" t="s">
        <v>1</v>
      </c>
      <c r="E4" s="10" t="s">
        <v>483</v>
      </c>
      <c r="F4" s="11" t="s">
        <v>2</v>
      </c>
      <c r="G4" s="8" t="s">
        <v>484</v>
      </c>
      <c r="H4" s="11" t="s">
        <v>2</v>
      </c>
      <c r="I4" s="172" t="s">
        <v>55</v>
      </c>
    </row>
    <row r="5" spans="1:9">
      <c r="A5" s="14"/>
      <c r="B5" s="14" t="s">
        <v>3</v>
      </c>
      <c r="C5" s="8" t="s">
        <v>4</v>
      </c>
      <c r="D5" s="9" t="s">
        <v>4</v>
      </c>
      <c r="E5" s="11" t="s">
        <v>3</v>
      </c>
      <c r="F5" s="11"/>
      <c r="G5" s="8" t="s">
        <v>56</v>
      </c>
      <c r="H5" s="8"/>
      <c r="I5" s="12" t="s">
        <v>4</v>
      </c>
    </row>
    <row r="6" spans="1:9">
      <c r="A6" s="173" t="s">
        <v>5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6</v>
      </c>
      <c r="B7" s="21">
        <f>SUM(B8:B10)</f>
        <v>3</v>
      </c>
      <c r="C7" s="22">
        <f>SUM(C8:C10)</f>
        <v>391</v>
      </c>
      <c r="D7" s="23">
        <f>IF(B7,C7/B7,0)</f>
        <v>130.33333333333334</v>
      </c>
      <c r="E7" s="22">
        <f>SUM(E8:E10)</f>
        <v>41</v>
      </c>
      <c r="F7" s="24">
        <f>E7/$E$66</f>
        <v>5.0698025250089647E-4</v>
      </c>
      <c r="G7" s="22">
        <f>SUM(G8:G10)</f>
        <v>158096</v>
      </c>
      <c r="H7" s="24">
        <f>G7/$G$66</f>
        <v>1.3366830449006661E-2</v>
      </c>
      <c r="I7" s="25">
        <f>IF(E7,G7/E7,0)</f>
        <v>3856</v>
      </c>
    </row>
    <row r="8" spans="1:9">
      <c r="A8" s="26" t="s">
        <v>387</v>
      </c>
      <c r="B8" s="27">
        <f>VLOOKUP(A8,[7]進出口值表查詢結果!$A$2:$C$13,3,0)</f>
        <v>3</v>
      </c>
      <c r="C8" s="28">
        <f>VLOOKUP(A8,[7]進出口值表查詢結果!$A$2:$C$13,2,0)</f>
        <v>391</v>
      </c>
      <c r="D8" s="23">
        <f t="shared" ref="D8:D66" si="0">IF(B8,C8/B8,0)</f>
        <v>130.33333333333334</v>
      </c>
      <c r="E8" s="28">
        <f>VLOOKUP(A8,[8]進出口值表查詢結果!$A$2:$C$20,3,0)</f>
        <v>41</v>
      </c>
      <c r="F8" s="24">
        <f>E8/$E$66</f>
        <v>5.0698025250089647E-4</v>
      </c>
      <c r="G8" s="28">
        <f>VLOOKUP(A8,[8]進出口值表查詢結果!$A$2:$C$20,2,0)</f>
        <v>158096</v>
      </c>
      <c r="H8" s="24">
        <f>G8/$G$66</f>
        <v>1.3366830449006661E-2</v>
      </c>
      <c r="I8" s="25">
        <f t="shared" ref="I8:I66" si="1">IF(E8,G8/E8,0)</f>
        <v>3856</v>
      </c>
    </row>
    <row r="9" spans="1:9">
      <c r="A9" s="30" t="s">
        <v>7</v>
      </c>
      <c r="B9" s="27">
        <v>0</v>
      </c>
      <c r="C9" s="28">
        <v>0</v>
      </c>
      <c r="D9" s="23">
        <f t="shared" si="0"/>
        <v>0</v>
      </c>
      <c r="E9" s="28">
        <v>0</v>
      </c>
      <c r="F9" s="24">
        <f>E9/$E$66</f>
        <v>0</v>
      </c>
      <c r="G9" s="28">
        <v>0</v>
      </c>
      <c r="H9" s="24">
        <f>G9/$G$66</f>
        <v>0</v>
      </c>
      <c r="I9" s="25">
        <f t="shared" si="1"/>
        <v>0</v>
      </c>
    </row>
    <row r="10" spans="1:9">
      <c r="A10" s="30" t="s">
        <v>8</v>
      </c>
      <c r="B10" s="27">
        <v>0</v>
      </c>
      <c r="C10" s="28">
        <v>0</v>
      </c>
      <c r="D10" s="23">
        <f t="shared" si="0"/>
        <v>0</v>
      </c>
      <c r="E10" s="28">
        <v>0</v>
      </c>
      <c r="F10" s="24">
        <f>E10/$E$66</f>
        <v>0</v>
      </c>
      <c r="G10" s="28">
        <v>0</v>
      </c>
      <c r="H10" s="24">
        <f>G10/$G$66</f>
        <v>0</v>
      </c>
      <c r="I10" s="25">
        <f t="shared" si="1"/>
        <v>0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9</v>
      </c>
      <c r="B12" s="33">
        <f>SUM(B13:B39)</f>
        <v>48</v>
      </c>
      <c r="C12" s="33">
        <f>SUM(C13:C39)</f>
        <v>130765</v>
      </c>
      <c r="D12" s="23">
        <f t="shared" si="0"/>
        <v>2724.2708333333335</v>
      </c>
      <c r="E12" s="33">
        <f>SUM(E13:E39)</f>
        <v>196</v>
      </c>
      <c r="F12" s="24">
        <f t="shared" ref="F12:F39" si="2">E12/$E$66</f>
        <v>2.4236129143945296E-3</v>
      </c>
      <c r="G12" s="33">
        <f>SUM(G13:G39)</f>
        <v>443837</v>
      </c>
      <c r="H12" s="24">
        <f t="shared" ref="H12:H39" si="3">G12/$G$66</f>
        <v>3.7525895190237385E-2</v>
      </c>
      <c r="I12" s="25">
        <f t="shared" si="1"/>
        <v>2264.4744897959185</v>
      </c>
    </row>
    <row r="13" spans="1:9">
      <c r="A13" s="449" t="s">
        <v>201</v>
      </c>
      <c r="B13" s="27">
        <v>0</v>
      </c>
      <c r="C13" s="28">
        <v>0</v>
      </c>
      <c r="D13" s="23">
        <f t="shared" si="0"/>
        <v>0</v>
      </c>
      <c r="E13" s="28">
        <v>0</v>
      </c>
      <c r="F13" s="24">
        <f t="shared" si="2"/>
        <v>0</v>
      </c>
      <c r="G13" s="28">
        <v>0</v>
      </c>
      <c r="H13" s="24">
        <f t="shared" si="3"/>
        <v>0</v>
      </c>
      <c r="I13" s="25">
        <f t="shared" si="1"/>
        <v>0</v>
      </c>
    </row>
    <row r="14" spans="1:9">
      <c r="A14" s="449" t="s">
        <v>202</v>
      </c>
      <c r="B14" s="27">
        <f>VLOOKUP(A14,[7]進出口值表查詢結果!$A$2:$C$13,3,0)</f>
        <v>5</v>
      </c>
      <c r="C14" s="28">
        <f>VLOOKUP(A14,[7]進出口值表查詢結果!$A$2:$C$13,2,0)</f>
        <v>38750</v>
      </c>
      <c r="D14" s="23">
        <f t="shared" si="0"/>
        <v>7750</v>
      </c>
      <c r="E14" s="28">
        <f>VLOOKUP(A14,[8]進出口值表查詢結果!$A$2:$C$20,3,0)</f>
        <v>36</v>
      </c>
      <c r="F14" s="24">
        <f t="shared" si="2"/>
        <v>4.4515339243981155E-4</v>
      </c>
      <c r="G14" s="28">
        <f>VLOOKUP(A14,[8]進出口值表查詢結果!$A$2:$C$20,2,0)</f>
        <v>203929</v>
      </c>
      <c r="H14" s="24">
        <f t="shared" si="3"/>
        <v>1.7241956574710806E-2</v>
      </c>
      <c r="I14" s="25">
        <f t="shared" si="1"/>
        <v>5664.6944444444443</v>
      </c>
    </row>
    <row r="15" spans="1:9">
      <c r="A15" s="450" t="s">
        <v>10</v>
      </c>
      <c r="B15" s="27">
        <v>0</v>
      </c>
      <c r="C15" s="28">
        <v>0</v>
      </c>
      <c r="D15" s="23">
        <f t="shared" si="0"/>
        <v>0</v>
      </c>
      <c r="E15" s="28">
        <f>VLOOKUP(A15,[8]進出口值表查詢結果!$A$2:$C$20,3,0)</f>
        <v>4</v>
      </c>
      <c r="F15" s="24">
        <f t="shared" si="2"/>
        <v>4.9461488048867948E-5</v>
      </c>
      <c r="G15" s="28">
        <f>VLOOKUP(A15,[8]進出口值表查詢結果!$A$2:$C$20,2,0)</f>
        <v>10236</v>
      </c>
      <c r="H15" s="24">
        <f t="shared" si="3"/>
        <v>8.6544173461714521E-4</v>
      </c>
      <c r="I15" s="25">
        <f t="shared" si="1"/>
        <v>2559</v>
      </c>
    </row>
    <row r="16" spans="1:9">
      <c r="A16" s="449" t="s">
        <v>203</v>
      </c>
      <c r="B16" s="27">
        <v>0</v>
      </c>
      <c r="C16" s="28">
        <v>0</v>
      </c>
      <c r="D16" s="23">
        <f t="shared" si="0"/>
        <v>0</v>
      </c>
      <c r="E16" s="28">
        <f>VLOOKUP(A16,[8]進出口值表查詢結果!$A$2:$C$20,3,0)</f>
        <v>94</v>
      </c>
      <c r="F16" s="24">
        <f t="shared" si="2"/>
        <v>1.1623449691483968E-3</v>
      </c>
      <c r="G16" s="28">
        <f>VLOOKUP(A16,[8]進出口值表查詢結果!$A$2:$C$20,2,0)</f>
        <v>44192</v>
      </c>
      <c r="H16" s="24">
        <f t="shared" si="3"/>
        <v>3.7363815099844548E-3</v>
      </c>
      <c r="I16" s="25">
        <f t="shared" si="1"/>
        <v>470.12765957446811</v>
      </c>
    </row>
    <row r="17" spans="1:9">
      <c r="A17" s="450" t="s">
        <v>11</v>
      </c>
      <c r="B17" s="27">
        <f>VLOOKUP(A17,[7]進出口值表查詢結果!$A$2:$C$13,3,0)</f>
        <v>8</v>
      </c>
      <c r="C17" s="28">
        <f>VLOOKUP(A17,[7]進出口值表查詢結果!$A$2:$C$13,2,0)</f>
        <v>53142</v>
      </c>
      <c r="D17" s="23">
        <f t="shared" si="0"/>
        <v>6642.75</v>
      </c>
      <c r="E17" s="28">
        <f>VLOOKUP(A17,[8]進出口值表查詢結果!$A$2:$C$20,3,0)</f>
        <v>25</v>
      </c>
      <c r="F17" s="24">
        <f t="shared" si="2"/>
        <v>3.091343003054247E-4</v>
      </c>
      <c r="G17" s="28">
        <f>VLOOKUP(A17,[8]進出口值表查詢結果!$A$2:$C$20,2,0)</f>
        <v>143960</v>
      </c>
      <c r="H17" s="24">
        <f t="shared" si="3"/>
        <v>1.2171648311399396E-2</v>
      </c>
      <c r="I17" s="25">
        <f t="shared" si="1"/>
        <v>5758.4</v>
      </c>
    </row>
    <row r="18" spans="1:9">
      <c r="A18" s="450" t="s">
        <v>12</v>
      </c>
      <c r="B18" s="27">
        <f>VLOOKUP(A18,[7]進出口值表查詢結果!$A$2:$C$13,3,0)</f>
        <v>35</v>
      </c>
      <c r="C18" s="28">
        <f>VLOOKUP(A18,[7]進出口值表查詢結果!$A$2:$C$13,2,0)</f>
        <v>38873</v>
      </c>
      <c r="D18" s="23">
        <f t="shared" si="0"/>
        <v>1110.6571428571428</v>
      </c>
      <c r="E18" s="28">
        <f>VLOOKUP(A18,[8]進出口值表查詢結果!$A$2:$C$20,3,0)</f>
        <v>35</v>
      </c>
      <c r="F18" s="24">
        <f t="shared" si="2"/>
        <v>4.3278802042759454E-4</v>
      </c>
      <c r="G18" s="28">
        <f>VLOOKUP(A18,[8]進出口值表查詢結果!$A$2:$C$20,2,0)</f>
        <v>38873</v>
      </c>
      <c r="H18" s="24">
        <f t="shared" si="3"/>
        <v>3.2866663295986992E-3</v>
      </c>
      <c r="I18" s="25">
        <f t="shared" si="1"/>
        <v>1110.6571428571428</v>
      </c>
    </row>
    <row r="19" spans="1:9">
      <c r="A19" s="449" t="s">
        <v>204</v>
      </c>
      <c r="B19" s="27">
        <v>0</v>
      </c>
      <c r="C19" s="28">
        <v>0</v>
      </c>
      <c r="D19" s="23">
        <f t="shared" si="0"/>
        <v>0</v>
      </c>
      <c r="E19" s="28">
        <v>0</v>
      </c>
      <c r="F19" s="24">
        <f t="shared" si="2"/>
        <v>0</v>
      </c>
      <c r="G19" s="28">
        <v>0</v>
      </c>
      <c r="H19" s="24">
        <f t="shared" si="3"/>
        <v>0</v>
      </c>
      <c r="I19" s="25">
        <f t="shared" si="1"/>
        <v>0</v>
      </c>
    </row>
    <row r="20" spans="1:9">
      <c r="A20" s="450" t="s">
        <v>205</v>
      </c>
      <c r="B20" s="27">
        <v>0</v>
      </c>
      <c r="C20" s="28">
        <v>0</v>
      </c>
      <c r="D20" s="23">
        <f t="shared" si="0"/>
        <v>0</v>
      </c>
      <c r="E20" s="28">
        <v>0</v>
      </c>
      <c r="F20" s="24">
        <f t="shared" si="2"/>
        <v>0</v>
      </c>
      <c r="G20" s="28">
        <v>0</v>
      </c>
      <c r="H20" s="24">
        <f t="shared" si="3"/>
        <v>0</v>
      </c>
      <c r="I20" s="25">
        <f t="shared" si="1"/>
        <v>0</v>
      </c>
    </row>
    <row r="21" spans="1:9">
      <c r="A21" s="449" t="s">
        <v>206</v>
      </c>
      <c r="B21" s="27">
        <v>0</v>
      </c>
      <c r="C21" s="28">
        <v>0</v>
      </c>
      <c r="D21" s="23">
        <f t="shared" si="0"/>
        <v>0</v>
      </c>
      <c r="E21" s="28">
        <v>0</v>
      </c>
      <c r="F21" s="24">
        <f t="shared" si="2"/>
        <v>0</v>
      </c>
      <c r="G21" s="28">
        <v>0</v>
      </c>
      <c r="H21" s="24">
        <f t="shared" si="3"/>
        <v>0</v>
      </c>
      <c r="I21" s="25">
        <f t="shared" si="1"/>
        <v>0</v>
      </c>
    </row>
    <row r="22" spans="1:9">
      <c r="A22" s="450" t="s">
        <v>14</v>
      </c>
      <c r="B22" s="27">
        <v>0</v>
      </c>
      <c r="C22" s="28">
        <v>0</v>
      </c>
      <c r="D22" s="23">
        <f t="shared" si="0"/>
        <v>0</v>
      </c>
      <c r="E22" s="28">
        <v>0</v>
      </c>
      <c r="F22" s="24">
        <f t="shared" si="2"/>
        <v>0</v>
      </c>
      <c r="G22" s="28">
        <v>0</v>
      </c>
      <c r="H22" s="24">
        <f t="shared" si="3"/>
        <v>0</v>
      </c>
      <c r="I22" s="25">
        <f t="shared" si="1"/>
        <v>0</v>
      </c>
    </row>
    <row r="23" spans="1:9">
      <c r="A23" s="450" t="s">
        <v>15</v>
      </c>
      <c r="B23" s="27">
        <v>0</v>
      </c>
      <c r="C23" s="28">
        <v>0</v>
      </c>
      <c r="D23" s="23">
        <f t="shared" si="0"/>
        <v>0</v>
      </c>
      <c r="E23" s="28">
        <v>0</v>
      </c>
      <c r="F23" s="24">
        <f t="shared" si="2"/>
        <v>0</v>
      </c>
      <c r="G23" s="28">
        <v>0</v>
      </c>
      <c r="H23" s="24">
        <f t="shared" si="3"/>
        <v>0</v>
      </c>
      <c r="I23" s="25">
        <f t="shared" si="1"/>
        <v>0</v>
      </c>
    </row>
    <row r="24" spans="1:9">
      <c r="A24" s="450" t="s">
        <v>16</v>
      </c>
      <c r="B24" s="27">
        <v>0</v>
      </c>
      <c r="C24" s="28">
        <v>0</v>
      </c>
      <c r="D24" s="23">
        <f t="shared" si="0"/>
        <v>0</v>
      </c>
      <c r="E24" s="28">
        <v>0</v>
      </c>
      <c r="F24" s="24">
        <f t="shared" si="2"/>
        <v>0</v>
      </c>
      <c r="G24" s="28">
        <v>0</v>
      </c>
      <c r="H24" s="24">
        <f t="shared" si="3"/>
        <v>0</v>
      </c>
      <c r="I24" s="25">
        <f t="shared" si="1"/>
        <v>0</v>
      </c>
    </row>
    <row r="25" spans="1:9">
      <c r="A25" s="449" t="s">
        <v>207</v>
      </c>
      <c r="B25" s="27">
        <v>0</v>
      </c>
      <c r="C25" s="28">
        <v>0</v>
      </c>
      <c r="D25" s="23">
        <f t="shared" si="0"/>
        <v>0</v>
      </c>
      <c r="E25" s="28">
        <v>0</v>
      </c>
      <c r="F25" s="24">
        <f t="shared" si="2"/>
        <v>0</v>
      </c>
      <c r="G25" s="28">
        <v>0</v>
      </c>
      <c r="H25" s="24">
        <f t="shared" si="3"/>
        <v>0</v>
      </c>
      <c r="I25" s="25">
        <f t="shared" si="1"/>
        <v>0</v>
      </c>
    </row>
    <row r="26" spans="1:9">
      <c r="A26" s="449" t="s">
        <v>208</v>
      </c>
      <c r="B26" s="27">
        <v>0</v>
      </c>
      <c r="C26" s="28">
        <v>0</v>
      </c>
      <c r="D26" s="23">
        <f t="shared" si="0"/>
        <v>0</v>
      </c>
      <c r="E26" s="28">
        <v>0</v>
      </c>
      <c r="F26" s="24">
        <f t="shared" si="2"/>
        <v>0</v>
      </c>
      <c r="G26" s="28">
        <v>0</v>
      </c>
      <c r="H26" s="24">
        <f t="shared" si="3"/>
        <v>0</v>
      </c>
      <c r="I26" s="25">
        <f t="shared" si="1"/>
        <v>0</v>
      </c>
    </row>
    <row r="27" spans="1:9">
      <c r="A27" s="451" t="s">
        <v>209</v>
      </c>
      <c r="B27" s="27">
        <v>0</v>
      </c>
      <c r="C27" s="28">
        <v>0</v>
      </c>
      <c r="D27" s="23">
        <f t="shared" si="0"/>
        <v>0</v>
      </c>
      <c r="E27" s="28">
        <v>0</v>
      </c>
      <c r="F27" s="24">
        <f t="shared" si="2"/>
        <v>0</v>
      </c>
      <c r="G27" s="28">
        <v>0</v>
      </c>
      <c r="H27" s="24">
        <f t="shared" si="3"/>
        <v>0</v>
      </c>
      <c r="I27" s="25">
        <f t="shared" si="1"/>
        <v>0</v>
      </c>
    </row>
    <row r="28" spans="1:9">
      <c r="A28" s="451" t="s">
        <v>210</v>
      </c>
      <c r="B28" s="27">
        <v>0</v>
      </c>
      <c r="C28" s="28">
        <v>0</v>
      </c>
      <c r="D28" s="23">
        <f t="shared" si="0"/>
        <v>0</v>
      </c>
      <c r="E28" s="28">
        <v>0</v>
      </c>
      <c r="F28" s="24">
        <f t="shared" si="2"/>
        <v>0</v>
      </c>
      <c r="G28" s="28">
        <v>0</v>
      </c>
      <c r="H28" s="24">
        <f t="shared" si="3"/>
        <v>0</v>
      </c>
      <c r="I28" s="25">
        <f t="shared" si="1"/>
        <v>0</v>
      </c>
    </row>
    <row r="29" spans="1:9">
      <c r="A29" s="450" t="s">
        <v>211</v>
      </c>
      <c r="B29" s="27">
        <v>0</v>
      </c>
      <c r="C29" s="28">
        <v>0</v>
      </c>
      <c r="D29" s="23">
        <f t="shared" si="0"/>
        <v>0</v>
      </c>
      <c r="E29" s="28">
        <v>0</v>
      </c>
      <c r="F29" s="24">
        <f t="shared" si="2"/>
        <v>0</v>
      </c>
      <c r="G29" s="28">
        <v>0</v>
      </c>
      <c r="H29" s="24">
        <f t="shared" si="3"/>
        <v>0</v>
      </c>
      <c r="I29" s="25">
        <f t="shared" si="1"/>
        <v>0</v>
      </c>
    </row>
    <row r="30" spans="1:9">
      <c r="A30" s="450" t="s">
        <v>212</v>
      </c>
      <c r="B30" s="27">
        <v>0</v>
      </c>
      <c r="C30" s="28">
        <v>0</v>
      </c>
      <c r="D30" s="23">
        <f t="shared" si="0"/>
        <v>0</v>
      </c>
      <c r="E30" s="28">
        <v>0</v>
      </c>
      <c r="F30" s="543">
        <f t="shared" si="2"/>
        <v>0</v>
      </c>
      <c r="G30" s="28">
        <v>0</v>
      </c>
      <c r="H30" s="543">
        <f t="shared" si="3"/>
        <v>0</v>
      </c>
      <c r="I30" s="544">
        <f t="shared" si="1"/>
        <v>0</v>
      </c>
    </row>
    <row r="31" spans="1:9">
      <c r="A31" s="450" t="s">
        <v>17</v>
      </c>
      <c r="B31" s="27">
        <v>0</v>
      </c>
      <c r="C31" s="28">
        <v>0</v>
      </c>
      <c r="D31" s="23">
        <f t="shared" si="0"/>
        <v>0</v>
      </c>
      <c r="E31" s="28">
        <v>0</v>
      </c>
      <c r="F31" s="543">
        <f t="shared" si="2"/>
        <v>0</v>
      </c>
      <c r="G31" s="28">
        <v>0</v>
      </c>
      <c r="H31" s="543">
        <f t="shared" si="3"/>
        <v>0</v>
      </c>
      <c r="I31" s="544">
        <f t="shared" si="1"/>
        <v>0</v>
      </c>
    </row>
    <row r="32" spans="1:9">
      <c r="A32" s="450" t="s">
        <v>18</v>
      </c>
      <c r="B32" s="27">
        <v>0</v>
      </c>
      <c r="C32" s="28">
        <v>0</v>
      </c>
      <c r="D32" s="23">
        <f t="shared" si="0"/>
        <v>0</v>
      </c>
      <c r="E32" s="28">
        <f>VLOOKUP(A32,[8]進出口值表查詢結果!$A$2:$C$20,3,0)</f>
        <v>2</v>
      </c>
      <c r="F32" s="543">
        <f t="shared" si="2"/>
        <v>2.4730744024433974E-5</v>
      </c>
      <c r="G32" s="28">
        <f>VLOOKUP(A32,[8]進出口值表查詢結果!$A$2:$C$20,2,0)</f>
        <v>2647</v>
      </c>
      <c r="H32" s="543">
        <f t="shared" si="3"/>
        <v>2.2380072992688387E-4</v>
      </c>
      <c r="I32" s="544">
        <f t="shared" si="1"/>
        <v>1323.5</v>
      </c>
    </row>
    <row r="33" spans="1:9">
      <c r="A33" s="450" t="s">
        <v>213</v>
      </c>
      <c r="B33" s="27">
        <v>0</v>
      </c>
      <c r="C33" s="28">
        <v>0</v>
      </c>
      <c r="D33" s="23">
        <f t="shared" si="0"/>
        <v>0</v>
      </c>
      <c r="E33" s="28">
        <v>0</v>
      </c>
      <c r="F33" s="543">
        <f t="shared" si="2"/>
        <v>0</v>
      </c>
      <c r="G33" s="28">
        <v>0</v>
      </c>
      <c r="H33" s="543">
        <f t="shared" si="3"/>
        <v>0</v>
      </c>
      <c r="I33" s="544">
        <f t="shared" si="1"/>
        <v>0</v>
      </c>
    </row>
    <row r="34" spans="1:9">
      <c r="A34" s="450" t="s">
        <v>214</v>
      </c>
      <c r="B34" s="27">
        <v>0</v>
      </c>
      <c r="C34" s="28">
        <v>0</v>
      </c>
      <c r="D34" s="23">
        <f t="shared" si="0"/>
        <v>0</v>
      </c>
      <c r="E34" s="28">
        <v>0</v>
      </c>
      <c r="F34" s="543">
        <f t="shared" si="2"/>
        <v>0</v>
      </c>
      <c r="G34" s="28">
        <v>0</v>
      </c>
      <c r="H34" s="543">
        <f t="shared" si="3"/>
        <v>0</v>
      </c>
      <c r="I34" s="544">
        <f t="shared" si="1"/>
        <v>0</v>
      </c>
    </row>
    <row r="35" spans="1:9">
      <c r="A35" s="450" t="s">
        <v>215</v>
      </c>
      <c r="B35" s="27">
        <v>0</v>
      </c>
      <c r="C35" s="28">
        <v>0</v>
      </c>
      <c r="D35" s="23">
        <f t="shared" si="0"/>
        <v>0</v>
      </c>
      <c r="E35" s="28">
        <v>0</v>
      </c>
      <c r="F35" s="543">
        <f t="shared" si="2"/>
        <v>0</v>
      </c>
      <c r="G35" s="28">
        <v>0</v>
      </c>
      <c r="H35" s="543">
        <f t="shared" si="3"/>
        <v>0</v>
      </c>
      <c r="I35" s="544">
        <f t="shared" si="1"/>
        <v>0</v>
      </c>
    </row>
    <row r="36" spans="1:9">
      <c r="A36" s="450" t="s">
        <v>216</v>
      </c>
      <c r="B36" s="27">
        <v>0</v>
      </c>
      <c r="C36" s="28">
        <v>0</v>
      </c>
      <c r="D36" s="23">
        <f t="shared" si="0"/>
        <v>0</v>
      </c>
      <c r="E36" s="28">
        <v>0</v>
      </c>
      <c r="F36" s="24">
        <f t="shared" si="2"/>
        <v>0</v>
      </c>
      <c r="G36" s="28">
        <v>0</v>
      </c>
      <c r="H36" s="24">
        <f t="shared" si="3"/>
        <v>0</v>
      </c>
      <c r="I36" s="25">
        <f t="shared" si="1"/>
        <v>0</v>
      </c>
    </row>
    <row r="37" spans="1:9">
      <c r="A37" s="450" t="s">
        <v>217</v>
      </c>
      <c r="B37" s="27">
        <v>0</v>
      </c>
      <c r="C37" s="28">
        <v>0</v>
      </c>
      <c r="D37" s="23">
        <f t="shared" si="0"/>
        <v>0</v>
      </c>
      <c r="E37" s="28">
        <v>0</v>
      </c>
      <c r="F37" s="24">
        <f t="shared" si="2"/>
        <v>0</v>
      </c>
      <c r="G37" s="28">
        <v>0</v>
      </c>
      <c r="H37" s="24">
        <f t="shared" si="3"/>
        <v>0</v>
      </c>
      <c r="I37" s="25">
        <f t="shared" si="1"/>
        <v>0</v>
      </c>
    </row>
    <row r="38" spans="1:9">
      <c r="A38" s="450" t="s">
        <v>218</v>
      </c>
      <c r="B38" s="27">
        <v>0</v>
      </c>
      <c r="C38" s="28">
        <v>0</v>
      </c>
      <c r="D38" s="23">
        <f t="shared" si="0"/>
        <v>0</v>
      </c>
      <c r="E38" s="28">
        <v>0</v>
      </c>
      <c r="F38" s="24">
        <f t="shared" si="2"/>
        <v>0</v>
      </c>
      <c r="G38" s="28">
        <v>0</v>
      </c>
      <c r="H38" s="24">
        <f t="shared" si="3"/>
        <v>0</v>
      </c>
      <c r="I38" s="25">
        <f t="shared" si="1"/>
        <v>0</v>
      </c>
    </row>
    <row r="39" spans="1:9">
      <c r="A39" s="450" t="s">
        <v>19</v>
      </c>
      <c r="B39" s="27">
        <v>0</v>
      </c>
      <c r="C39" s="28">
        <v>0</v>
      </c>
      <c r="D39" s="23">
        <f t="shared" si="0"/>
        <v>0</v>
      </c>
      <c r="E39" s="28">
        <v>0</v>
      </c>
      <c r="F39" s="24">
        <f t="shared" si="2"/>
        <v>0</v>
      </c>
      <c r="G39" s="28">
        <v>0</v>
      </c>
      <c r="H39" s="24">
        <f t="shared" si="3"/>
        <v>0</v>
      </c>
      <c r="I39" s="25">
        <f t="shared" si="1"/>
        <v>0</v>
      </c>
    </row>
    <row r="40" spans="1:9">
      <c r="A40" s="30"/>
      <c r="B40" s="27"/>
      <c r="C40" s="27"/>
      <c r="D40" s="23"/>
      <c r="E40" s="27"/>
      <c r="F40" s="24"/>
      <c r="G40" s="28"/>
      <c r="H40" s="29"/>
      <c r="I40" s="25"/>
    </row>
    <row r="41" spans="1:9" ht="15" customHeight="1">
      <c r="A41" s="36" t="s">
        <v>20</v>
      </c>
      <c r="B41" s="33">
        <f>SUM(B42:B45)</f>
        <v>0</v>
      </c>
      <c r="C41" s="33">
        <f>SUM(C42:C45)</f>
        <v>0</v>
      </c>
      <c r="D41" s="23">
        <f t="shared" si="0"/>
        <v>0</v>
      </c>
      <c r="E41" s="33">
        <f>SUM(E42:E45)</f>
        <v>0</v>
      </c>
      <c r="F41" s="24">
        <f>E41/$E$66</f>
        <v>0</v>
      </c>
      <c r="G41" s="28">
        <f>SUM(G42:G45)</f>
        <v>0</v>
      </c>
      <c r="H41" s="24">
        <f>G41/$G$66</f>
        <v>0</v>
      </c>
      <c r="I41" s="25">
        <f t="shared" si="1"/>
        <v>0</v>
      </c>
    </row>
    <row r="42" spans="1:9">
      <c r="A42" s="26" t="s">
        <v>219</v>
      </c>
      <c r="B42" s="27">
        <v>0</v>
      </c>
      <c r="C42" s="28">
        <v>0</v>
      </c>
      <c r="D42" s="23">
        <f t="shared" si="0"/>
        <v>0</v>
      </c>
      <c r="E42" s="28">
        <v>0</v>
      </c>
      <c r="F42" s="24">
        <f>E42/$E$66</f>
        <v>0</v>
      </c>
      <c r="G42" s="28">
        <v>0</v>
      </c>
      <c r="H42" s="24">
        <f>G42/$G$66</f>
        <v>0</v>
      </c>
      <c r="I42" s="25">
        <f t="shared" si="1"/>
        <v>0</v>
      </c>
    </row>
    <row r="43" spans="1:9">
      <c r="A43" s="26" t="s">
        <v>220</v>
      </c>
      <c r="B43" s="27">
        <v>0</v>
      </c>
      <c r="C43" s="28">
        <v>0</v>
      </c>
      <c r="D43" s="23">
        <f t="shared" si="0"/>
        <v>0</v>
      </c>
      <c r="E43" s="28">
        <v>0</v>
      </c>
      <c r="F43" s="24">
        <f>E43/$E$66</f>
        <v>0</v>
      </c>
      <c r="G43" s="28">
        <v>0</v>
      </c>
      <c r="H43" s="24">
        <f>G43/$G$66</f>
        <v>0</v>
      </c>
      <c r="I43" s="25">
        <f t="shared" si="1"/>
        <v>0</v>
      </c>
    </row>
    <row r="44" spans="1:9">
      <c r="A44" s="26" t="s">
        <v>221</v>
      </c>
      <c r="B44" s="27">
        <v>0</v>
      </c>
      <c r="C44" s="28">
        <v>0</v>
      </c>
      <c r="D44" s="23">
        <f t="shared" si="0"/>
        <v>0</v>
      </c>
      <c r="E44" s="28">
        <v>0</v>
      </c>
      <c r="F44" s="24">
        <f>E44/$E$66</f>
        <v>0</v>
      </c>
      <c r="G44" s="28">
        <v>0</v>
      </c>
      <c r="H44" s="24">
        <f>G44/$G$66</f>
        <v>0</v>
      </c>
      <c r="I44" s="25">
        <f t="shared" si="1"/>
        <v>0</v>
      </c>
    </row>
    <row r="45" spans="1:9">
      <c r="A45" s="30" t="s">
        <v>21</v>
      </c>
      <c r="B45" s="27">
        <v>0</v>
      </c>
      <c r="C45" s="28">
        <v>0</v>
      </c>
      <c r="D45" s="23">
        <f t="shared" si="0"/>
        <v>0</v>
      </c>
      <c r="E45" s="28">
        <v>0</v>
      </c>
      <c r="F45" s="24">
        <f>E45/$E$66</f>
        <v>0</v>
      </c>
      <c r="G45" s="28">
        <v>0</v>
      </c>
      <c r="H45" s="24">
        <f>G45/$G$66</f>
        <v>0</v>
      </c>
      <c r="I45" s="25">
        <f t="shared" si="1"/>
        <v>0</v>
      </c>
    </row>
    <row r="46" spans="1:9">
      <c r="A46" s="30"/>
      <c r="B46" s="27"/>
      <c r="C46" s="27"/>
      <c r="D46" s="23"/>
      <c r="E46" s="28"/>
      <c r="F46" s="29"/>
      <c r="G46" s="27"/>
      <c r="H46" s="29"/>
      <c r="I46" s="25"/>
    </row>
    <row r="47" spans="1:9" ht="18.600000000000001" customHeight="1">
      <c r="A47" s="36" t="s">
        <v>22</v>
      </c>
      <c r="B47" s="33">
        <f>SUM(B48:B64)</f>
        <v>18355</v>
      </c>
      <c r="C47" s="33">
        <f>SUM(C48:C64)</f>
        <v>2658657</v>
      </c>
      <c r="D47" s="23">
        <f t="shared" si="0"/>
        <v>144.84647235085808</v>
      </c>
      <c r="E47" s="33">
        <f>SUM(E48:E64)</f>
        <v>80567</v>
      </c>
      <c r="F47" s="24">
        <f>E47/$E$66</f>
        <v>0.99624092690828603</v>
      </c>
      <c r="G47" s="33">
        <f>SUM(G48:G64)</f>
        <v>11087435</v>
      </c>
      <c r="H47" s="24">
        <f t="shared" ref="H47:H66" si="4">G47/$G$66</f>
        <v>0.93742956026327151</v>
      </c>
      <c r="I47" s="25">
        <f t="shared" si="1"/>
        <v>137.6175729517048</v>
      </c>
    </row>
    <row r="48" spans="1:9" ht="16.899999999999999" customHeight="1">
      <c r="A48" s="481" t="s">
        <v>162</v>
      </c>
      <c r="B48" s="27">
        <f>VLOOKUP(A48,[7]進出口值表查詢結果!$A$2:$C$13,3,0)</f>
        <v>105</v>
      </c>
      <c r="C48" s="28">
        <f>VLOOKUP(A48,[7]進出口值表查詢結果!$A$2:$C$13,2,0)</f>
        <v>125985</v>
      </c>
      <c r="D48" s="23">
        <f t="shared" si="0"/>
        <v>1199.8571428571429</v>
      </c>
      <c r="E48" s="28">
        <f>VLOOKUP(A48,[8]進出口值表查詢結果!$A$2:$C$20,3,0)</f>
        <v>422</v>
      </c>
      <c r="F48" s="24">
        <f>E48/$E$66</f>
        <v>5.2181869891555687E-3</v>
      </c>
      <c r="G48" s="28">
        <f>VLOOKUP(A48,[8]進出口值表查詢結果!$A$2:$C$20,2,0)</f>
        <v>502523</v>
      </c>
      <c r="H48" s="24">
        <f t="shared" si="4"/>
        <v>4.2487727315847171E-2</v>
      </c>
      <c r="I48" s="25">
        <f t="shared" si="1"/>
        <v>1190.8127962085307</v>
      </c>
    </row>
    <row r="49" spans="1:9">
      <c r="A49" s="26" t="s">
        <v>222</v>
      </c>
      <c r="B49" s="27">
        <f>VLOOKUP(A49,[7]進出口值表查詢結果!$A$2:$C$13,3,0)</f>
        <v>10</v>
      </c>
      <c r="C49" s="28">
        <f>VLOOKUP(A49,[7]進出口值表查詢結果!$A$2:$C$13,2,0)</f>
        <v>3517</v>
      </c>
      <c r="D49" s="23">
        <f t="shared" si="0"/>
        <v>351.7</v>
      </c>
      <c r="E49" s="28">
        <f>VLOOKUP(A49,[8]進出口值表查詢結果!$A$2:$C$20,3,0)</f>
        <v>71</v>
      </c>
      <c r="F49" s="24">
        <f t="shared" ref="F49:F66" si="5">E49/$E$66</f>
        <v>8.7794141286740609E-4</v>
      </c>
      <c r="G49" s="28">
        <f>VLOOKUP(A49,[8]進出口值表查詢結果!$A$2:$C$20,2,0)</f>
        <v>16248</v>
      </c>
      <c r="H49" s="24">
        <f t="shared" si="4"/>
        <v>1.3737492481496068E-3</v>
      </c>
      <c r="I49" s="25">
        <f t="shared" si="1"/>
        <v>228.8450704225352</v>
      </c>
    </row>
    <row r="50" spans="1:9">
      <c r="A50" s="462" t="s">
        <v>223</v>
      </c>
      <c r="B50" s="27">
        <v>0</v>
      </c>
      <c r="C50" s="28">
        <v>0</v>
      </c>
      <c r="D50" s="23">
        <f t="shared" si="0"/>
        <v>0</v>
      </c>
      <c r="E50" s="28">
        <v>0</v>
      </c>
      <c r="F50" s="24">
        <f t="shared" si="5"/>
        <v>0</v>
      </c>
      <c r="G50" s="28">
        <v>0</v>
      </c>
      <c r="H50" s="24">
        <f t="shared" si="4"/>
        <v>0</v>
      </c>
      <c r="I50" s="25">
        <f t="shared" si="1"/>
        <v>0</v>
      </c>
    </row>
    <row r="51" spans="1:9">
      <c r="A51" s="26" t="s">
        <v>224</v>
      </c>
      <c r="B51" s="27">
        <v>0</v>
      </c>
      <c r="C51" s="28">
        <v>0</v>
      </c>
      <c r="D51" s="23">
        <f t="shared" si="0"/>
        <v>0</v>
      </c>
      <c r="E51" s="28">
        <v>0</v>
      </c>
      <c r="F51" s="24">
        <f t="shared" si="5"/>
        <v>0</v>
      </c>
      <c r="G51" s="28">
        <v>0</v>
      </c>
      <c r="H51" s="24">
        <f t="shared" si="4"/>
        <v>0</v>
      </c>
      <c r="I51" s="25">
        <f t="shared" si="1"/>
        <v>0</v>
      </c>
    </row>
    <row r="52" spans="1:9">
      <c r="A52" s="30" t="s">
        <v>23</v>
      </c>
      <c r="B52" s="27">
        <v>0</v>
      </c>
      <c r="C52" s="28">
        <v>0</v>
      </c>
      <c r="D52" s="23">
        <f t="shared" si="0"/>
        <v>0</v>
      </c>
      <c r="E52" s="28">
        <v>0</v>
      </c>
      <c r="F52" s="24">
        <f t="shared" si="5"/>
        <v>0</v>
      </c>
      <c r="G52" s="28">
        <v>0</v>
      </c>
      <c r="H52" s="24">
        <f t="shared" si="4"/>
        <v>0</v>
      </c>
      <c r="I52" s="25">
        <f t="shared" si="1"/>
        <v>0</v>
      </c>
    </row>
    <row r="53" spans="1:9">
      <c r="A53" s="26" t="s">
        <v>225</v>
      </c>
      <c r="B53" s="27">
        <v>0</v>
      </c>
      <c r="C53" s="28">
        <v>0</v>
      </c>
      <c r="D53" s="23">
        <f t="shared" si="0"/>
        <v>0</v>
      </c>
      <c r="E53" s="28">
        <v>0</v>
      </c>
      <c r="F53" s="24">
        <f t="shared" si="5"/>
        <v>0</v>
      </c>
      <c r="G53" s="28">
        <v>0</v>
      </c>
      <c r="H53" s="24">
        <f t="shared" si="4"/>
        <v>0</v>
      </c>
      <c r="I53" s="25">
        <f t="shared" si="1"/>
        <v>0</v>
      </c>
    </row>
    <row r="54" spans="1:9">
      <c r="A54" s="30" t="s">
        <v>111</v>
      </c>
      <c r="B54" s="27">
        <v>0</v>
      </c>
      <c r="C54" s="28">
        <v>0</v>
      </c>
      <c r="D54" s="23">
        <f t="shared" si="0"/>
        <v>0</v>
      </c>
      <c r="E54" s="28">
        <f>VLOOKUP(A54,[8]進出口值表查詢結果!$A$2:$C$20,3,0)</f>
        <v>1</v>
      </c>
      <c r="F54" s="24">
        <f t="shared" si="5"/>
        <v>1.2365372012216987E-5</v>
      </c>
      <c r="G54" s="28">
        <f>VLOOKUP(A54,[8]進出口值表查詢結果!$A$2:$C$20,2,0)</f>
        <v>3105</v>
      </c>
      <c r="H54" s="24">
        <f t="shared" si="4"/>
        <v>2.6252409007290306E-4</v>
      </c>
      <c r="I54" s="25">
        <f t="shared" si="1"/>
        <v>3105</v>
      </c>
    </row>
    <row r="55" spans="1:9">
      <c r="A55" s="30" t="s">
        <v>24</v>
      </c>
      <c r="B55" s="27">
        <v>0</v>
      </c>
      <c r="C55" s="28">
        <v>0</v>
      </c>
      <c r="D55" s="23">
        <f t="shared" si="0"/>
        <v>0</v>
      </c>
      <c r="E55" s="28">
        <v>0</v>
      </c>
      <c r="F55" s="24">
        <f t="shared" si="5"/>
        <v>0</v>
      </c>
      <c r="G55" s="28">
        <v>0</v>
      </c>
      <c r="H55" s="24">
        <f t="shared" si="4"/>
        <v>0</v>
      </c>
      <c r="I55" s="25">
        <f t="shared" si="1"/>
        <v>0</v>
      </c>
    </row>
    <row r="56" spans="1:9">
      <c r="A56" s="294" t="s">
        <v>229</v>
      </c>
      <c r="B56" s="27">
        <f>VLOOKUP(A56,[7]進出口值表查詢結果!$A$2:$C$13,3,0)</f>
        <v>10</v>
      </c>
      <c r="C56" s="28">
        <f>VLOOKUP(A56,[7]進出口值表查詢結果!$A$2:$C$13,2,0)</f>
        <v>47607</v>
      </c>
      <c r="D56" s="23">
        <f t="shared" si="0"/>
        <v>4760.7</v>
      </c>
      <c r="E56" s="28">
        <f>VLOOKUP(A56,[8]進出口值表查詢結果!$A$2:$C$20,3,0)</f>
        <v>313</v>
      </c>
      <c r="F56" s="24">
        <f t="shared" si="5"/>
        <v>3.870361439823917E-3</v>
      </c>
      <c r="G56" s="28">
        <f>VLOOKUP(A56,[8]進出口值表查詢結果!$A$2:$C$20,2,0)</f>
        <v>86137</v>
      </c>
      <c r="H56" s="24">
        <f t="shared" si="4"/>
        <v>7.2827818185538327E-3</v>
      </c>
      <c r="I56" s="25">
        <f t="shared" si="1"/>
        <v>275.19808306709263</v>
      </c>
    </row>
    <row r="57" spans="1:9">
      <c r="A57" s="37" t="s">
        <v>455</v>
      </c>
      <c r="B57" s="27">
        <v>0</v>
      </c>
      <c r="C57" s="28">
        <v>0</v>
      </c>
      <c r="D57" s="23">
        <f t="shared" si="0"/>
        <v>0</v>
      </c>
      <c r="E57" s="28">
        <f>VLOOKUP(A57,[8]進出口值表查詢結果!$A$2:$C$20,3,0)</f>
        <v>117</v>
      </c>
      <c r="F57" s="24">
        <f t="shared" si="5"/>
        <v>1.4467485254293876E-3</v>
      </c>
      <c r="G57" s="28">
        <f>VLOOKUP(A57,[8]進出口值表查詢結果!$A$2:$C$20,2,0)</f>
        <v>54195</v>
      </c>
      <c r="H57" s="24">
        <f t="shared" si="4"/>
        <v>4.5821233692434722E-3</v>
      </c>
      <c r="I57" s="25">
        <f t="shared" si="1"/>
        <v>463.20512820512823</v>
      </c>
    </row>
    <row r="58" spans="1:9">
      <c r="A58" s="37" t="s">
        <v>388</v>
      </c>
      <c r="B58" s="27">
        <f>VLOOKUP(A58,[7]進出口值表查詢結果!$A$2:$C$13,3,0)</f>
        <v>788</v>
      </c>
      <c r="C58" s="28">
        <f>VLOOKUP(A58,[7]進出口值表查詢結果!$A$2:$C$13,2,0)</f>
        <v>579552</v>
      </c>
      <c r="D58" s="23">
        <f t="shared" si="0"/>
        <v>735.47208121827407</v>
      </c>
      <c r="E58" s="28">
        <f>VLOOKUP(A58,[8]進出口值表查詢結果!$A$2:$C$20,3,0)</f>
        <v>1853</v>
      </c>
      <c r="F58" s="24">
        <f t="shared" si="5"/>
        <v>2.2913034338638078E-2</v>
      </c>
      <c r="G58" s="28">
        <f>VLOOKUP(A58,[8]進出口值表查詢結果!$A$2:$C$20,2,0)</f>
        <v>1530441</v>
      </c>
      <c r="H58" s="24">
        <f t="shared" si="4"/>
        <v>0.12939698258784665</v>
      </c>
      <c r="I58" s="25">
        <f t="shared" si="1"/>
        <v>825.92606583917973</v>
      </c>
    </row>
    <row r="59" spans="1:9">
      <c r="A59" s="37" t="s">
        <v>112</v>
      </c>
      <c r="B59" s="27">
        <v>0</v>
      </c>
      <c r="C59" s="28">
        <v>0</v>
      </c>
      <c r="D59" s="23">
        <f t="shared" si="0"/>
        <v>0</v>
      </c>
      <c r="E59" s="28">
        <f>VLOOKUP(A59,[8]進出口值表查詢結果!$A$2:$C$20,3,0)</f>
        <v>1428</v>
      </c>
      <c r="F59" s="24">
        <f t="shared" si="5"/>
        <v>1.7657751233445859E-2</v>
      </c>
      <c r="G59" s="28">
        <f>VLOOKUP(A59,[8]進出口值表查詢結果!$A$2:$C$20,2,0)</f>
        <v>1219513</v>
      </c>
      <c r="H59" s="24">
        <f t="shared" si="4"/>
        <v>0.10310838668504871</v>
      </c>
      <c r="I59" s="25">
        <f t="shared" si="1"/>
        <v>854.00070028011203</v>
      </c>
    </row>
    <row r="60" spans="1:9">
      <c r="A60" s="37" t="s">
        <v>113</v>
      </c>
      <c r="B60" s="27">
        <v>0</v>
      </c>
      <c r="C60" s="28">
        <v>0</v>
      </c>
      <c r="D60" s="23">
        <f t="shared" si="0"/>
        <v>0</v>
      </c>
      <c r="E60" s="28">
        <v>0</v>
      </c>
      <c r="F60" s="24">
        <f t="shared" si="5"/>
        <v>0</v>
      </c>
      <c r="G60" s="28">
        <v>0</v>
      </c>
      <c r="H60" s="24">
        <f t="shared" si="4"/>
        <v>0</v>
      </c>
      <c r="I60" s="25">
        <f t="shared" si="1"/>
        <v>0</v>
      </c>
    </row>
    <row r="61" spans="1:9">
      <c r="A61" s="37" t="s">
        <v>114</v>
      </c>
      <c r="B61" s="27">
        <f>VLOOKUP(A61,[7]進出口值表查詢結果!$A$2:$C$13,3,0)</f>
        <v>17442</v>
      </c>
      <c r="C61" s="28">
        <f>VLOOKUP(A61,[7]進出口值表查詢結果!$A$2:$C$13,2,0)</f>
        <v>1901996</v>
      </c>
      <c r="D61" s="23">
        <f t="shared" si="0"/>
        <v>109.04689829148033</v>
      </c>
      <c r="E61" s="28">
        <f>VLOOKUP(A61,[8]進出口值表查詢結果!$A$2:$C$20,3,0)</f>
        <v>76362</v>
      </c>
      <c r="F61" s="24">
        <f t="shared" si="5"/>
        <v>0.94424453759691362</v>
      </c>
      <c r="G61" s="28">
        <f>VLOOKUP(A61,[8]進出口值表查詢結果!$A$2:$C$20,2,0)</f>
        <v>7675273</v>
      </c>
      <c r="H61" s="24">
        <f t="shared" si="4"/>
        <v>0.64893528514850918</v>
      </c>
      <c r="I61" s="25">
        <f t="shared" si="1"/>
        <v>100.51168120269244</v>
      </c>
    </row>
    <row r="62" spans="1:9">
      <c r="A62" s="37" t="s">
        <v>389</v>
      </c>
      <c r="B62" s="27">
        <v>0</v>
      </c>
      <c r="C62" s="28">
        <v>0</v>
      </c>
      <c r="D62" s="23">
        <f t="shared" si="0"/>
        <v>0</v>
      </c>
      <c r="E62" s="28">
        <v>0</v>
      </c>
      <c r="F62" s="24">
        <f t="shared" si="5"/>
        <v>0</v>
      </c>
      <c r="G62" s="28">
        <v>0</v>
      </c>
      <c r="H62" s="24">
        <f t="shared" si="4"/>
        <v>0</v>
      </c>
      <c r="I62" s="25">
        <f t="shared" si="1"/>
        <v>0</v>
      </c>
    </row>
    <row r="63" spans="1:9">
      <c r="A63" s="37" t="s">
        <v>390</v>
      </c>
      <c r="B63" s="27">
        <v>0</v>
      </c>
      <c r="C63" s="28">
        <v>0</v>
      </c>
      <c r="D63" s="23">
        <f t="shared" si="0"/>
        <v>0</v>
      </c>
      <c r="E63" s="28">
        <v>0</v>
      </c>
      <c r="F63" s="24">
        <f t="shared" si="5"/>
        <v>0</v>
      </c>
      <c r="G63" s="28">
        <v>0</v>
      </c>
      <c r="H63" s="24">
        <f t="shared" si="4"/>
        <v>0</v>
      </c>
      <c r="I63" s="25">
        <f t="shared" si="1"/>
        <v>0</v>
      </c>
    </row>
    <row r="64" spans="1:9">
      <c r="A64" s="37" t="s">
        <v>391</v>
      </c>
      <c r="B64" s="27">
        <v>0</v>
      </c>
      <c r="C64" s="28">
        <v>0</v>
      </c>
      <c r="D64" s="23">
        <f t="shared" si="0"/>
        <v>0</v>
      </c>
      <c r="E64" s="28">
        <v>0</v>
      </c>
      <c r="F64" s="543">
        <f t="shared" si="5"/>
        <v>0</v>
      </c>
      <c r="G64" s="28">
        <v>0</v>
      </c>
      <c r="H64" s="543">
        <f t="shared" si="4"/>
        <v>0</v>
      </c>
      <c r="I64" s="544">
        <f t="shared" si="1"/>
        <v>0</v>
      </c>
    </row>
    <row r="65" spans="1:9">
      <c r="A65" s="30" t="s">
        <v>30</v>
      </c>
      <c r="B65" s="27">
        <f>B66-B47-B41-B12-B7</f>
        <v>2</v>
      </c>
      <c r="C65" s="27">
        <f>C66-C47-C41-C12-C7</f>
        <v>2866</v>
      </c>
      <c r="D65" s="536">
        <f t="shared" si="0"/>
        <v>1433</v>
      </c>
      <c r="E65" s="27">
        <f>E66-E47-E41-E12-E7</f>
        <v>67</v>
      </c>
      <c r="F65" s="545">
        <f t="shared" si="5"/>
        <v>8.2847992481853818E-4</v>
      </c>
      <c r="G65" s="27">
        <f>G66-G47-G41-G12-G7</f>
        <v>138118</v>
      </c>
      <c r="H65" s="545">
        <f t="shared" si="4"/>
        <v>1.1677714097484453E-2</v>
      </c>
      <c r="I65" s="512">
        <f t="shared" si="1"/>
        <v>2061.4626865671644</v>
      </c>
    </row>
    <row r="66" spans="1:9">
      <c r="A66" s="32" t="s">
        <v>400</v>
      </c>
      <c r="B66" s="27">
        <f>VLOOKUP(A66,[7]進出口值表查詢結果!$A$2:$C$13,3,0)</f>
        <v>18408</v>
      </c>
      <c r="C66" s="28">
        <f>VLOOKUP(A66,[7]進出口值表查詢結果!$A$2:$C$13,2,0)</f>
        <v>2792679</v>
      </c>
      <c r="D66" s="536">
        <f t="shared" si="0"/>
        <v>151.71007170795306</v>
      </c>
      <c r="E66" s="28">
        <f>VLOOKUP(A66,[8]進出口值表查詢結果!$A$2:$C$20,3,0)</f>
        <v>80871</v>
      </c>
      <c r="F66" s="545">
        <f t="shared" si="5"/>
        <v>1</v>
      </c>
      <c r="G66" s="28">
        <f>VLOOKUP(A66,[8]進出口值表查詢結果!$A$2:$C$20,2,0)</f>
        <v>11827486</v>
      </c>
      <c r="H66" s="545">
        <f t="shared" si="4"/>
        <v>1</v>
      </c>
      <c r="I66" s="512">
        <f t="shared" si="1"/>
        <v>146.25126435928826</v>
      </c>
    </row>
    <row r="67" spans="1:9">
      <c r="A67" s="38"/>
      <c r="B67" s="39"/>
      <c r="C67" s="39"/>
      <c r="D67" s="40"/>
      <c r="E67" s="39"/>
      <c r="F67" s="41"/>
      <c r="G67" s="39"/>
      <c r="H67" s="41"/>
      <c r="I67" s="40"/>
    </row>
    <row r="68" spans="1:9" ht="16.5" customHeight="1">
      <c r="A68" s="101" t="s">
        <v>153</v>
      </c>
      <c r="B68" s="102"/>
      <c r="C68" s="102"/>
      <c r="D68" s="174"/>
      <c r="E68" s="102"/>
      <c r="F68" s="175"/>
      <c r="G68" s="102"/>
      <c r="H68" s="176"/>
      <c r="I68" s="177"/>
    </row>
    <row r="69" spans="1:9">
      <c r="A69" s="8" t="s">
        <v>492</v>
      </c>
      <c r="B69" s="8" t="s">
        <v>481</v>
      </c>
      <c r="C69" s="8" t="s">
        <v>485</v>
      </c>
      <c r="D69" s="9" t="s">
        <v>1</v>
      </c>
      <c r="E69" s="10" t="s">
        <v>483</v>
      </c>
      <c r="F69" s="11" t="s">
        <v>2</v>
      </c>
      <c r="G69" s="73" t="s">
        <v>484</v>
      </c>
      <c r="H69" s="45" t="s">
        <v>2</v>
      </c>
      <c r="I69" s="502" t="s">
        <v>115</v>
      </c>
    </row>
    <row r="70" spans="1:9">
      <c r="A70" s="46"/>
      <c r="B70" s="47" t="s">
        <v>3</v>
      </c>
      <c r="C70" s="48" t="s">
        <v>4</v>
      </c>
      <c r="D70" s="43" t="s">
        <v>4</v>
      </c>
      <c r="E70" s="47" t="s">
        <v>3</v>
      </c>
      <c r="F70" s="44"/>
      <c r="G70" s="50" t="s">
        <v>4</v>
      </c>
      <c r="H70" s="51"/>
      <c r="I70" s="43" t="s">
        <v>4</v>
      </c>
    </row>
    <row r="71" spans="1:9">
      <c r="A71" s="32" t="s">
        <v>31</v>
      </c>
      <c r="B71" s="27">
        <v>58</v>
      </c>
      <c r="C71" s="27">
        <v>18105</v>
      </c>
      <c r="D71" s="536">
        <f t="shared" ref="D71" si="6">IF(B71,C71/B71,0)</f>
        <v>312.15517241379308</v>
      </c>
      <c r="E71" s="28">
        <v>713</v>
      </c>
      <c r="F71" s="513">
        <v>1</v>
      </c>
      <c r="G71" s="27">
        <v>165445</v>
      </c>
      <c r="H71" s="53">
        <v>1</v>
      </c>
      <c r="I71" s="52">
        <f t="shared" ref="I71" si="7">IF(E71,G71/E71,0)</f>
        <v>232.04067321178121</v>
      </c>
    </row>
    <row r="72" spans="1:9" ht="8.25" customHeight="1">
      <c r="A72" s="38"/>
      <c r="B72" s="39"/>
      <c r="C72" s="39"/>
      <c r="D72" s="40"/>
      <c r="E72" s="39"/>
      <c r="F72" s="41"/>
      <c r="G72" s="39"/>
      <c r="H72" s="41"/>
      <c r="I72" s="40"/>
    </row>
    <row r="73" spans="1:9" ht="18" customHeight="1">
      <c r="A73" s="55" t="s">
        <v>57</v>
      </c>
      <c r="B73" s="13"/>
      <c r="C73" s="169"/>
      <c r="D73" s="178"/>
      <c r="E73" s="13"/>
      <c r="F73" s="169"/>
      <c r="G73" s="170"/>
      <c r="H73" s="13"/>
      <c r="I73" s="179"/>
    </row>
    <row r="74" spans="1:9" s="13" customFormat="1">
      <c r="A74" s="5"/>
      <c r="B74" s="5"/>
      <c r="C74" s="5"/>
      <c r="D74" s="6"/>
      <c r="E74" s="5"/>
      <c r="F74" s="5"/>
      <c r="G74" s="5"/>
      <c r="H74" s="5"/>
      <c r="I74" s="6"/>
    </row>
  </sheetData>
  <mergeCells count="1">
    <mergeCell ref="A1:I1"/>
  </mergeCells>
  <phoneticPr fontId="3" type="noConversion"/>
  <pageMargins left="0.51181102362204722" right="0.31496062992125984" top="0.35433070866141736" bottom="0.15748031496062992" header="0.31496062992125984" footer="0.3149606299212598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67"/>
  <sheetViews>
    <sheetView zoomScaleNormal="100" workbookViewId="0">
      <selection activeCell="B18" sqref="B18"/>
    </sheetView>
  </sheetViews>
  <sheetFormatPr defaultRowHeight="16.5"/>
  <cols>
    <col min="1" max="1" width="17.125" style="5" customWidth="1"/>
    <col min="2" max="2" width="16.125" style="5" customWidth="1"/>
    <col min="3" max="3" width="17.5" style="5" customWidth="1"/>
    <col min="4" max="4" width="13.875" style="5" customWidth="1"/>
    <col min="5" max="5" width="15.25" style="5" customWidth="1"/>
    <col min="6" max="6" width="10.25" style="5" customWidth="1"/>
    <col min="7" max="7" width="18.25" style="5" customWidth="1"/>
    <col min="8" max="8" width="10.375" style="5" customWidth="1"/>
    <col min="9" max="9" width="11.375" style="5" customWidth="1"/>
    <col min="10" max="256" width="8.875" style="5"/>
    <col min="257" max="257" width="17.125" style="5" customWidth="1"/>
    <col min="258" max="258" width="10.75" style="5" customWidth="1"/>
    <col min="259" max="259" width="15.125" style="5" customWidth="1"/>
    <col min="260" max="260" width="10.5" style="5" customWidth="1"/>
    <col min="261" max="261" width="12.375" style="5" customWidth="1"/>
    <col min="262" max="262" width="9.5" style="5" customWidth="1"/>
    <col min="263" max="263" width="16.875" style="5" customWidth="1"/>
    <col min="264" max="264" width="10.125" style="5" customWidth="1"/>
    <col min="265" max="265" width="11.375" style="5" customWidth="1"/>
    <col min="266" max="512" width="8.875" style="5"/>
    <col min="513" max="513" width="17.125" style="5" customWidth="1"/>
    <col min="514" max="514" width="10.75" style="5" customWidth="1"/>
    <col min="515" max="515" width="15.125" style="5" customWidth="1"/>
    <col min="516" max="516" width="10.5" style="5" customWidth="1"/>
    <col min="517" max="517" width="12.375" style="5" customWidth="1"/>
    <col min="518" max="518" width="9.5" style="5" customWidth="1"/>
    <col min="519" max="519" width="16.875" style="5" customWidth="1"/>
    <col min="520" max="520" width="10.125" style="5" customWidth="1"/>
    <col min="521" max="521" width="11.375" style="5" customWidth="1"/>
    <col min="522" max="768" width="8.875" style="5"/>
    <col min="769" max="769" width="17.125" style="5" customWidth="1"/>
    <col min="770" max="770" width="10.75" style="5" customWidth="1"/>
    <col min="771" max="771" width="15.125" style="5" customWidth="1"/>
    <col min="772" max="772" width="10.5" style="5" customWidth="1"/>
    <col min="773" max="773" width="12.375" style="5" customWidth="1"/>
    <col min="774" max="774" width="9.5" style="5" customWidth="1"/>
    <col min="775" max="775" width="16.875" style="5" customWidth="1"/>
    <col min="776" max="776" width="10.125" style="5" customWidth="1"/>
    <col min="777" max="777" width="11.375" style="5" customWidth="1"/>
    <col min="778" max="1024" width="8.875" style="5"/>
    <col min="1025" max="1025" width="17.125" style="5" customWidth="1"/>
    <col min="1026" max="1026" width="10.75" style="5" customWidth="1"/>
    <col min="1027" max="1027" width="15.125" style="5" customWidth="1"/>
    <col min="1028" max="1028" width="10.5" style="5" customWidth="1"/>
    <col min="1029" max="1029" width="12.375" style="5" customWidth="1"/>
    <col min="1030" max="1030" width="9.5" style="5" customWidth="1"/>
    <col min="1031" max="1031" width="16.875" style="5" customWidth="1"/>
    <col min="1032" max="1032" width="10.125" style="5" customWidth="1"/>
    <col min="1033" max="1033" width="11.375" style="5" customWidth="1"/>
    <col min="1034" max="1280" width="8.875" style="5"/>
    <col min="1281" max="1281" width="17.125" style="5" customWidth="1"/>
    <col min="1282" max="1282" width="10.75" style="5" customWidth="1"/>
    <col min="1283" max="1283" width="15.125" style="5" customWidth="1"/>
    <col min="1284" max="1284" width="10.5" style="5" customWidth="1"/>
    <col min="1285" max="1285" width="12.375" style="5" customWidth="1"/>
    <col min="1286" max="1286" width="9.5" style="5" customWidth="1"/>
    <col min="1287" max="1287" width="16.875" style="5" customWidth="1"/>
    <col min="1288" max="1288" width="10.125" style="5" customWidth="1"/>
    <col min="1289" max="1289" width="11.375" style="5" customWidth="1"/>
    <col min="1290" max="1536" width="8.875" style="5"/>
    <col min="1537" max="1537" width="17.125" style="5" customWidth="1"/>
    <col min="1538" max="1538" width="10.75" style="5" customWidth="1"/>
    <col min="1539" max="1539" width="15.125" style="5" customWidth="1"/>
    <col min="1540" max="1540" width="10.5" style="5" customWidth="1"/>
    <col min="1541" max="1541" width="12.375" style="5" customWidth="1"/>
    <col min="1542" max="1542" width="9.5" style="5" customWidth="1"/>
    <col min="1543" max="1543" width="16.875" style="5" customWidth="1"/>
    <col min="1544" max="1544" width="10.125" style="5" customWidth="1"/>
    <col min="1545" max="1545" width="11.375" style="5" customWidth="1"/>
    <col min="1546" max="1792" width="8.875" style="5"/>
    <col min="1793" max="1793" width="17.125" style="5" customWidth="1"/>
    <col min="1794" max="1794" width="10.75" style="5" customWidth="1"/>
    <col min="1795" max="1795" width="15.125" style="5" customWidth="1"/>
    <col min="1796" max="1796" width="10.5" style="5" customWidth="1"/>
    <col min="1797" max="1797" width="12.375" style="5" customWidth="1"/>
    <col min="1798" max="1798" width="9.5" style="5" customWidth="1"/>
    <col min="1799" max="1799" width="16.875" style="5" customWidth="1"/>
    <col min="1800" max="1800" width="10.125" style="5" customWidth="1"/>
    <col min="1801" max="1801" width="11.375" style="5" customWidth="1"/>
    <col min="1802" max="2048" width="8.875" style="5"/>
    <col min="2049" max="2049" width="17.125" style="5" customWidth="1"/>
    <col min="2050" max="2050" width="10.75" style="5" customWidth="1"/>
    <col min="2051" max="2051" width="15.125" style="5" customWidth="1"/>
    <col min="2052" max="2052" width="10.5" style="5" customWidth="1"/>
    <col min="2053" max="2053" width="12.375" style="5" customWidth="1"/>
    <col min="2054" max="2054" width="9.5" style="5" customWidth="1"/>
    <col min="2055" max="2055" width="16.875" style="5" customWidth="1"/>
    <col min="2056" max="2056" width="10.125" style="5" customWidth="1"/>
    <col min="2057" max="2057" width="11.375" style="5" customWidth="1"/>
    <col min="2058" max="2304" width="8.875" style="5"/>
    <col min="2305" max="2305" width="17.125" style="5" customWidth="1"/>
    <col min="2306" max="2306" width="10.75" style="5" customWidth="1"/>
    <col min="2307" max="2307" width="15.125" style="5" customWidth="1"/>
    <col min="2308" max="2308" width="10.5" style="5" customWidth="1"/>
    <col min="2309" max="2309" width="12.375" style="5" customWidth="1"/>
    <col min="2310" max="2310" width="9.5" style="5" customWidth="1"/>
    <col min="2311" max="2311" width="16.875" style="5" customWidth="1"/>
    <col min="2312" max="2312" width="10.125" style="5" customWidth="1"/>
    <col min="2313" max="2313" width="11.375" style="5" customWidth="1"/>
    <col min="2314" max="2560" width="8.875" style="5"/>
    <col min="2561" max="2561" width="17.125" style="5" customWidth="1"/>
    <col min="2562" max="2562" width="10.75" style="5" customWidth="1"/>
    <col min="2563" max="2563" width="15.125" style="5" customWidth="1"/>
    <col min="2564" max="2564" width="10.5" style="5" customWidth="1"/>
    <col min="2565" max="2565" width="12.375" style="5" customWidth="1"/>
    <col min="2566" max="2566" width="9.5" style="5" customWidth="1"/>
    <col min="2567" max="2567" width="16.875" style="5" customWidth="1"/>
    <col min="2568" max="2568" width="10.125" style="5" customWidth="1"/>
    <col min="2569" max="2569" width="11.375" style="5" customWidth="1"/>
    <col min="2570" max="2816" width="8.875" style="5"/>
    <col min="2817" max="2817" width="17.125" style="5" customWidth="1"/>
    <col min="2818" max="2818" width="10.75" style="5" customWidth="1"/>
    <col min="2819" max="2819" width="15.125" style="5" customWidth="1"/>
    <col min="2820" max="2820" width="10.5" style="5" customWidth="1"/>
    <col min="2821" max="2821" width="12.375" style="5" customWidth="1"/>
    <col min="2822" max="2822" width="9.5" style="5" customWidth="1"/>
    <col min="2823" max="2823" width="16.875" style="5" customWidth="1"/>
    <col min="2824" max="2824" width="10.125" style="5" customWidth="1"/>
    <col min="2825" max="2825" width="11.375" style="5" customWidth="1"/>
    <col min="2826" max="3072" width="8.875" style="5"/>
    <col min="3073" max="3073" width="17.125" style="5" customWidth="1"/>
    <col min="3074" max="3074" width="10.75" style="5" customWidth="1"/>
    <col min="3075" max="3075" width="15.125" style="5" customWidth="1"/>
    <col min="3076" max="3076" width="10.5" style="5" customWidth="1"/>
    <col min="3077" max="3077" width="12.375" style="5" customWidth="1"/>
    <col min="3078" max="3078" width="9.5" style="5" customWidth="1"/>
    <col min="3079" max="3079" width="16.875" style="5" customWidth="1"/>
    <col min="3080" max="3080" width="10.125" style="5" customWidth="1"/>
    <col min="3081" max="3081" width="11.375" style="5" customWidth="1"/>
    <col min="3082" max="3328" width="8.875" style="5"/>
    <col min="3329" max="3329" width="17.125" style="5" customWidth="1"/>
    <col min="3330" max="3330" width="10.75" style="5" customWidth="1"/>
    <col min="3331" max="3331" width="15.125" style="5" customWidth="1"/>
    <col min="3332" max="3332" width="10.5" style="5" customWidth="1"/>
    <col min="3333" max="3333" width="12.375" style="5" customWidth="1"/>
    <col min="3334" max="3334" width="9.5" style="5" customWidth="1"/>
    <col min="3335" max="3335" width="16.875" style="5" customWidth="1"/>
    <col min="3336" max="3336" width="10.125" style="5" customWidth="1"/>
    <col min="3337" max="3337" width="11.375" style="5" customWidth="1"/>
    <col min="3338" max="3584" width="8.875" style="5"/>
    <col min="3585" max="3585" width="17.125" style="5" customWidth="1"/>
    <col min="3586" max="3586" width="10.75" style="5" customWidth="1"/>
    <col min="3587" max="3587" width="15.125" style="5" customWidth="1"/>
    <col min="3588" max="3588" width="10.5" style="5" customWidth="1"/>
    <col min="3589" max="3589" width="12.375" style="5" customWidth="1"/>
    <col min="3590" max="3590" width="9.5" style="5" customWidth="1"/>
    <col min="3591" max="3591" width="16.875" style="5" customWidth="1"/>
    <col min="3592" max="3592" width="10.125" style="5" customWidth="1"/>
    <col min="3593" max="3593" width="11.375" style="5" customWidth="1"/>
    <col min="3594" max="3840" width="8.875" style="5"/>
    <col min="3841" max="3841" width="17.125" style="5" customWidth="1"/>
    <col min="3842" max="3842" width="10.75" style="5" customWidth="1"/>
    <col min="3843" max="3843" width="15.125" style="5" customWidth="1"/>
    <col min="3844" max="3844" width="10.5" style="5" customWidth="1"/>
    <col min="3845" max="3845" width="12.375" style="5" customWidth="1"/>
    <col min="3846" max="3846" width="9.5" style="5" customWidth="1"/>
    <col min="3847" max="3847" width="16.875" style="5" customWidth="1"/>
    <col min="3848" max="3848" width="10.125" style="5" customWidth="1"/>
    <col min="3849" max="3849" width="11.375" style="5" customWidth="1"/>
    <col min="3850" max="4096" width="8.875" style="5"/>
    <col min="4097" max="4097" width="17.125" style="5" customWidth="1"/>
    <col min="4098" max="4098" width="10.75" style="5" customWidth="1"/>
    <col min="4099" max="4099" width="15.125" style="5" customWidth="1"/>
    <col min="4100" max="4100" width="10.5" style="5" customWidth="1"/>
    <col min="4101" max="4101" width="12.375" style="5" customWidth="1"/>
    <col min="4102" max="4102" width="9.5" style="5" customWidth="1"/>
    <col min="4103" max="4103" width="16.875" style="5" customWidth="1"/>
    <col min="4104" max="4104" width="10.125" style="5" customWidth="1"/>
    <col min="4105" max="4105" width="11.375" style="5" customWidth="1"/>
    <col min="4106" max="4352" width="8.875" style="5"/>
    <col min="4353" max="4353" width="17.125" style="5" customWidth="1"/>
    <col min="4354" max="4354" width="10.75" style="5" customWidth="1"/>
    <col min="4355" max="4355" width="15.125" style="5" customWidth="1"/>
    <col min="4356" max="4356" width="10.5" style="5" customWidth="1"/>
    <col min="4357" max="4357" width="12.375" style="5" customWidth="1"/>
    <col min="4358" max="4358" width="9.5" style="5" customWidth="1"/>
    <col min="4359" max="4359" width="16.875" style="5" customWidth="1"/>
    <col min="4360" max="4360" width="10.125" style="5" customWidth="1"/>
    <col min="4361" max="4361" width="11.375" style="5" customWidth="1"/>
    <col min="4362" max="4608" width="8.875" style="5"/>
    <col min="4609" max="4609" width="17.125" style="5" customWidth="1"/>
    <col min="4610" max="4610" width="10.75" style="5" customWidth="1"/>
    <col min="4611" max="4611" width="15.125" style="5" customWidth="1"/>
    <col min="4612" max="4612" width="10.5" style="5" customWidth="1"/>
    <col min="4613" max="4613" width="12.375" style="5" customWidth="1"/>
    <col min="4614" max="4614" width="9.5" style="5" customWidth="1"/>
    <col min="4615" max="4615" width="16.875" style="5" customWidth="1"/>
    <col min="4616" max="4616" width="10.125" style="5" customWidth="1"/>
    <col min="4617" max="4617" width="11.375" style="5" customWidth="1"/>
    <col min="4618" max="4864" width="8.875" style="5"/>
    <col min="4865" max="4865" width="17.125" style="5" customWidth="1"/>
    <col min="4866" max="4866" width="10.75" style="5" customWidth="1"/>
    <col min="4867" max="4867" width="15.125" style="5" customWidth="1"/>
    <col min="4868" max="4868" width="10.5" style="5" customWidth="1"/>
    <col min="4869" max="4869" width="12.375" style="5" customWidth="1"/>
    <col min="4870" max="4870" width="9.5" style="5" customWidth="1"/>
    <col min="4871" max="4871" width="16.875" style="5" customWidth="1"/>
    <col min="4872" max="4872" width="10.125" style="5" customWidth="1"/>
    <col min="4873" max="4873" width="11.375" style="5" customWidth="1"/>
    <col min="4874" max="5120" width="8.875" style="5"/>
    <col min="5121" max="5121" width="17.125" style="5" customWidth="1"/>
    <col min="5122" max="5122" width="10.75" style="5" customWidth="1"/>
    <col min="5123" max="5123" width="15.125" style="5" customWidth="1"/>
    <col min="5124" max="5124" width="10.5" style="5" customWidth="1"/>
    <col min="5125" max="5125" width="12.375" style="5" customWidth="1"/>
    <col min="5126" max="5126" width="9.5" style="5" customWidth="1"/>
    <col min="5127" max="5127" width="16.875" style="5" customWidth="1"/>
    <col min="5128" max="5128" width="10.125" style="5" customWidth="1"/>
    <col min="5129" max="5129" width="11.375" style="5" customWidth="1"/>
    <col min="5130" max="5376" width="8.875" style="5"/>
    <col min="5377" max="5377" width="17.125" style="5" customWidth="1"/>
    <col min="5378" max="5378" width="10.75" style="5" customWidth="1"/>
    <col min="5379" max="5379" width="15.125" style="5" customWidth="1"/>
    <col min="5380" max="5380" width="10.5" style="5" customWidth="1"/>
    <col min="5381" max="5381" width="12.375" style="5" customWidth="1"/>
    <col min="5382" max="5382" width="9.5" style="5" customWidth="1"/>
    <col min="5383" max="5383" width="16.875" style="5" customWidth="1"/>
    <col min="5384" max="5384" width="10.125" style="5" customWidth="1"/>
    <col min="5385" max="5385" width="11.375" style="5" customWidth="1"/>
    <col min="5386" max="5632" width="8.875" style="5"/>
    <col min="5633" max="5633" width="17.125" style="5" customWidth="1"/>
    <col min="5634" max="5634" width="10.75" style="5" customWidth="1"/>
    <col min="5635" max="5635" width="15.125" style="5" customWidth="1"/>
    <col min="5636" max="5636" width="10.5" style="5" customWidth="1"/>
    <col min="5637" max="5637" width="12.375" style="5" customWidth="1"/>
    <col min="5638" max="5638" width="9.5" style="5" customWidth="1"/>
    <col min="5639" max="5639" width="16.875" style="5" customWidth="1"/>
    <col min="5640" max="5640" width="10.125" style="5" customWidth="1"/>
    <col min="5641" max="5641" width="11.375" style="5" customWidth="1"/>
    <col min="5642" max="5888" width="8.875" style="5"/>
    <col min="5889" max="5889" width="17.125" style="5" customWidth="1"/>
    <col min="5890" max="5890" width="10.75" style="5" customWidth="1"/>
    <col min="5891" max="5891" width="15.125" style="5" customWidth="1"/>
    <col min="5892" max="5892" width="10.5" style="5" customWidth="1"/>
    <col min="5893" max="5893" width="12.375" style="5" customWidth="1"/>
    <col min="5894" max="5894" width="9.5" style="5" customWidth="1"/>
    <col min="5895" max="5895" width="16.875" style="5" customWidth="1"/>
    <col min="5896" max="5896" width="10.125" style="5" customWidth="1"/>
    <col min="5897" max="5897" width="11.375" style="5" customWidth="1"/>
    <col min="5898" max="6144" width="8.875" style="5"/>
    <col min="6145" max="6145" width="17.125" style="5" customWidth="1"/>
    <col min="6146" max="6146" width="10.75" style="5" customWidth="1"/>
    <col min="6147" max="6147" width="15.125" style="5" customWidth="1"/>
    <col min="6148" max="6148" width="10.5" style="5" customWidth="1"/>
    <col min="6149" max="6149" width="12.375" style="5" customWidth="1"/>
    <col min="6150" max="6150" width="9.5" style="5" customWidth="1"/>
    <col min="6151" max="6151" width="16.875" style="5" customWidth="1"/>
    <col min="6152" max="6152" width="10.125" style="5" customWidth="1"/>
    <col min="6153" max="6153" width="11.375" style="5" customWidth="1"/>
    <col min="6154" max="6400" width="8.875" style="5"/>
    <col min="6401" max="6401" width="17.125" style="5" customWidth="1"/>
    <col min="6402" max="6402" width="10.75" style="5" customWidth="1"/>
    <col min="6403" max="6403" width="15.125" style="5" customWidth="1"/>
    <col min="6404" max="6404" width="10.5" style="5" customWidth="1"/>
    <col min="6405" max="6405" width="12.375" style="5" customWidth="1"/>
    <col min="6406" max="6406" width="9.5" style="5" customWidth="1"/>
    <col min="6407" max="6407" width="16.875" style="5" customWidth="1"/>
    <col min="6408" max="6408" width="10.125" style="5" customWidth="1"/>
    <col min="6409" max="6409" width="11.375" style="5" customWidth="1"/>
    <col min="6410" max="6656" width="8.875" style="5"/>
    <col min="6657" max="6657" width="17.125" style="5" customWidth="1"/>
    <col min="6658" max="6658" width="10.75" style="5" customWidth="1"/>
    <col min="6659" max="6659" width="15.125" style="5" customWidth="1"/>
    <col min="6660" max="6660" width="10.5" style="5" customWidth="1"/>
    <col min="6661" max="6661" width="12.375" style="5" customWidth="1"/>
    <col min="6662" max="6662" width="9.5" style="5" customWidth="1"/>
    <col min="6663" max="6663" width="16.875" style="5" customWidth="1"/>
    <col min="6664" max="6664" width="10.125" style="5" customWidth="1"/>
    <col min="6665" max="6665" width="11.375" style="5" customWidth="1"/>
    <col min="6666" max="6912" width="8.875" style="5"/>
    <col min="6913" max="6913" width="17.125" style="5" customWidth="1"/>
    <col min="6914" max="6914" width="10.75" style="5" customWidth="1"/>
    <col min="6915" max="6915" width="15.125" style="5" customWidth="1"/>
    <col min="6916" max="6916" width="10.5" style="5" customWidth="1"/>
    <col min="6917" max="6917" width="12.375" style="5" customWidth="1"/>
    <col min="6918" max="6918" width="9.5" style="5" customWidth="1"/>
    <col min="6919" max="6919" width="16.875" style="5" customWidth="1"/>
    <col min="6920" max="6920" width="10.125" style="5" customWidth="1"/>
    <col min="6921" max="6921" width="11.375" style="5" customWidth="1"/>
    <col min="6922" max="7168" width="8.875" style="5"/>
    <col min="7169" max="7169" width="17.125" style="5" customWidth="1"/>
    <col min="7170" max="7170" width="10.75" style="5" customWidth="1"/>
    <col min="7171" max="7171" width="15.125" style="5" customWidth="1"/>
    <col min="7172" max="7172" width="10.5" style="5" customWidth="1"/>
    <col min="7173" max="7173" width="12.375" style="5" customWidth="1"/>
    <col min="7174" max="7174" width="9.5" style="5" customWidth="1"/>
    <col min="7175" max="7175" width="16.875" style="5" customWidth="1"/>
    <col min="7176" max="7176" width="10.125" style="5" customWidth="1"/>
    <col min="7177" max="7177" width="11.375" style="5" customWidth="1"/>
    <col min="7178" max="7424" width="8.875" style="5"/>
    <col min="7425" max="7425" width="17.125" style="5" customWidth="1"/>
    <col min="7426" max="7426" width="10.75" style="5" customWidth="1"/>
    <col min="7427" max="7427" width="15.125" style="5" customWidth="1"/>
    <col min="7428" max="7428" width="10.5" style="5" customWidth="1"/>
    <col min="7429" max="7429" width="12.375" style="5" customWidth="1"/>
    <col min="7430" max="7430" width="9.5" style="5" customWidth="1"/>
    <col min="7431" max="7431" width="16.875" style="5" customWidth="1"/>
    <col min="7432" max="7432" width="10.125" style="5" customWidth="1"/>
    <col min="7433" max="7433" width="11.375" style="5" customWidth="1"/>
    <col min="7434" max="7680" width="8.875" style="5"/>
    <col min="7681" max="7681" width="17.125" style="5" customWidth="1"/>
    <col min="7682" max="7682" width="10.75" style="5" customWidth="1"/>
    <col min="7683" max="7683" width="15.125" style="5" customWidth="1"/>
    <col min="7684" max="7684" width="10.5" style="5" customWidth="1"/>
    <col min="7685" max="7685" width="12.375" style="5" customWidth="1"/>
    <col min="7686" max="7686" width="9.5" style="5" customWidth="1"/>
    <col min="7687" max="7687" width="16.875" style="5" customWidth="1"/>
    <col min="7688" max="7688" width="10.125" style="5" customWidth="1"/>
    <col min="7689" max="7689" width="11.375" style="5" customWidth="1"/>
    <col min="7690" max="7936" width="8.875" style="5"/>
    <col min="7937" max="7937" width="17.125" style="5" customWidth="1"/>
    <col min="7938" max="7938" width="10.75" style="5" customWidth="1"/>
    <col min="7939" max="7939" width="15.125" style="5" customWidth="1"/>
    <col min="7940" max="7940" width="10.5" style="5" customWidth="1"/>
    <col min="7941" max="7941" width="12.375" style="5" customWidth="1"/>
    <col min="7942" max="7942" width="9.5" style="5" customWidth="1"/>
    <col min="7943" max="7943" width="16.875" style="5" customWidth="1"/>
    <col min="7944" max="7944" width="10.125" style="5" customWidth="1"/>
    <col min="7945" max="7945" width="11.375" style="5" customWidth="1"/>
    <col min="7946" max="8192" width="8.875" style="5"/>
    <col min="8193" max="8193" width="17.125" style="5" customWidth="1"/>
    <col min="8194" max="8194" width="10.75" style="5" customWidth="1"/>
    <col min="8195" max="8195" width="15.125" style="5" customWidth="1"/>
    <col min="8196" max="8196" width="10.5" style="5" customWidth="1"/>
    <col min="8197" max="8197" width="12.375" style="5" customWidth="1"/>
    <col min="8198" max="8198" width="9.5" style="5" customWidth="1"/>
    <col min="8199" max="8199" width="16.875" style="5" customWidth="1"/>
    <col min="8200" max="8200" width="10.125" style="5" customWidth="1"/>
    <col min="8201" max="8201" width="11.375" style="5" customWidth="1"/>
    <col min="8202" max="8448" width="8.875" style="5"/>
    <col min="8449" max="8449" width="17.125" style="5" customWidth="1"/>
    <col min="8450" max="8450" width="10.75" style="5" customWidth="1"/>
    <col min="8451" max="8451" width="15.125" style="5" customWidth="1"/>
    <col min="8452" max="8452" width="10.5" style="5" customWidth="1"/>
    <col min="8453" max="8453" width="12.375" style="5" customWidth="1"/>
    <col min="8454" max="8454" width="9.5" style="5" customWidth="1"/>
    <col min="8455" max="8455" width="16.875" style="5" customWidth="1"/>
    <col min="8456" max="8456" width="10.125" style="5" customWidth="1"/>
    <col min="8457" max="8457" width="11.375" style="5" customWidth="1"/>
    <col min="8458" max="8704" width="8.875" style="5"/>
    <col min="8705" max="8705" width="17.125" style="5" customWidth="1"/>
    <col min="8706" max="8706" width="10.75" style="5" customWidth="1"/>
    <col min="8707" max="8707" width="15.125" style="5" customWidth="1"/>
    <col min="8708" max="8708" width="10.5" style="5" customWidth="1"/>
    <col min="8709" max="8709" width="12.375" style="5" customWidth="1"/>
    <col min="8710" max="8710" width="9.5" style="5" customWidth="1"/>
    <col min="8711" max="8711" width="16.875" style="5" customWidth="1"/>
    <col min="8712" max="8712" width="10.125" style="5" customWidth="1"/>
    <col min="8713" max="8713" width="11.375" style="5" customWidth="1"/>
    <col min="8714" max="8960" width="8.875" style="5"/>
    <col min="8961" max="8961" width="17.125" style="5" customWidth="1"/>
    <col min="8962" max="8962" width="10.75" style="5" customWidth="1"/>
    <col min="8963" max="8963" width="15.125" style="5" customWidth="1"/>
    <col min="8964" max="8964" width="10.5" style="5" customWidth="1"/>
    <col min="8965" max="8965" width="12.375" style="5" customWidth="1"/>
    <col min="8966" max="8966" width="9.5" style="5" customWidth="1"/>
    <col min="8967" max="8967" width="16.875" style="5" customWidth="1"/>
    <col min="8968" max="8968" width="10.125" style="5" customWidth="1"/>
    <col min="8969" max="8969" width="11.375" style="5" customWidth="1"/>
    <col min="8970" max="9216" width="8.875" style="5"/>
    <col min="9217" max="9217" width="17.125" style="5" customWidth="1"/>
    <col min="9218" max="9218" width="10.75" style="5" customWidth="1"/>
    <col min="9219" max="9219" width="15.125" style="5" customWidth="1"/>
    <col min="9220" max="9220" width="10.5" style="5" customWidth="1"/>
    <col min="9221" max="9221" width="12.375" style="5" customWidth="1"/>
    <col min="9222" max="9222" width="9.5" style="5" customWidth="1"/>
    <col min="9223" max="9223" width="16.875" style="5" customWidth="1"/>
    <col min="9224" max="9224" width="10.125" style="5" customWidth="1"/>
    <col min="9225" max="9225" width="11.375" style="5" customWidth="1"/>
    <col min="9226" max="9472" width="8.875" style="5"/>
    <col min="9473" max="9473" width="17.125" style="5" customWidth="1"/>
    <col min="9474" max="9474" width="10.75" style="5" customWidth="1"/>
    <col min="9475" max="9475" width="15.125" style="5" customWidth="1"/>
    <col min="9476" max="9476" width="10.5" style="5" customWidth="1"/>
    <col min="9477" max="9477" width="12.375" style="5" customWidth="1"/>
    <col min="9478" max="9478" width="9.5" style="5" customWidth="1"/>
    <col min="9479" max="9479" width="16.875" style="5" customWidth="1"/>
    <col min="9480" max="9480" width="10.125" style="5" customWidth="1"/>
    <col min="9481" max="9481" width="11.375" style="5" customWidth="1"/>
    <col min="9482" max="9728" width="8.875" style="5"/>
    <col min="9729" max="9729" width="17.125" style="5" customWidth="1"/>
    <col min="9730" max="9730" width="10.75" style="5" customWidth="1"/>
    <col min="9731" max="9731" width="15.125" style="5" customWidth="1"/>
    <col min="9732" max="9732" width="10.5" style="5" customWidth="1"/>
    <col min="9733" max="9733" width="12.375" style="5" customWidth="1"/>
    <col min="9734" max="9734" width="9.5" style="5" customWidth="1"/>
    <col min="9735" max="9735" width="16.875" style="5" customWidth="1"/>
    <col min="9736" max="9736" width="10.125" style="5" customWidth="1"/>
    <col min="9737" max="9737" width="11.375" style="5" customWidth="1"/>
    <col min="9738" max="9984" width="8.875" style="5"/>
    <col min="9985" max="9985" width="17.125" style="5" customWidth="1"/>
    <col min="9986" max="9986" width="10.75" style="5" customWidth="1"/>
    <col min="9987" max="9987" width="15.125" style="5" customWidth="1"/>
    <col min="9988" max="9988" width="10.5" style="5" customWidth="1"/>
    <col min="9989" max="9989" width="12.375" style="5" customWidth="1"/>
    <col min="9990" max="9990" width="9.5" style="5" customWidth="1"/>
    <col min="9991" max="9991" width="16.875" style="5" customWidth="1"/>
    <col min="9992" max="9992" width="10.125" style="5" customWidth="1"/>
    <col min="9993" max="9993" width="11.375" style="5" customWidth="1"/>
    <col min="9994" max="10240" width="8.875" style="5"/>
    <col min="10241" max="10241" width="17.125" style="5" customWidth="1"/>
    <col min="10242" max="10242" width="10.75" style="5" customWidth="1"/>
    <col min="10243" max="10243" width="15.125" style="5" customWidth="1"/>
    <col min="10244" max="10244" width="10.5" style="5" customWidth="1"/>
    <col min="10245" max="10245" width="12.375" style="5" customWidth="1"/>
    <col min="10246" max="10246" width="9.5" style="5" customWidth="1"/>
    <col min="10247" max="10247" width="16.875" style="5" customWidth="1"/>
    <col min="10248" max="10248" width="10.125" style="5" customWidth="1"/>
    <col min="10249" max="10249" width="11.375" style="5" customWidth="1"/>
    <col min="10250" max="10496" width="8.875" style="5"/>
    <col min="10497" max="10497" width="17.125" style="5" customWidth="1"/>
    <col min="10498" max="10498" width="10.75" style="5" customWidth="1"/>
    <col min="10499" max="10499" width="15.125" style="5" customWidth="1"/>
    <col min="10500" max="10500" width="10.5" style="5" customWidth="1"/>
    <col min="10501" max="10501" width="12.375" style="5" customWidth="1"/>
    <col min="10502" max="10502" width="9.5" style="5" customWidth="1"/>
    <col min="10503" max="10503" width="16.875" style="5" customWidth="1"/>
    <col min="10504" max="10504" width="10.125" style="5" customWidth="1"/>
    <col min="10505" max="10505" width="11.375" style="5" customWidth="1"/>
    <col min="10506" max="10752" width="8.875" style="5"/>
    <col min="10753" max="10753" width="17.125" style="5" customWidth="1"/>
    <col min="10754" max="10754" width="10.75" style="5" customWidth="1"/>
    <col min="10755" max="10755" width="15.125" style="5" customWidth="1"/>
    <col min="10756" max="10756" width="10.5" style="5" customWidth="1"/>
    <col min="10757" max="10757" width="12.375" style="5" customWidth="1"/>
    <col min="10758" max="10758" width="9.5" style="5" customWidth="1"/>
    <col min="10759" max="10759" width="16.875" style="5" customWidth="1"/>
    <col min="10760" max="10760" width="10.125" style="5" customWidth="1"/>
    <col min="10761" max="10761" width="11.375" style="5" customWidth="1"/>
    <col min="10762" max="11008" width="8.875" style="5"/>
    <col min="11009" max="11009" width="17.125" style="5" customWidth="1"/>
    <col min="11010" max="11010" width="10.75" style="5" customWidth="1"/>
    <col min="11011" max="11011" width="15.125" style="5" customWidth="1"/>
    <col min="11012" max="11012" width="10.5" style="5" customWidth="1"/>
    <col min="11013" max="11013" width="12.375" style="5" customWidth="1"/>
    <col min="11014" max="11014" width="9.5" style="5" customWidth="1"/>
    <col min="11015" max="11015" width="16.875" style="5" customWidth="1"/>
    <col min="11016" max="11016" width="10.125" style="5" customWidth="1"/>
    <col min="11017" max="11017" width="11.375" style="5" customWidth="1"/>
    <col min="11018" max="11264" width="8.875" style="5"/>
    <col min="11265" max="11265" width="17.125" style="5" customWidth="1"/>
    <col min="11266" max="11266" width="10.75" style="5" customWidth="1"/>
    <col min="11267" max="11267" width="15.125" style="5" customWidth="1"/>
    <col min="11268" max="11268" width="10.5" style="5" customWidth="1"/>
    <col min="11269" max="11269" width="12.375" style="5" customWidth="1"/>
    <col min="11270" max="11270" width="9.5" style="5" customWidth="1"/>
    <col min="11271" max="11271" width="16.875" style="5" customWidth="1"/>
    <col min="11272" max="11272" width="10.125" style="5" customWidth="1"/>
    <col min="11273" max="11273" width="11.375" style="5" customWidth="1"/>
    <col min="11274" max="11520" width="8.875" style="5"/>
    <col min="11521" max="11521" width="17.125" style="5" customWidth="1"/>
    <col min="11522" max="11522" width="10.75" style="5" customWidth="1"/>
    <col min="11523" max="11523" width="15.125" style="5" customWidth="1"/>
    <col min="11524" max="11524" width="10.5" style="5" customWidth="1"/>
    <col min="11525" max="11525" width="12.375" style="5" customWidth="1"/>
    <col min="11526" max="11526" width="9.5" style="5" customWidth="1"/>
    <col min="11527" max="11527" width="16.875" style="5" customWidth="1"/>
    <col min="11528" max="11528" width="10.125" style="5" customWidth="1"/>
    <col min="11529" max="11529" width="11.375" style="5" customWidth="1"/>
    <col min="11530" max="11776" width="8.875" style="5"/>
    <col min="11777" max="11777" width="17.125" style="5" customWidth="1"/>
    <col min="11778" max="11778" width="10.75" style="5" customWidth="1"/>
    <col min="11779" max="11779" width="15.125" style="5" customWidth="1"/>
    <col min="11780" max="11780" width="10.5" style="5" customWidth="1"/>
    <col min="11781" max="11781" width="12.375" style="5" customWidth="1"/>
    <col min="11782" max="11782" width="9.5" style="5" customWidth="1"/>
    <col min="11783" max="11783" width="16.875" style="5" customWidth="1"/>
    <col min="11784" max="11784" width="10.125" style="5" customWidth="1"/>
    <col min="11785" max="11785" width="11.375" style="5" customWidth="1"/>
    <col min="11786" max="12032" width="8.875" style="5"/>
    <col min="12033" max="12033" width="17.125" style="5" customWidth="1"/>
    <col min="12034" max="12034" width="10.75" style="5" customWidth="1"/>
    <col min="12035" max="12035" width="15.125" style="5" customWidth="1"/>
    <col min="12036" max="12036" width="10.5" style="5" customWidth="1"/>
    <col min="12037" max="12037" width="12.375" style="5" customWidth="1"/>
    <col min="12038" max="12038" width="9.5" style="5" customWidth="1"/>
    <col min="12039" max="12039" width="16.875" style="5" customWidth="1"/>
    <col min="12040" max="12040" width="10.125" style="5" customWidth="1"/>
    <col min="12041" max="12041" width="11.375" style="5" customWidth="1"/>
    <col min="12042" max="12288" width="8.875" style="5"/>
    <col min="12289" max="12289" width="17.125" style="5" customWidth="1"/>
    <col min="12290" max="12290" width="10.75" style="5" customWidth="1"/>
    <col min="12291" max="12291" width="15.125" style="5" customWidth="1"/>
    <col min="12292" max="12292" width="10.5" style="5" customWidth="1"/>
    <col min="12293" max="12293" width="12.375" style="5" customWidth="1"/>
    <col min="12294" max="12294" width="9.5" style="5" customWidth="1"/>
    <col min="12295" max="12295" width="16.875" style="5" customWidth="1"/>
    <col min="12296" max="12296" width="10.125" style="5" customWidth="1"/>
    <col min="12297" max="12297" width="11.375" style="5" customWidth="1"/>
    <col min="12298" max="12544" width="8.875" style="5"/>
    <col min="12545" max="12545" width="17.125" style="5" customWidth="1"/>
    <col min="12546" max="12546" width="10.75" style="5" customWidth="1"/>
    <col min="12547" max="12547" width="15.125" style="5" customWidth="1"/>
    <col min="12548" max="12548" width="10.5" style="5" customWidth="1"/>
    <col min="12549" max="12549" width="12.375" style="5" customWidth="1"/>
    <col min="12550" max="12550" width="9.5" style="5" customWidth="1"/>
    <col min="12551" max="12551" width="16.875" style="5" customWidth="1"/>
    <col min="12552" max="12552" width="10.125" style="5" customWidth="1"/>
    <col min="12553" max="12553" width="11.375" style="5" customWidth="1"/>
    <col min="12554" max="12800" width="8.875" style="5"/>
    <col min="12801" max="12801" width="17.125" style="5" customWidth="1"/>
    <col min="12802" max="12802" width="10.75" style="5" customWidth="1"/>
    <col min="12803" max="12803" width="15.125" style="5" customWidth="1"/>
    <col min="12804" max="12804" width="10.5" style="5" customWidth="1"/>
    <col min="12805" max="12805" width="12.375" style="5" customWidth="1"/>
    <col min="12806" max="12806" width="9.5" style="5" customWidth="1"/>
    <col min="12807" max="12807" width="16.875" style="5" customWidth="1"/>
    <col min="12808" max="12808" width="10.125" style="5" customWidth="1"/>
    <col min="12809" max="12809" width="11.375" style="5" customWidth="1"/>
    <col min="12810" max="13056" width="8.875" style="5"/>
    <col min="13057" max="13057" width="17.125" style="5" customWidth="1"/>
    <col min="13058" max="13058" width="10.75" style="5" customWidth="1"/>
    <col min="13059" max="13059" width="15.125" style="5" customWidth="1"/>
    <col min="13060" max="13060" width="10.5" style="5" customWidth="1"/>
    <col min="13061" max="13061" width="12.375" style="5" customWidth="1"/>
    <col min="13062" max="13062" width="9.5" style="5" customWidth="1"/>
    <col min="13063" max="13063" width="16.875" style="5" customWidth="1"/>
    <col min="13064" max="13064" width="10.125" style="5" customWidth="1"/>
    <col min="13065" max="13065" width="11.375" style="5" customWidth="1"/>
    <col min="13066" max="13312" width="8.875" style="5"/>
    <col min="13313" max="13313" width="17.125" style="5" customWidth="1"/>
    <col min="13314" max="13314" width="10.75" style="5" customWidth="1"/>
    <col min="13315" max="13315" width="15.125" style="5" customWidth="1"/>
    <col min="13316" max="13316" width="10.5" style="5" customWidth="1"/>
    <col min="13317" max="13317" width="12.375" style="5" customWidth="1"/>
    <col min="13318" max="13318" width="9.5" style="5" customWidth="1"/>
    <col min="13319" max="13319" width="16.875" style="5" customWidth="1"/>
    <col min="13320" max="13320" width="10.125" style="5" customWidth="1"/>
    <col min="13321" max="13321" width="11.375" style="5" customWidth="1"/>
    <col min="13322" max="13568" width="8.875" style="5"/>
    <col min="13569" max="13569" width="17.125" style="5" customWidth="1"/>
    <col min="13570" max="13570" width="10.75" style="5" customWidth="1"/>
    <col min="13571" max="13571" width="15.125" style="5" customWidth="1"/>
    <col min="13572" max="13572" width="10.5" style="5" customWidth="1"/>
    <col min="13573" max="13573" width="12.375" style="5" customWidth="1"/>
    <col min="13574" max="13574" width="9.5" style="5" customWidth="1"/>
    <col min="13575" max="13575" width="16.875" style="5" customWidth="1"/>
    <col min="13576" max="13576" width="10.125" style="5" customWidth="1"/>
    <col min="13577" max="13577" width="11.375" style="5" customWidth="1"/>
    <col min="13578" max="13824" width="8.875" style="5"/>
    <col min="13825" max="13825" width="17.125" style="5" customWidth="1"/>
    <col min="13826" max="13826" width="10.75" style="5" customWidth="1"/>
    <col min="13827" max="13827" width="15.125" style="5" customWidth="1"/>
    <col min="13828" max="13828" width="10.5" style="5" customWidth="1"/>
    <col min="13829" max="13829" width="12.375" style="5" customWidth="1"/>
    <col min="13830" max="13830" width="9.5" style="5" customWidth="1"/>
    <col min="13831" max="13831" width="16.875" style="5" customWidth="1"/>
    <col min="13832" max="13832" width="10.125" style="5" customWidth="1"/>
    <col min="13833" max="13833" width="11.375" style="5" customWidth="1"/>
    <col min="13834" max="14080" width="8.875" style="5"/>
    <col min="14081" max="14081" width="17.125" style="5" customWidth="1"/>
    <col min="14082" max="14082" width="10.75" style="5" customWidth="1"/>
    <col min="14083" max="14083" width="15.125" style="5" customWidth="1"/>
    <col min="14084" max="14084" width="10.5" style="5" customWidth="1"/>
    <col min="14085" max="14085" width="12.375" style="5" customWidth="1"/>
    <col min="14086" max="14086" width="9.5" style="5" customWidth="1"/>
    <col min="14087" max="14087" width="16.875" style="5" customWidth="1"/>
    <col min="14088" max="14088" width="10.125" style="5" customWidth="1"/>
    <col min="14089" max="14089" width="11.375" style="5" customWidth="1"/>
    <col min="14090" max="14336" width="8.875" style="5"/>
    <col min="14337" max="14337" width="17.125" style="5" customWidth="1"/>
    <col min="14338" max="14338" width="10.75" style="5" customWidth="1"/>
    <col min="14339" max="14339" width="15.125" style="5" customWidth="1"/>
    <col min="14340" max="14340" width="10.5" style="5" customWidth="1"/>
    <col min="14341" max="14341" width="12.375" style="5" customWidth="1"/>
    <col min="14342" max="14342" width="9.5" style="5" customWidth="1"/>
    <col min="14343" max="14343" width="16.875" style="5" customWidth="1"/>
    <col min="14344" max="14344" width="10.125" style="5" customWidth="1"/>
    <col min="14345" max="14345" width="11.375" style="5" customWidth="1"/>
    <col min="14346" max="14592" width="8.875" style="5"/>
    <col min="14593" max="14593" width="17.125" style="5" customWidth="1"/>
    <col min="14594" max="14594" width="10.75" style="5" customWidth="1"/>
    <col min="14595" max="14595" width="15.125" style="5" customWidth="1"/>
    <col min="14596" max="14596" width="10.5" style="5" customWidth="1"/>
    <col min="14597" max="14597" width="12.375" style="5" customWidth="1"/>
    <col min="14598" max="14598" width="9.5" style="5" customWidth="1"/>
    <col min="14599" max="14599" width="16.875" style="5" customWidth="1"/>
    <col min="14600" max="14600" width="10.125" style="5" customWidth="1"/>
    <col min="14601" max="14601" width="11.375" style="5" customWidth="1"/>
    <col min="14602" max="14848" width="8.875" style="5"/>
    <col min="14849" max="14849" width="17.125" style="5" customWidth="1"/>
    <col min="14850" max="14850" width="10.75" style="5" customWidth="1"/>
    <col min="14851" max="14851" width="15.125" style="5" customWidth="1"/>
    <col min="14852" max="14852" width="10.5" style="5" customWidth="1"/>
    <col min="14853" max="14853" width="12.375" style="5" customWidth="1"/>
    <col min="14854" max="14854" width="9.5" style="5" customWidth="1"/>
    <col min="14855" max="14855" width="16.875" style="5" customWidth="1"/>
    <col min="14856" max="14856" width="10.125" style="5" customWidth="1"/>
    <col min="14857" max="14857" width="11.375" style="5" customWidth="1"/>
    <col min="14858" max="15104" width="8.875" style="5"/>
    <col min="15105" max="15105" width="17.125" style="5" customWidth="1"/>
    <col min="15106" max="15106" width="10.75" style="5" customWidth="1"/>
    <col min="15107" max="15107" width="15.125" style="5" customWidth="1"/>
    <col min="15108" max="15108" width="10.5" style="5" customWidth="1"/>
    <col min="15109" max="15109" width="12.375" style="5" customWidth="1"/>
    <col min="15110" max="15110" width="9.5" style="5" customWidth="1"/>
    <col min="15111" max="15111" width="16.875" style="5" customWidth="1"/>
    <col min="15112" max="15112" width="10.125" style="5" customWidth="1"/>
    <col min="15113" max="15113" width="11.375" style="5" customWidth="1"/>
    <col min="15114" max="15360" width="8.875" style="5"/>
    <col min="15361" max="15361" width="17.125" style="5" customWidth="1"/>
    <col min="15362" max="15362" width="10.75" style="5" customWidth="1"/>
    <col min="15363" max="15363" width="15.125" style="5" customWidth="1"/>
    <col min="15364" max="15364" width="10.5" style="5" customWidth="1"/>
    <col min="15365" max="15365" width="12.375" style="5" customWidth="1"/>
    <col min="15366" max="15366" width="9.5" style="5" customWidth="1"/>
    <col min="15367" max="15367" width="16.875" style="5" customWidth="1"/>
    <col min="15368" max="15368" width="10.125" style="5" customWidth="1"/>
    <col min="15369" max="15369" width="11.375" style="5" customWidth="1"/>
    <col min="15370" max="15616" width="8.875" style="5"/>
    <col min="15617" max="15617" width="17.125" style="5" customWidth="1"/>
    <col min="15618" max="15618" width="10.75" style="5" customWidth="1"/>
    <col min="15619" max="15619" width="15.125" style="5" customWidth="1"/>
    <col min="15620" max="15620" width="10.5" style="5" customWidth="1"/>
    <col min="15621" max="15621" width="12.375" style="5" customWidth="1"/>
    <col min="15622" max="15622" width="9.5" style="5" customWidth="1"/>
    <col min="15623" max="15623" width="16.875" style="5" customWidth="1"/>
    <col min="15624" max="15624" width="10.125" style="5" customWidth="1"/>
    <col min="15625" max="15625" width="11.375" style="5" customWidth="1"/>
    <col min="15626" max="15872" width="8.875" style="5"/>
    <col min="15873" max="15873" width="17.125" style="5" customWidth="1"/>
    <col min="15874" max="15874" width="10.75" style="5" customWidth="1"/>
    <col min="15875" max="15875" width="15.125" style="5" customWidth="1"/>
    <col min="15876" max="15876" width="10.5" style="5" customWidth="1"/>
    <col min="15877" max="15877" width="12.375" style="5" customWidth="1"/>
    <col min="15878" max="15878" width="9.5" style="5" customWidth="1"/>
    <col min="15879" max="15879" width="16.875" style="5" customWidth="1"/>
    <col min="15880" max="15880" width="10.125" style="5" customWidth="1"/>
    <col min="15881" max="15881" width="11.375" style="5" customWidth="1"/>
    <col min="15882" max="16128" width="8.875" style="5"/>
    <col min="16129" max="16129" width="17.125" style="5" customWidth="1"/>
    <col min="16130" max="16130" width="10.75" style="5" customWidth="1"/>
    <col min="16131" max="16131" width="15.125" style="5" customWidth="1"/>
    <col min="16132" max="16132" width="10.5" style="5" customWidth="1"/>
    <col min="16133" max="16133" width="12.375" style="5" customWidth="1"/>
    <col min="16134" max="16134" width="9.5" style="5" customWidth="1"/>
    <col min="16135" max="16135" width="16.875" style="5" customWidth="1"/>
    <col min="16136" max="16136" width="10.125" style="5" customWidth="1"/>
    <col min="16137" max="16137" width="11.375" style="5" customWidth="1"/>
    <col min="16138" max="16384" width="8.875" style="5"/>
  </cols>
  <sheetData>
    <row r="1" spans="1:9" ht="19.5">
      <c r="A1" s="1" t="s">
        <v>496</v>
      </c>
      <c r="B1" s="1"/>
      <c r="C1" s="1"/>
      <c r="D1" s="1"/>
      <c r="E1" s="2"/>
      <c r="F1" s="2"/>
      <c r="G1" s="2"/>
      <c r="H1" s="2"/>
      <c r="I1" s="2"/>
    </row>
    <row r="2" spans="1:9" ht="19.5">
      <c r="A2" s="1"/>
      <c r="B2" s="1"/>
      <c r="C2" s="1"/>
      <c r="D2" s="1"/>
      <c r="E2" s="2"/>
      <c r="F2" s="2"/>
      <c r="G2" s="2"/>
      <c r="H2" s="2"/>
      <c r="I2" s="2"/>
    </row>
    <row r="3" spans="1:9" s="218" customFormat="1" ht="17.25">
      <c r="A3" s="214" t="s">
        <v>157</v>
      </c>
      <c r="B3" s="215"/>
      <c r="C3" s="215"/>
      <c r="D3" s="215"/>
      <c r="E3" s="216"/>
      <c r="F3" s="216"/>
      <c r="G3" s="216"/>
      <c r="H3" s="216"/>
      <c r="I3" s="217"/>
    </row>
    <row r="4" spans="1:9" s="218" customFormat="1" ht="17.25">
      <c r="A4" s="219" t="s">
        <v>517</v>
      </c>
      <c r="B4" s="220"/>
      <c r="C4" s="220"/>
      <c r="D4" s="220"/>
      <c r="E4" s="221"/>
      <c r="F4" s="221"/>
      <c r="G4" s="221"/>
      <c r="H4" s="221"/>
      <c r="I4" s="222"/>
    </row>
    <row r="5" spans="1:9" s="226" customFormat="1">
      <c r="A5" s="8" t="s">
        <v>480</v>
      </c>
      <c r="B5" s="8" t="s">
        <v>481</v>
      </c>
      <c r="C5" s="8" t="s">
        <v>485</v>
      </c>
      <c r="D5" s="9" t="s">
        <v>1</v>
      </c>
      <c r="E5" s="10" t="s">
        <v>483</v>
      </c>
      <c r="F5" s="11" t="s">
        <v>2</v>
      </c>
      <c r="G5" s="8" t="s">
        <v>484</v>
      </c>
      <c r="H5" s="225" t="s">
        <v>2</v>
      </c>
      <c r="I5" s="224" t="s">
        <v>1</v>
      </c>
    </row>
    <row r="6" spans="1:9" s="226" customFormat="1">
      <c r="A6" s="227"/>
      <c r="B6" s="228" t="s">
        <v>3</v>
      </c>
      <c r="C6" s="229" t="s">
        <v>4</v>
      </c>
      <c r="D6" s="227" t="s">
        <v>4</v>
      </c>
      <c r="E6" s="225" t="s">
        <v>3</v>
      </c>
      <c r="F6" s="225"/>
      <c r="G6" s="223" t="s">
        <v>4</v>
      </c>
      <c r="H6" s="223"/>
      <c r="I6" s="224" t="s">
        <v>4</v>
      </c>
    </row>
    <row r="7" spans="1:9" s="226" customFormat="1">
      <c r="A7" s="230" t="s">
        <v>5</v>
      </c>
      <c r="B7" s="231"/>
      <c r="C7" s="232"/>
      <c r="D7" s="230"/>
      <c r="E7" s="233"/>
      <c r="F7" s="234"/>
      <c r="G7" s="234"/>
      <c r="H7" s="234"/>
      <c r="I7" s="235"/>
    </row>
    <row r="8" spans="1:9" s="226" customFormat="1">
      <c r="A8" s="236" t="s">
        <v>6</v>
      </c>
      <c r="B8" s="237">
        <f>SUM(B9:B11)</f>
        <v>13949</v>
      </c>
      <c r="C8" s="238">
        <f>SUM(C9:C11)</f>
        <v>31558805</v>
      </c>
      <c r="D8" s="239">
        <f>IF(B8,C8/B8,0)</f>
        <v>2262.442110545559</v>
      </c>
      <c r="E8" s="240">
        <f xml:space="preserve"> SUM(E9:E11)</f>
        <v>84723</v>
      </c>
      <c r="F8" s="241">
        <f>E8/E64</f>
        <v>0.22081740204702369</v>
      </c>
      <c r="G8" s="242">
        <f>SUM(G9:G11)</f>
        <v>176863259</v>
      </c>
      <c r="H8" s="241">
        <f>G8/G64</f>
        <v>0.27938601834470145</v>
      </c>
      <c r="I8" s="243">
        <f>IF(E8,G8/E8,0)</f>
        <v>2087.54717137023</v>
      </c>
    </row>
    <row r="9" spans="1:9" s="226" customFormat="1">
      <c r="A9" s="244" t="s">
        <v>163</v>
      </c>
      <c r="B9" s="245">
        <f>VLOOKUP(A9,[9]進出口值表查詢結果!$A$2:$C$38,3,0)</f>
        <v>12735</v>
      </c>
      <c r="C9" s="245">
        <f>VLOOKUP(A9,[9]進出口值表查詢結果!$A$2:$C$38,2,0)</f>
        <v>28698205</v>
      </c>
      <c r="D9" s="239">
        <f t="shared" ref="D9:D63" si="0">IF(B9,C9/B9,0)</f>
        <v>2253.4907734589715</v>
      </c>
      <c r="E9" s="246">
        <f>VLOOKUP(A9,[10]進出口值表查詢結果!$A$1:$C$50,3,0)</f>
        <v>75400</v>
      </c>
      <c r="F9" s="241">
        <f>E9/E64</f>
        <v>0.19651844380328348</v>
      </c>
      <c r="G9" s="246">
        <f>VLOOKUP(A9,[10]進出口值表查詢結果!$A$1:$C$50,2,0)</f>
        <v>157570858</v>
      </c>
      <c r="H9" s="241">
        <f>G9/G64</f>
        <v>0.24891034391590822</v>
      </c>
      <c r="I9" s="243">
        <f t="shared" ref="I9:I64" si="1">IF(E9,G9/E9,0)</f>
        <v>2089.7991777188331</v>
      </c>
    </row>
    <row r="10" spans="1:9" s="226" customFormat="1">
      <c r="A10" s="37" t="s">
        <v>7</v>
      </c>
      <c r="B10" s="245">
        <f>VLOOKUP(A10,[9]進出口值表查詢結果!$A$2:$C$38,3,0)</f>
        <v>1207</v>
      </c>
      <c r="C10" s="245">
        <f>VLOOKUP(A10,[9]進出口值表查詢結果!$A$2:$C$38,2,0)</f>
        <v>2840899</v>
      </c>
      <c r="D10" s="239">
        <f t="shared" si="0"/>
        <v>2353.685998342999</v>
      </c>
      <c r="E10" s="246">
        <f>VLOOKUP(A10,[10]進出口值表查詢結果!$A$1:$C$50,3,0)</f>
        <v>8571</v>
      </c>
      <c r="F10" s="241">
        <f>E10/E64</f>
        <v>2.2338986496524438E-2</v>
      </c>
      <c r="G10" s="246">
        <f>VLOOKUP(A10,[10]進出口值表查詢結果!$A$1:$C$50,2,0)</f>
        <v>17749937</v>
      </c>
      <c r="H10" s="241">
        <f>G10/G64</f>
        <v>2.8039086536900775E-2</v>
      </c>
      <c r="I10" s="243">
        <f t="shared" si="1"/>
        <v>2070.9295298098236</v>
      </c>
    </row>
    <row r="11" spans="1:9" s="226" customFormat="1">
      <c r="A11" s="37" t="s">
        <v>8</v>
      </c>
      <c r="B11" s="245">
        <f>VLOOKUP(A11,[9]進出口值表查詢結果!$A$2:$C$38,3,0)</f>
        <v>7</v>
      </c>
      <c r="C11" s="245">
        <f>VLOOKUP(A11,[9]進出口值表查詢結果!$A$2:$C$38,2,0)</f>
        <v>19701</v>
      </c>
      <c r="D11" s="239">
        <f t="shared" si="0"/>
        <v>2814.4285714285716</v>
      </c>
      <c r="E11" s="246">
        <f>VLOOKUP(A11,[10]進出口值表查詢結果!$A$1:$C$50,3,0)</f>
        <v>752</v>
      </c>
      <c r="F11" s="241">
        <f>E11/E64</f>
        <v>1.9599717472157715E-3</v>
      </c>
      <c r="G11" s="246">
        <f>VLOOKUP(A11,[10]進出口值表查詢結果!$A$1:$C$50,2,0)</f>
        <v>1542464</v>
      </c>
      <c r="H11" s="241">
        <f>G11/G64</f>
        <v>2.4365878918924679E-3</v>
      </c>
      <c r="I11" s="243">
        <f t="shared" si="1"/>
        <v>2051.1489361702129</v>
      </c>
    </row>
    <row r="12" spans="1:9" s="226" customFormat="1">
      <c r="A12" s="37"/>
      <c r="B12" s="34"/>
      <c r="C12" s="34"/>
      <c r="D12" s="239"/>
      <c r="E12" s="247"/>
      <c r="F12" s="248"/>
      <c r="G12" s="247"/>
      <c r="H12" s="248"/>
      <c r="I12" s="243"/>
    </row>
    <row r="13" spans="1:9" s="226" customFormat="1">
      <c r="A13" s="249" t="s">
        <v>9</v>
      </c>
      <c r="B13" s="250">
        <f>SUM(B14:B39)</f>
        <v>43241</v>
      </c>
      <c r="C13" s="250">
        <f>SUM(C14:C39)</f>
        <v>67804325</v>
      </c>
      <c r="D13" s="239">
        <f t="shared" si="0"/>
        <v>1568.0563585485997</v>
      </c>
      <c r="E13" s="251">
        <f>SUM(E14:E39)</f>
        <v>241007</v>
      </c>
      <c r="F13" s="241">
        <f>E13/E64</f>
        <v>0.62814748787397801</v>
      </c>
      <c r="G13" s="242">
        <f>SUM(G14:G39)</f>
        <v>355981972</v>
      </c>
      <c r="H13" s="241">
        <f>G13/G64</f>
        <v>0.56233491524418311</v>
      </c>
      <c r="I13" s="243">
        <f t="shared" si="1"/>
        <v>1477.0607160787861</v>
      </c>
    </row>
    <row r="14" spans="1:9" s="226" customFormat="1">
      <c r="A14" s="244" t="s">
        <v>246</v>
      </c>
      <c r="B14" s="245">
        <f>VLOOKUP(A14,[9]進出口值表查詢結果!$A$2:$C$38,3,0)</f>
        <v>23573</v>
      </c>
      <c r="C14" s="245">
        <f>VLOOKUP(A14,[9]進出口值表查詢結果!$A$2:$C$38,2,0)</f>
        <v>40836563</v>
      </c>
      <c r="D14" s="239">
        <f t="shared" si="0"/>
        <v>1732.3447588342594</v>
      </c>
      <c r="E14" s="246">
        <f>VLOOKUP(A14,[10]進出口值表查詢結果!$A$1:$C$50,3,0)</f>
        <v>143785</v>
      </c>
      <c r="F14" s="241">
        <f>E14/E64</f>
        <v>0.37475337456571772</v>
      </c>
      <c r="G14" s="246">
        <f>VLOOKUP(A14,[10]進出口值表查詢結果!$A$1:$C$50,2,0)</f>
        <v>225941995</v>
      </c>
      <c r="H14" s="241">
        <f>G14/G64</f>
        <v>0.35691434567486086</v>
      </c>
      <c r="I14" s="243">
        <f t="shared" si="1"/>
        <v>1571.3878012310047</v>
      </c>
    </row>
    <row r="15" spans="1:9" s="226" customFormat="1">
      <c r="A15" s="244" t="s">
        <v>247</v>
      </c>
      <c r="B15" s="245">
        <f>VLOOKUP(A15,[9]進出口值表查詢結果!$A$2:$C$38,3,0)</f>
        <v>8829</v>
      </c>
      <c r="C15" s="245">
        <f>VLOOKUP(A15,[9]進出口值表查詢結果!$A$2:$C$38,2,0)</f>
        <v>9952588</v>
      </c>
      <c r="D15" s="239">
        <f t="shared" si="0"/>
        <v>1127.2610714690225</v>
      </c>
      <c r="E15" s="246">
        <f>VLOOKUP(A15,[10]進出口值表查詢結果!$A$1:$C$50,3,0)</f>
        <v>38715</v>
      </c>
      <c r="F15" s="241">
        <f>E15/E64</f>
        <v>0.10090466249130133</v>
      </c>
      <c r="G15" s="246">
        <f>VLOOKUP(A15,[10]進出口值表查詢結果!$A$1:$C$50,2,0)</f>
        <v>37795751</v>
      </c>
      <c r="H15" s="241">
        <f>G15/G64</f>
        <v>5.9704906728184674E-2</v>
      </c>
      <c r="I15" s="243">
        <f t="shared" si="1"/>
        <v>976.25599896680876</v>
      </c>
    </row>
    <row r="16" spans="1:9" s="226" customFormat="1">
      <c r="A16" s="37" t="s">
        <v>10</v>
      </c>
      <c r="B16" s="245">
        <f>VLOOKUP(A16,[9]進出口值表查詢結果!$A$2:$C$38,3,0)</f>
        <v>475</v>
      </c>
      <c r="C16" s="245">
        <f>VLOOKUP(A16,[9]進出口值表查詢結果!$A$2:$C$38,2,0)</f>
        <v>1157734</v>
      </c>
      <c r="D16" s="239">
        <f t="shared" si="0"/>
        <v>2437.3347368421055</v>
      </c>
      <c r="E16" s="246">
        <f>VLOOKUP(A16,[10]進出口值表查詢結果!$A$1:$C$50,3,0)</f>
        <v>5019</v>
      </c>
      <c r="F16" s="241">
        <f>E16/E64</f>
        <v>1.3081247605420156E-2</v>
      </c>
      <c r="G16" s="246">
        <f>VLOOKUP(A16,[10]進出口值表查詢結果!$A$1:$C$50,2,0)</f>
        <v>7833937</v>
      </c>
      <c r="H16" s="241">
        <f>G16/G64</f>
        <v>1.2375054484285148E-2</v>
      </c>
      <c r="I16" s="243">
        <f t="shared" si="1"/>
        <v>1560.8561466427575</v>
      </c>
    </row>
    <row r="17" spans="1:9" s="226" customFormat="1">
      <c r="A17" s="244" t="s">
        <v>248</v>
      </c>
      <c r="B17" s="245">
        <f>VLOOKUP(A17,[9]進出口值表查詢結果!$A$2:$C$38,3,0)</f>
        <v>1549</v>
      </c>
      <c r="C17" s="245">
        <f>VLOOKUP(A17,[9]進出口值表查詢結果!$A$2:$C$38,2,0)</f>
        <v>2125204</v>
      </c>
      <c r="D17" s="239">
        <f t="shared" si="0"/>
        <v>1371.9845061329891</v>
      </c>
      <c r="E17" s="246">
        <f>VLOOKUP(A17,[10]進出口值表查詢結果!$A$1:$C$50,3,0)</f>
        <v>13737</v>
      </c>
      <c r="F17" s="241">
        <f>E17/E64</f>
        <v>3.5803366876998741E-2</v>
      </c>
      <c r="G17" s="246">
        <f>VLOOKUP(A17,[10]進出口值表查詢結果!$A$1:$C$50,2,0)</f>
        <v>18131749</v>
      </c>
      <c r="H17" s="241">
        <f>G17/G64</f>
        <v>2.8642224435859356E-2</v>
      </c>
      <c r="I17" s="243">
        <f t="shared" si="1"/>
        <v>1319.9205794569411</v>
      </c>
    </row>
    <row r="18" spans="1:9" s="226" customFormat="1">
      <c r="A18" s="37" t="s">
        <v>11</v>
      </c>
      <c r="B18" s="245">
        <f>VLOOKUP(A18,[9]進出口值表查詢結果!$A$2:$C$38,3,0)</f>
        <v>744</v>
      </c>
      <c r="C18" s="245">
        <f>VLOOKUP(A18,[9]進出口值表查詢結果!$A$2:$C$38,2,0)</f>
        <v>1808336</v>
      </c>
      <c r="D18" s="239">
        <f t="shared" si="0"/>
        <v>2430.5591397849462</v>
      </c>
      <c r="E18" s="246">
        <f>VLOOKUP(A18,[10]進出口值表查詢結果!$A$1:$C$50,3,0)</f>
        <v>6280</v>
      </c>
      <c r="F18" s="241">
        <f>E18/E64</f>
        <v>1.6367849165578516E-2</v>
      </c>
      <c r="G18" s="246">
        <f>VLOOKUP(A18,[10]進出口值表查詢結果!$A$1:$C$50,2,0)</f>
        <v>13627310</v>
      </c>
      <c r="H18" s="241">
        <f>G18/G64</f>
        <v>2.1526686227403134E-2</v>
      </c>
      <c r="I18" s="243">
        <f t="shared" si="1"/>
        <v>2169.9538216560509</v>
      </c>
    </row>
    <row r="19" spans="1:9" s="226" customFormat="1">
      <c r="A19" s="37" t="s">
        <v>12</v>
      </c>
      <c r="B19" s="245">
        <f>VLOOKUP(A19,[9]進出口值表查詢結果!$A$2:$C$38,3,0)</f>
        <v>1063</v>
      </c>
      <c r="C19" s="245">
        <f>VLOOKUP(A19,[9]進出口值表查詢結果!$A$2:$C$38,2,0)</f>
        <v>1371214</v>
      </c>
      <c r="D19" s="239">
        <f t="shared" si="0"/>
        <v>1289.9473189087489</v>
      </c>
      <c r="E19" s="246">
        <f>VLOOKUP(A19,[10]進出口值表查詢結果!$A$1:$C$50,3,0)</f>
        <v>6146</v>
      </c>
      <c r="F19" s="241">
        <f>E19/E64</f>
        <v>1.6018598880835282E-2</v>
      </c>
      <c r="G19" s="246">
        <f>VLOOKUP(A19,[10]進出口值表查詢結果!$A$1:$C$50,2,0)</f>
        <v>10642509</v>
      </c>
      <c r="H19" s="241">
        <f>G19/G64</f>
        <v>1.6811678307407252E-2</v>
      </c>
      <c r="I19" s="243">
        <f t="shared" si="1"/>
        <v>1731.615522290921</v>
      </c>
    </row>
    <row r="20" spans="1:9" s="226" customFormat="1">
      <c r="A20" s="244" t="s">
        <v>250</v>
      </c>
      <c r="B20" s="245">
        <f>VLOOKUP(A20,[9]進出口值表查詢結果!$A$2:$C$38,3,0)</f>
        <v>1100</v>
      </c>
      <c r="C20" s="245">
        <f>VLOOKUP(A20,[9]進出口值表查詢結果!$A$2:$C$38,2,0)</f>
        <v>1301888</v>
      </c>
      <c r="D20" s="239">
        <f t="shared" si="0"/>
        <v>1183.5345454545454</v>
      </c>
      <c r="E20" s="246">
        <f>VLOOKUP(A20,[10]進出口值表查詢結果!$A$1:$C$50,3,0)</f>
        <v>5422</v>
      </c>
      <c r="F20" s="241">
        <f>E20/E64</f>
        <v>1.4131604805058396E-2</v>
      </c>
      <c r="G20" s="246">
        <f>VLOOKUP(A20,[10]進出口值表查詢結果!$A$1:$C$50,2,0)</f>
        <v>7840297</v>
      </c>
      <c r="H20" s="241">
        <f>G20/G64</f>
        <v>1.2385101201091786E-2</v>
      </c>
      <c r="I20" s="243">
        <f t="shared" si="1"/>
        <v>1446.015676872003</v>
      </c>
    </row>
    <row r="21" spans="1:9" s="226" customFormat="1">
      <c r="A21" s="37" t="s">
        <v>13</v>
      </c>
      <c r="B21" s="245">
        <f>VLOOKUP(A21,[9]進出口值表查詢結果!$A$2:$C$38,3,0)</f>
        <v>43</v>
      </c>
      <c r="C21" s="245">
        <f>VLOOKUP(A21,[9]進出口值表查詢結果!$A$2:$C$38,2,0)</f>
        <v>72843</v>
      </c>
      <c r="D21" s="239">
        <f t="shared" si="0"/>
        <v>1694.0232558139535</v>
      </c>
      <c r="E21" s="246">
        <f>VLOOKUP(A21,[10]進出口值表查詢結果!$A$1:$C$50,3,0)</f>
        <v>57</v>
      </c>
      <c r="F21" s="241">
        <f>E21/E64</f>
        <v>1.4856168828630183E-4</v>
      </c>
      <c r="G21" s="246">
        <f>VLOOKUP(A21,[10]進出口值表查詢結果!$A$1:$C$50,2,0)</f>
        <v>122172</v>
      </c>
      <c r="H21" s="241">
        <f>G21/G64</f>
        <v>1.9299174303470719E-4</v>
      </c>
      <c r="I21" s="243">
        <f t="shared" si="1"/>
        <v>2143.3684210526317</v>
      </c>
    </row>
    <row r="22" spans="1:9" s="226" customFormat="1">
      <c r="A22" s="244" t="s">
        <v>251</v>
      </c>
      <c r="B22" s="245">
        <f>VLOOKUP(A22,[9]進出口值表查詢結果!$A$2:$C$38,3,0)</f>
        <v>2308</v>
      </c>
      <c r="C22" s="245">
        <f>VLOOKUP(A22,[9]進出口值表查詢結果!$A$2:$C$38,2,0)</f>
        <v>5796027</v>
      </c>
      <c r="D22" s="239">
        <f t="shared" si="0"/>
        <v>2511.2768630849218</v>
      </c>
      <c r="E22" s="246">
        <f>VLOOKUP(A22,[10]進出口值表查詢結果!$A$1:$C$50,3,0)</f>
        <v>8240</v>
      </c>
      <c r="F22" s="241">
        <f>E22/E64</f>
        <v>2.1476286166300474E-2</v>
      </c>
      <c r="G22" s="246">
        <f>VLOOKUP(A22,[10]進出口值表查詢結果!$A$1:$C$50,2,0)</f>
        <v>20402171</v>
      </c>
      <c r="H22" s="241">
        <f>G22/G64</f>
        <v>3.2228747527929112E-2</v>
      </c>
      <c r="I22" s="243">
        <f t="shared" si="1"/>
        <v>2475.9916262135921</v>
      </c>
    </row>
    <row r="23" spans="1:9" s="226" customFormat="1">
      <c r="A23" s="37" t="s">
        <v>14</v>
      </c>
      <c r="B23" s="245">
        <v>0</v>
      </c>
      <c r="C23" s="245">
        <v>0</v>
      </c>
      <c r="D23" s="239">
        <f t="shared" si="0"/>
        <v>0</v>
      </c>
      <c r="E23" s="246">
        <v>0</v>
      </c>
      <c r="F23" s="241">
        <f>E23/E64</f>
        <v>0</v>
      </c>
      <c r="G23" s="246">
        <v>0</v>
      </c>
      <c r="H23" s="241">
        <f>G23/G64</f>
        <v>0</v>
      </c>
      <c r="I23" s="243">
        <f t="shared" si="1"/>
        <v>0</v>
      </c>
    </row>
    <row r="24" spans="1:9" s="226" customFormat="1">
      <c r="A24" s="37" t="s">
        <v>15</v>
      </c>
      <c r="B24" s="245">
        <v>0</v>
      </c>
      <c r="C24" s="245">
        <v>0</v>
      </c>
      <c r="D24" s="239">
        <f t="shared" si="0"/>
        <v>0</v>
      </c>
      <c r="E24" s="246">
        <v>0</v>
      </c>
      <c r="F24" s="241">
        <f>E24/E64</f>
        <v>0</v>
      </c>
      <c r="G24" s="246">
        <v>0</v>
      </c>
      <c r="H24" s="241">
        <f>G24/G64</f>
        <v>0</v>
      </c>
      <c r="I24" s="243">
        <f t="shared" si="1"/>
        <v>0</v>
      </c>
    </row>
    <row r="25" spans="1:9" s="226" customFormat="1">
      <c r="A25" s="37" t="s">
        <v>16</v>
      </c>
      <c r="B25" s="245">
        <f>VLOOKUP(A25,[9]進出口值表查詢結果!$A$2:$C$38,3,0)</f>
        <v>655</v>
      </c>
      <c r="C25" s="245">
        <f>VLOOKUP(A25,[9]進出口值表查詢結果!$A$2:$C$38,2,0)</f>
        <v>1195930</v>
      </c>
      <c r="D25" s="239">
        <f t="shared" si="0"/>
        <v>1825.8473282442749</v>
      </c>
      <c r="E25" s="246">
        <f>VLOOKUP(A25,[10]進出口值表查詢結果!$A$1:$C$50,3,0)</f>
        <v>2379</v>
      </c>
      <c r="F25" s="241">
        <f>E25/E64</f>
        <v>6.2004957268967029E-3</v>
      </c>
      <c r="G25" s="246">
        <f>VLOOKUP(A25,[10]進出口值表查詢結果!$A$1:$C$50,2,0)</f>
        <v>4749604</v>
      </c>
      <c r="H25" s="241">
        <f>G25/G64</f>
        <v>7.5028186056102664E-3</v>
      </c>
      <c r="I25" s="243">
        <f t="shared" si="1"/>
        <v>1996.4707860445565</v>
      </c>
    </row>
    <row r="26" spans="1:9" s="226" customFormat="1">
      <c r="A26" s="244" t="s">
        <v>254</v>
      </c>
      <c r="B26" s="245">
        <f>VLOOKUP(A26,[9]進出口值表查詢結果!$A$2:$C$38,3,0)</f>
        <v>1619</v>
      </c>
      <c r="C26" s="245">
        <f>VLOOKUP(A26,[9]進出口值表查詢結果!$A$2:$C$38,2,0)</f>
        <v>1048844</v>
      </c>
      <c r="D26" s="239">
        <f t="shared" si="0"/>
        <v>647.83446571957995</v>
      </c>
      <c r="E26" s="246">
        <f>VLOOKUP(A26,[10]進出口值表查詢結果!$A$1:$C$50,3,0)</f>
        <v>4809</v>
      </c>
      <c r="F26" s="241">
        <f>E26/E64</f>
        <v>1.2533915069628518E-2</v>
      </c>
      <c r="G26" s="246">
        <f>VLOOKUP(A26,[10]進出口值表查詢結果!$A$1:$C$50,2,0)</f>
        <v>2319220</v>
      </c>
      <c r="H26" s="241">
        <f>G26/G64</f>
        <v>3.6636079484739029E-3</v>
      </c>
      <c r="I26" s="243">
        <f t="shared" si="1"/>
        <v>482.26658348929089</v>
      </c>
    </row>
    <row r="27" spans="1:9" s="226" customFormat="1">
      <c r="A27" s="244" t="s">
        <v>256</v>
      </c>
      <c r="B27" s="245">
        <f>VLOOKUP(A27,[9]進出口值表查詢結果!$A$2:$C$38,3,0)</f>
        <v>44</v>
      </c>
      <c r="C27" s="245">
        <f>VLOOKUP(A27,[9]進出口值表查詢結果!$A$2:$C$38,2,0)</f>
        <v>114490</v>
      </c>
      <c r="D27" s="239">
        <f t="shared" si="0"/>
        <v>2602.0454545454545</v>
      </c>
      <c r="E27" s="246">
        <f>VLOOKUP(A27,[10]進出口值表查詢結果!$A$1:$C$50,3,0)</f>
        <v>401</v>
      </c>
      <c r="F27" s="241">
        <f>E27/E64</f>
        <v>1.045144508821176E-3</v>
      </c>
      <c r="G27" s="246">
        <f>VLOOKUP(A27,[10]進出口值表查詢結果!$A$1:$C$50,2,0)</f>
        <v>781830</v>
      </c>
      <c r="H27" s="241">
        <f>G27/G64</f>
        <v>1.2350353146123919E-3</v>
      </c>
      <c r="I27" s="243">
        <f t="shared" si="1"/>
        <v>1949.7007481296757</v>
      </c>
    </row>
    <row r="28" spans="1:9" s="226" customFormat="1">
      <c r="A28" s="253" t="s">
        <v>257</v>
      </c>
      <c r="B28" s="245">
        <f>VLOOKUP(A28,[9]進出口值表查詢結果!$A$2:$C$38,3,0)</f>
        <v>348</v>
      </c>
      <c r="C28" s="245">
        <f>VLOOKUP(A28,[9]進出口值表查詢結果!$A$2:$C$38,2,0)</f>
        <v>645002</v>
      </c>
      <c r="D28" s="239">
        <f t="shared" si="0"/>
        <v>1853.4540229885058</v>
      </c>
      <c r="E28" s="246">
        <f>VLOOKUP(A28,[10]進出口值表查詢結果!$A$1:$C$50,3,0)</f>
        <v>1550</v>
      </c>
      <c r="F28" s="241">
        <f>E28/E64</f>
        <v>4.0398353832239971E-3</v>
      </c>
      <c r="G28" s="246">
        <f>VLOOKUP(A28,[10]進出口值表查詢結果!$A$1:$C$50,2,0)</f>
        <v>2895243</v>
      </c>
      <c r="H28" s="241">
        <f>G28/G64</f>
        <v>4.5735356143718261E-3</v>
      </c>
      <c r="I28" s="243">
        <f t="shared" si="1"/>
        <v>1867.8987096774194</v>
      </c>
    </row>
    <row r="29" spans="1:9" s="226" customFormat="1">
      <c r="A29" s="253" t="s">
        <v>258</v>
      </c>
      <c r="B29" s="245">
        <f>VLOOKUP(A29,[9]進出口值表查詢結果!$A$2:$C$38,3,0)</f>
        <v>891</v>
      </c>
      <c r="C29" s="245">
        <f>VLOOKUP(A29,[9]進出口值表查詢結果!$A$2:$C$38,2,0)</f>
        <v>377662</v>
      </c>
      <c r="D29" s="239">
        <f t="shared" si="0"/>
        <v>423.86307519640854</v>
      </c>
      <c r="E29" s="246">
        <f>VLOOKUP(A29,[10]進出口值表查詢結果!$A$1:$C$50,3,0)</f>
        <v>4381</v>
      </c>
      <c r="F29" s="241">
        <f>E29/E64</f>
        <v>1.1418399234776989E-2</v>
      </c>
      <c r="G29" s="246">
        <f>VLOOKUP(A29,[10]進出口值表查詢結果!$A$1:$C$50,2,0)</f>
        <v>2741854</v>
      </c>
      <c r="H29" s="241">
        <f>G29/G64</f>
        <v>4.3312312363445312E-3</v>
      </c>
      <c r="I29" s="243">
        <f t="shared" si="1"/>
        <v>625.85117553070074</v>
      </c>
    </row>
    <row r="30" spans="1:9" s="226" customFormat="1">
      <c r="A30" s="253" t="s">
        <v>259</v>
      </c>
      <c r="B30" s="245">
        <v>0</v>
      </c>
      <c r="C30" s="245">
        <v>0</v>
      </c>
      <c r="D30" s="239">
        <f t="shared" si="0"/>
        <v>0</v>
      </c>
      <c r="E30" s="246">
        <f>VLOOKUP(A30,[10]進出口值表查詢結果!$A$1:$C$50,3,0)</f>
        <v>86</v>
      </c>
      <c r="F30" s="241">
        <f>E30/E64</f>
        <v>2.2414570513371856E-4</v>
      </c>
      <c r="G30" s="246">
        <f>VLOOKUP(A30,[10]進出口值表查詢結果!$A$1:$C$50,2,0)</f>
        <v>156330</v>
      </c>
      <c r="H30" s="241">
        <f>G30/G64</f>
        <v>2.4695019471413887E-4</v>
      </c>
      <c r="I30" s="243">
        <f t="shared" si="1"/>
        <v>1817.7906976744187</v>
      </c>
    </row>
    <row r="31" spans="1:9" s="226" customFormat="1">
      <c r="A31" s="253" t="s">
        <v>260</v>
      </c>
      <c r="B31" s="245">
        <v>0</v>
      </c>
      <c r="C31" s="245">
        <v>0</v>
      </c>
      <c r="D31" s="239">
        <f t="shared" si="0"/>
        <v>0</v>
      </c>
      <c r="E31" s="246">
        <v>0</v>
      </c>
      <c r="F31" s="241">
        <f>E31/E64</f>
        <v>0</v>
      </c>
      <c r="G31" s="246">
        <v>0</v>
      </c>
      <c r="H31" s="241">
        <f>G31/G64</f>
        <v>0</v>
      </c>
      <c r="I31" s="243">
        <f t="shared" si="1"/>
        <v>0</v>
      </c>
    </row>
    <row r="32" spans="1:9" s="226" customFormat="1">
      <c r="A32" s="30" t="s">
        <v>262</v>
      </c>
      <c r="B32" s="245">
        <v>0</v>
      </c>
      <c r="C32" s="245">
        <v>0</v>
      </c>
      <c r="D32" s="239">
        <f t="shared" si="0"/>
        <v>0</v>
      </c>
      <c r="E32" s="246">
        <v>0</v>
      </c>
      <c r="F32" s="241">
        <f>E32/E64</f>
        <v>0</v>
      </c>
      <c r="G32" s="246">
        <v>0</v>
      </c>
      <c r="H32" s="241">
        <f>G32/G64</f>
        <v>0</v>
      </c>
      <c r="I32" s="243">
        <f t="shared" si="1"/>
        <v>0</v>
      </c>
    </row>
    <row r="33" spans="1:9" s="226" customFormat="1">
      <c r="A33" s="253" t="s">
        <v>264</v>
      </c>
      <c r="B33" s="245">
        <v>0</v>
      </c>
      <c r="C33" s="245">
        <v>0</v>
      </c>
      <c r="D33" s="239">
        <f t="shared" si="0"/>
        <v>0</v>
      </c>
      <c r="E33" s="246">
        <v>0</v>
      </c>
      <c r="F33" s="241">
        <f>E33/E64</f>
        <v>0</v>
      </c>
      <c r="G33" s="246">
        <v>0</v>
      </c>
      <c r="H33" s="241">
        <f>G33/G64</f>
        <v>0</v>
      </c>
      <c r="I33" s="243">
        <f t="shared" si="1"/>
        <v>0</v>
      </c>
    </row>
    <row r="34" spans="1:9" s="226" customFormat="1">
      <c r="A34" s="253" t="s">
        <v>265</v>
      </c>
      <c r="B34" s="245">
        <v>0</v>
      </c>
      <c r="C34" s="245">
        <v>0</v>
      </c>
      <c r="D34" s="239">
        <f t="shared" si="0"/>
        <v>0</v>
      </c>
      <c r="E34" s="246">
        <v>0</v>
      </c>
      <c r="F34" s="241">
        <f>E34/E64</f>
        <v>0</v>
      </c>
      <c r="G34" s="246">
        <v>0</v>
      </c>
      <c r="H34" s="241">
        <f>G34/G64</f>
        <v>0</v>
      </c>
      <c r="I34" s="243">
        <f t="shared" si="1"/>
        <v>0</v>
      </c>
    </row>
    <row r="35" spans="1:9" s="226" customFormat="1">
      <c r="A35" s="254" t="s">
        <v>383</v>
      </c>
      <c r="B35" s="245">
        <v>0</v>
      </c>
      <c r="C35" s="245">
        <v>0</v>
      </c>
      <c r="D35" s="239">
        <f t="shared" si="0"/>
        <v>0</v>
      </c>
      <c r="E35" s="246">
        <v>0</v>
      </c>
      <c r="F35" s="241">
        <f>E35/E64</f>
        <v>0</v>
      </c>
      <c r="G35" s="246">
        <v>0</v>
      </c>
      <c r="H35" s="241">
        <f>G35/G64</f>
        <v>0</v>
      </c>
      <c r="I35" s="243">
        <f t="shared" si="1"/>
        <v>0</v>
      </c>
    </row>
    <row r="36" spans="1:9" s="226" customFormat="1">
      <c r="A36" s="253" t="s">
        <v>268</v>
      </c>
      <c r="B36" s="245">
        <v>0</v>
      </c>
      <c r="C36" s="245">
        <v>0</v>
      </c>
      <c r="D36" s="239">
        <f t="shared" si="0"/>
        <v>0</v>
      </c>
      <c r="E36" s="246">
        <v>0</v>
      </c>
      <c r="F36" s="241">
        <f>E36/E64</f>
        <v>0</v>
      </c>
      <c r="G36" s="246">
        <v>0</v>
      </c>
      <c r="H36" s="241">
        <f>G36/G64</f>
        <v>0</v>
      </c>
      <c r="I36" s="243">
        <f t="shared" si="1"/>
        <v>0</v>
      </c>
    </row>
    <row r="37" spans="1:9" s="226" customFormat="1">
      <c r="A37" s="253" t="s">
        <v>384</v>
      </c>
      <c r="B37" s="245">
        <v>0</v>
      </c>
      <c r="C37" s="245">
        <v>0</v>
      </c>
      <c r="D37" s="239">
        <f t="shared" si="0"/>
        <v>0</v>
      </c>
      <c r="E37" s="246">
        <v>0</v>
      </c>
      <c r="F37" s="241">
        <f>E37/E64</f>
        <v>0</v>
      </c>
      <c r="G37" s="246">
        <v>0</v>
      </c>
      <c r="H37" s="241">
        <f>G37/G64</f>
        <v>0</v>
      </c>
      <c r="I37" s="243">
        <f t="shared" si="1"/>
        <v>0</v>
      </c>
    </row>
    <row r="38" spans="1:9" s="226" customFormat="1">
      <c r="A38" s="253" t="s">
        <v>270</v>
      </c>
      <c r="B38" s="245">
        <v>0</v>
      </c>
      <c r="C38" s="245">
        <v>0</v>
      </c>
      <c r="D38" s="239">
        <f t="shared" si="0"/>
        <v>0</v>
      </c>
      <c r="E38" s="246">
        <v>0</v>
      </c>
      <c r="F38" s="241">
        <f>E38/E64</f>
        <v>0</v>
      </c>
      <c r="G38" s="246">
        <v>0</v>
      </c>
      <c r="H38" s="241">
        <f>G38/G64</f>
        <v>0</v>
      </c>
      <c r="I38" s="243">
        <f t="shared" si="1"/>
        <v>0</v>
      </c>
    </row>
    <row r="39" spans="1:9" s="226" customFormat="1">
      <c r="A39" s="253" t="s">
        <v>271</v>
      </c>
      <c r="B39" s="245">
        <v>0</v>
      </c>
      <c r="C39" s="245">
        <v>0</v>
      </c>
      <c r="D39" s="239">
        <f t="shared" si="0"/>
        <v>0</v>
      </c>
      <c r="E39" s="246">
        <v>0</v>
      </c>
      <c r="F39" s="241">
        <f>E39/E64</f>
        <v>0</v>
      </c>
      <c r="G39" s="246">
        <v>0</v>
      </c>
      <c r="H39" s="241">
        <f>G39/G64</f>
        <v>0</v>
      </c>
      <c r="I39" s="243">
        <f t="shared" si="1"/>
        <v>0</v>
      </c>
    </row>
    <row r="40" spans="1:9" s="226" customFormat="1">
      <c r="A40" s="30" t="s">
        <v>272</v>
      </c>
      <c r="B40" s="245">
        <v>0</v>
      </c>
      <c r="C40" s="245">
        <v>0</v>
      </c>
      <c r="D40" s="239">
        <f t="shared" si="0"/>
        <v>0</v>
      </c>
      <c r="E40" s="246">
        <v>0</v>
      </c>
      <c r="F40" s="241">
        <f>E40/E64</f>
        <v>0</v>
      </c>
      <c r="G40" s="246">
        <v>0</v>
      </c>
      <c r="H40" s="241">
        <f>G40/G64</f>
        <v>0</v>
      </c>
      <c r="I40" s="243">
        <f t="shared" si="1"/>
        <v>0</v>
      </c>
    </row>
    <row r="41" spans="1:9" s="226" customFormat="1">
      <c r="A41" s="30"/>
      <c r="B41" s="34"/>
      <c r="C41" s="35"/>
      <c r="D41" s="239"/>
      <c r="E41" s="247"/>
      <c r="F41" s="248"/>
      <c r="G41" s="247"/>
      <c r="H41" s="248"/>
      <c r="I41" s="243"/>
    </row>
    <row r="42" spans="1:9" s="226" customFormat="1">
      <c r="A42" s="252" t="s">
        <v>20</v>
      </c>
      <c r="B42" s="250">
        <f>SUM(B43:B46)</f>
        <v>1310</v>
      </c>
      <c r="C42" s="250">
        <f>SUM(C43:C46)</f>
        <v>2078185</v>
      </c>
      <c r="D42" s="239">
        <f t="shared" si="0"/>
        <v>1586.4007633587787</v>
      </c>
      <c r="E42" s="250">
        <f>SUM(E43:E46)</f>
        <v>8818</v>
      </c>
      <c r="F42" s="241">
        <f>E42/E64</f>
        <v>2.2982753812431745E-2</v>
      </c>
      <c r="G42" s="250">
        <f>SUM(G43:G46)</f>
        <v>15594030</v>
      </c>
      <c r="H42" s="241">
        <f>G42/G64</f>
        <v>2.4633459635886416E-2</v>
      </c>
      <c r="I42" s="243">
        <f t="shared" si="1"/>
        <v>1768.4316171467453</v>
      </c>
    </row>
    <row r="43" spans="1:9" s="226" customFormat="1">
      <c r="A43" s="244" t="s">
        <v>183</v>
      </c>
      <c r="B43" s="245">
        <f>VLOOKUP(A43,[9]進出口值表查詢結果!$A$2:$C$38,3,0)</f>
        <v>808</v>
      </c>
      <c r="C43" s="245">
        <f>VLOOKUP(A43,[9]進出口值表查詢結果!$A$2:$C$38,2,0)</f>
        <v>1415273</v>
      </c>
      <c r="D43" s="239">
        <f t="shared" si="0"/>
        <v>1751.575495049505</v>
      </c>
      <c r="E43" s="246">
        <f>VLOOKUP(A43,[10]進出口值表查詢結果!$A$1:$C$50,3,0)</f>
        <v>5708</v>
      </c>
      <c r="F43" s="241">
        <f>E43/E64</f>
        <v>1.4877019591898437E-2</v>
      </c>
      <c r="G43" s="246">
        <f>VLOOKUP(A43,[10]進出口值表查詢結果!$A$1:$C$50,2,0)</f>
        <v>10517079</v>
      </c>
      <c r="H43" s="241">
        <f>G43/G64</f>
        <v>1.6613539991517823E-2</v>
      </c>
      <c r="I43" s="243">
        <f t="shared" si="1"/>
        <v>1842.5155921513665</v>
      </c>
    </row>
    <row r="44" spans="1:9" s="226" customFormat="1">
      <c r="A44" s="244" t="s">
        <v>274</v>
      </c>
      <c r="B44" s="245">
        <f>VLOOKUP(A44,[9]進出口值表查詢結果!$A$2:$C$38,3,0)</f>
        <v>502</v>
      </c>
      <c r="C44" s="245">
        <f>VLOOKUP(A44,[9]進出口值表查詢結果!$A$2:$C$38,2,0)</f>
        <v>662912</v>
      </c>
      <c r="D44" s="239">
        <f t="shared" si="0"/>
        <v>1320.5418326693227</v>
      </c>
      <c r="E44" s="246">
        <f>VLOOKUP(A44,[10]進出口值表查詢結果!$A$1:$C$50,3,0)</f>
        <v>3078</v>
      </c>
      <c r="F44" s="241">
        <f>E44/E64</f>
        <v>8.0223311674602997E-3</v>
      </c>
      <c r="G44" s="246">
        <f>VLOOKUP(A44,[10]進出口值表查詢結果!$A$1:$C$50,2,0)</f>
        <v>5016663</v>
      </c>
      <c r="H44" s="241">
        <f>G44/G64</f>
        <v>7.9246843514694312E-3</v>
      </c>
      <c r="I44" s="243">
        <f t="shared" si="1"/>
        <v>1629.8450292397661</v>
      </c>
    </row>
    <row r="45" spans="1:9" s="226" customFormat="1">
      <c r="A45" s="244" t="s">
        <v>275</v>
      </c>
      <c r="B45" s="245">
        <v>0</v>
      </c>
      <c r="C45" s="245">
        <v>0</v>
      </c>
      <c r="D45" s="239">
        <f t="shared" si="0"/>
        <v>0</v>
      </c>
      <c r="E45" s="246">
        <f>VLOOKUP(A45,[10]進出口值表查詢結果!$A$1:$C$50,3,0)</f>
        <v>32</v>
      </c>
      <c r="F45" s="241">
        <f>E45/E64</f>
        <v>8.3403053073011549E-5</v>
      </c>
      <c r="G45" s="246">
        <f>VLOOKUP(A45,[10]進出口值表查詢結果!$A$1:$C$50,2,0)</f>
        <v>60288</v>
      </c>
      <c r="H45" s="241">
        <f>G45/G64</f>
        <v>9.523529289916207E-5</v>
      </c>
      <c r="I45" s="243">
        <f t="shared" si="1"/>
        <v>1884</v>
      </c>
    </row>
    <row r="46" spans="1:9" s="226" customFormat="1">
      <c r="A46" s="37" t="s">
        <v>21</v>
      </c>
      <c r="B46" s="245">
        <v>0</v>
      </c>
      <c r="C46" s="245">
        <v>0</v>
      </c>
      <c r="D46" s="239">
        <f t="shared" si="0"/>
        <v>0</v>
      </c>
      <c r="E46" s="246">
        <v>0</v>
      </c>
      <c r="F46" s="241">
        <f>E46/E64</f>
        <v>0</v>
      </c>
      <c r="G46" s="246">
        <v>0</v>
      </c>
      <c r="H46" s="241">
        <f>G46/G64</f>
        <v>0</v>
      </c>
      <c r="I46" s="243">
        <f t="shared" si="1"/>
        <v>0</v>
      </c>
    </row>
    <row r="47" spans="1:9" s="226" customFormat="1">
      <c r="A47" s="37"/>
      <c r="B47" s="245"/>
      <c r="C47" s="35"/>
      <c r="D47" s="239"/>
      <c r="E47" s="247"/>
      <c r="F47" s="248"/>
      <c r="G47" s="247"/>
      <c r="H47" s="248"/>
      <c r="I47" s="243"/>
    </row>
    <row r="48" spans="1:9" s="226" customFormat="1">
      <c r="A48" s="252" t="s">
        <v>22</v>
      </c>
      <c r="B48" s="250">
        <f>SUM(B49:B62)</f>
        <v>7719</v>
      </c>
      <c r="C48" s="250">
        <f>SUM(C49:C62)</f>
        <v>14003160</v>
      </c>
      <c r="D48" s="239">
        <f t="shared" si="0"/>
        <v>1814.1158181111543</v>
      </c>
      <c r="E48" s="250">
        <f>SUM(E49:E62)</f>
        <v>47502</v>
      </c>
      <c r="F48" s="241">
        <f>E48/E64</f>
        <v>0.12380661959606859</v>
      </c>
      <c r="G48" s="250">
        <f>SUM(G49:G62)</f>
        <v>80228709</v>
      </c>
      <c r="H48" s="241">
        <f>G48/G64</f>
        <v>0.12673508161718153</v>
      </c>
      <c r="I48" s="243">
        <f t="shared" si="1"/>
        <v>1688.9543387646836</v>
      </c>
    </row>
    <row r="49" spans="1:9" s="226" customFormat="1">
      <c r="A49" s="252" t="s">
        <v>162</v>
      </c>
      <c r="B49" s="245">
        <f>VLOOKUP(A49,[9]進出口值表查詢結果!$A$2:$C$38,3,0)</f>
        <v>4109</v>
      </c>
      <c r="C49" s="245">
        <f>VLOOKUP(A49,[9]進出口值表查詢結果!$A$2:$C$38,2,0)</f>
        <v>6272063</v>
      </c>
      <c r="D49" s="239">
        <f t="shared" si="0"/>
        <v>1526.4207836456558</v>
      </c>
      <c r="E49" s="246">
        <f>VLOOKUP(A49,[10]進出口值表查詢結果!$A$1:$C$50,3,0)</f>
        <v>25287</v>
      </c>
      <c r="F49" s="241">
        <f>E49/E64</f>
        <v>6.5906656345538855E-2</v>
      </c>
      <c r="G49" s="246">
        <f>VLOOKUP(A49,[10]進出口值表查詢結果!$A$1:$C$50,2,0)</f>
        <v>35038578</v>
      </c>
      <c r="H49" s="241">
        <f>G49/G64</f>
        <v>5.5349476489519246E-2</v>
      </c>
      <c r="I49" s="243">
        <f t="shared" si="1"/>
        <v>1385.6360185075334</v>
      </c>
    </row>
    <row r="50" spans="1:9" s="226" customFormat="1">
      <c r="A50" s="244" t="s">
        <v>385</v>
      </c>
      <c r="B50" s="245">
        <f>VLOOKUP(A50,[9]進出口值表查詢結果!$A$2:$C$38,3,0)</f>
        <v>324</v>
      </c>
      <c r="C50" s="245">
        <f>VLOOKUP(A50,[9]進出口值表查詢結果!$A$2:$C$38,2,0)</f>
        <v>361478</v>
      </c>
      <c r="D50" s="239">
        <f t="shared" si="0"/>
        <v>1115.6728395061727</v>
      </c>
      <c r="E50" s="246">
        <f>VLOOKUP(A50,[10]進出口值表查詢結果!$A$1:$C$50,3,0)</f>
        <v>4745</v>
      </c>
      <c r="F50" s="241">
        <f>E50/E64</f>
        <v>1.2367108963482495E-2</v>
      </c>
      <c r="G50" s="246">
        <f>VLOOKUP(A50,[10]進出口值表查詢結果!$A$1:$C$50,2,0)</f>
        <v>5667098</v>
      </c>
      <c r="H50" s="241">
        <f>G50/G64</f>
        <v>8.9521586040050352E-3</v>
      </c>
      <c r="I50" s="243">
        <f t="shared" si="1"/>
        <v>1194.3304531085353</v>
      </c>
    </row>
    <row r="51" spans="1:9" s="226" customFormat="1">
      <c r="A51" s="244" t="s">
        <v>454</v>
      </c>
      <c r="B51" s="245">
        <f>VLOOKUP(A51,[9]進出口值表查詢結果!$A$2:$C$38,3,0)</f>
        <v>196</v>
      </c>
      <c r="C51" s="245">
        <f>VLOOKUP(A51,[9]進出口值表查詢結果!$A$2:$C$38,2,0)</f>
        <v>183556</v>
      </c>
      <c r="D51" s="239">
        <f t="shared" si="0"/>
        <v>936.51020408163265</v>
      </c>
      <c r="E51" s="246">
        <f>VLOOKUP(A51,[10]進出口值表查詢結果!$A$1:$C$50,3,0)</f>
        <v>234</v>
      </c>
      <c r="F51" s="241">
        <f>E51/E64</f>
        <v>6.0988482559639701E-4</v>
      </c>
      <c r="G51" s="246">
        <f>VLOOKUP(A51,[10]進出口值表查詢結果!$A$1:$C$50,2,0)</f>
        <v>285808</v>
      </c>
      <c r="H51" s="241">
        <f>G51/G64</f>
        <v>4.5148302469685033E-4</v>
      </c>
      <c r="I51" s="243">
        <f t="shared" si="1"/>
        <v>1221.4017094017095</v>
      </c>
    </row>
    <row r="52" spans="1:9" s="226" customFormat="1">
      <c r="A52" s="244" t="s">
        <v>298</v>
      </c>
      <c r="B52" s="245">
        <f>VLOOKUP(A52,[9]進出口值表查詢結果!$A$2:$C$38,3,0)</f>
        <v>3</v>
      </c>
      <c r="C52" s="245">
        <f>VLOOKUP(A52,[9]進出口值表查詢結果!$A$2:$C$38,2,0)</f>
        <v>16672</v>
      </c>
      <c r="D52" s="239">
        <f t="shared" si="0"/>
        <v>5557.333333333333</v>
      </c>
      <c r="E52" s="246">
        <f>VLOOKUP(A52,[10]進出口值表查詢結果!$A$1:$C$50,3,0)</f>
        <v>422</v>
      </c>
      <c r="F52" s="241">
        <f>E52/E64</f>
        <v>1.0998777624003399E-3</v>
      </c>
      <c r="G52" s="246">
        <f>VLOOKUP(A52,[10]進出口值表查詢結果!$A$1:$C$50,2,0)</f>
        <v>1112109</v>
      </c>
      <c r="H52" s="241">
        <f>G52/G64</f>
        <v>1.7567679530054775E-3</v>
      </c>
      <c r="I52" s="243">
        <f t="shared" si="1"/>
        <v>2635.329383886256</v>
      </c>
    </row>
    <row r="53" spans="1:9" s="226" customFormat="1">
      <c r="A53" s="37" t="s">
        <v>23</v>
      </c>
      <c r="B53" s="245">
        <v>0</v>
      </c>
      <c r="C53" s="245">
        <v>0</v>
      </c>
      <c r="D53" s="239">
        <f t="shared" si="0"/>
        <v>0</v>
      </c>
      <c r="E53" s="246">
        <f>VLOOKUP(A53,[10]進出口值表查詢結果!$A$1:$C$50,3,0)</f>
        <v>4</v>
      </c>
      <c r="F53" s="241">
        <f>E53/E64</f>
        <v>1.0425381634126444E-5</v>
      </c>
      <c r="G53" s="246">
        <f>VLOOKUP(A53,[10]進出口值表查詢結果!$A$1:$C$50,2,0)</f>
        <v>12812</v>
      </c>
      <c r="H53" s="241">
        <f>G53/G64</f>
        <v>2.0238763479035037E-5</v>
      </c>
      <c r="I53" s="243">
        <f t="shared" si="1"/>
        <v>3203</v>
      </c>
    </row>
    <row r="54" spans="1:9" s="226" customFormat="1">
      <c r="A54" s="244" t="s">
        <v>304</v>
      </c>
      <c r="B54" s="245">
        <f>VLOOKUP(A54,[9]進出口值表查詢結果!$A$2:$C$38,3,0)</f>
        <v>132</v>
      </c>
      <c r="C54" s="245">
        <f>VLOOKUP(A54,[9]進出口值表查詢結果!$A$2:$C$38,2,0)</f>
        <v>402376</v>
      </c>
      <c r="D54" s="239">
        <f t="shared" si="0"/>
        <v>3048.3030303030305</v>
      </c>
      <c r="E54" s="246">
        <f>VLOOKUP(A54,[10]進出口值表查詢結果!$A$1:$C$50,3,0)</f>
        <v>733</v>
      </c>
      <c r="F54" s="241">
        <f>E54/E64</f>
        <v>1.9104511844536709E-3</v>
      </c>
      <c r="G54" s="246">
        <f>VLOOKUP(A54,[10]進出口值表查詢結果!$A$1:$C$50,2,0)</f>
        <v>1929435</v>
      </c>
      <c r="H54" s="241">
        <f>G54/G64</f>
        <v>3.0478753210405845E-3</v>
      </c>
      <c r="I54" s="243">
        <f t="shared" si="1"/>
        <v>2632.244201909959</v>
      </c>
    </row>
    <row r="55" spans="1:9" s="226" customFormat="1">
      <c r="A55" s="26" t="s">
        <v>386</v>
      </c>
      <c r="B55" s="245">
        <f>VLOOKUP(A55,[9]進出口值表查詢結果!$A$2:$C$38,3,0)</f>
        <v>929</v>
      </c>
      <c r="C55" s="245">
        <f>VLOOKUP(A55,[9]進出口值表查詢結果!$A$2:$C$38,2,0)</f>
        <v>2260176</v>
      </c>
      <c r="D55" s="239">
        <f t="shared" si="0"/>
        <v>2432.9128094725511</v>
      </c>
      <c r="E55" s="246">
        <f>VLOOKUP(A55,[10]進出口值表查詢結果!$A$1:$C$50,3,0)</f>
        <v>6724</v>
      </c>
      <c r="F55" s="241">
        <f>E55/E64</f>
        <v>1.7525066526966553E-2</v>
      </c>
      <c r="G55" s="246">
        <f>VLOOKUP(A55,[10]進出口值表查詢結果!$A$1:$C$50,2,0)</f>
        <v>14537206</v>
      </c>
      <c r="H55" s="241">
        <f>G55/G64</f>
        <v>2.2964023874493367E-2</v>
      </c>
      <c r="I55" s="243">
        <f t="shared" si="1"/>
        <v>2161.9878048780488</v>
      </c>
    </row>
    <row r="56" spans="1:9" s="226" customFormat="1">
      <c r="A56" s="37" t="s">
        <v>24</v>
      </c>
      <c r="B56" s="245">
        <v>0</v>
      </c>
      <c r="C56" s="245">
        <v>0</v>
      </c>
      <c r="D56" s="239">
        <f t="shared" si="0"/>
        <v>0</v>
      </c>
      <c r="E56" s="246">
        <f>VLOOKUP(A56,[10]進出口值表查詢結果!$A$1:$C$50,3,0)</f>
        <v>76</v>
      </c>
      <c r="F56" s="241">
        <f>E56/E64</f>
        <v>1.9808225104840245E-4</v>
      </c>
      <c r="G56" s="246">
        <f>VLOOKUP(A56,[10]進出口值表查詢結果!$A$1:$C$50,2,0)</f>
        <v>219126</v>
      </c>
      <c r="H56" s="241">
        <f>G56/G64</f>
        <v>3.4614730612761722E-4</v>
      </c>
      <c r="I56" s="243">
        <f t="shared" si="1"/>
        <v>2883.2368421052633</v>
      </c>
    </row>
    <row r="57" spans="1:9" s="226" customFormat="1">
      <c r="A57" s="37" t="s">
        <v>240</v>
      </c>
      <c r="B57" s="245">
        <f>VLOOKUP(A57,[9]進出口值表查詢結果!$A$2:$C$38,3,0)</f>
        <v>40</v>
      </c>
      <c r="C57" s="245">
        <f>VLOOKUP(A57,[9]進出口值表查詢結果!$A$2:$C$38,2,0)</f>
        <v>59004</v>
      </c>
      <c r="D57" s="239">
        <f t="shared" si="0"/>
        <v>1475.1</v>
      </c>
      <c r="E57" s="246">
        <f>VLOOKUP(A57,[10]進出口值表查詢結果!$A$1:$C$50,3,0)</f>
        <v>218</v>
      </c>
      <c r="F57" s="241">
        <f>E57/E64</f>
        <v>5.6818329905989121E-4</v>
      </c>
      <c r="G57" s="246">
        <f>VLOOKUP(A57,[10]進出口值表查詢結果!$A$1:$C$50,2,0)</f>
        <v>305493</v>
      </c>
      <c r="H57" s="241">
        <f>G57/G64</f>
        <v>4.8257887695136206E-4</v>
      </c>
      <c r="I57" s="243">
        <f t="shared" si="1"/>
        <v>1401.3440366972477</v>
      </c>
    </row>
    <row r="58" spans="1:9" s="226" customFormat="1">
      <c r="A58" s="37" t="s">
        <v>459</v>
      </c>
      <c r="B58" s="245">
        <f>VLOOKUP(A58,[9]進出口值表查詢結果!$A$2:$C$38,3,0)</f>
        <v>406</v>
      </c>
      <c r="C58" s="245">
        <f>VLOOKUP(A58,[9]進出口值表查詢結果!$A$2:$C$38,2,0)</f>
        <v>758809</v>
      </c>
      <c r="D58" s="239">
        <f t="shared" si="0"/>
        <v>1868.9876847290641</v>
      </c>
      <c r="E58" s="246">
        <f>VLOOKUP(A58,[10]進出口值表查詢結果!$A$1:$C$50,3,0)</f>
        <v>1463</v>
      </c>
      <c r="F58" s="241">
        <f>E58/E64</f>
        <v>3.8130833326817468E-3</v>
      </c>
      <c r="G58" s="246">
        <f>VLOOKUP(A58,[10]進出口值表查詢結果!$A$1:$C$50,2,0)</f>
        <v>3310579</v>
      </c>
      <c r="H58" s="241">
        <f>G58/G64</f>
        <v>5.2296304526740821E-3</v>
      </c>
      <c r="I58" s="243">
        <f t="shared" si="1"/>
        <v>2262.8701298701299</v>
      </c>
    </row>
    <row r="59" spans="1:9" s="226" customFormat="1">
      <c r="A59" s="37" t="s">
        <v>278</v>
      </c>
      <c r="B59" s="245">
        <v>0</v>
      </c>
      <c r="C59" s="245">
        <v>0</v>
      </c>
      <c r="D59" s="239">
        <f t="shared" si="0"/>
        <v>0</v>
      </c>
      <c r="E59" s="246">
        <v>0</v>
      </c>
      <c r="F59" s="241">
        <f>E59/E64</f>
        <v>0</v>
      </c>
      <c r="G59" s="246">
        <v>0</v>
      </c>
      <c r="H59" s="241">
        <f>G59/G64</f>
        <v>0</v>
      </c>
      <c r="I59" s="243">
        <f t="shared" si="1"/>
        <v>0</v>
      </c>
    </row>
    <row r="60" spans="1:9" s="226" customFormat="1">
      <c r="A60" s="37" t="s">
        <v>283</v>
      </c>
      <c r="B60" s="245">
        <v>0</v>
      </c>
      <c r="C60" s="245">
        <v>0</v>
      </c>
      <c r="D60" s="239">
        <f t="shared" si="0"/>
        <v>0</v>
      </c>
      <c r="E60" s="246">
        <v>0</v>
      </c>
      <c r="F60" s="241">
        <f>E60/E64</f>
        <v>0</v>
      </c>
      <c r="G60" s="246">
        <v>0</v>
      </c>
      <c r="H60" s="241">
        <f>G60/G64</f>
        <v>0</v>
      </c>
      <c r="I60" s="243">
        <f t="shared" si="1"/>
        <v>0</v>
      </c>
    </row>
    <row r="61" spans="1:9" s="226" customFormat="1">
      <c r="A61" s="37" t="s">
        <v>289</v>
      </c>
      <c r="B61" s="245">
        <f>VLOOKUP(A61,[9]進出口值表查詢結果!$A$2:$C$38,3,0)</f>
        <v>1097</v>
      </c>
      <c r="C61" s="245">
        <f>VLOOKUP(A61,[9]進出口值表查詢結果!$A$2:$C$38,2,0)</f>
        <v>2420775</v>
      </c>
      <c r="D61" s="239">
        <f t="shared" si="0"/>
        <v>2206.7228805834093</v>
      </c>
      <c r="E61" s="246">
        <f>VLOOKUP(A61,[10]進出口值表查詢結果!$A$1:$C$50,3,0)</f>
        <v>6007</v>
      </c>
      <c r="F61" s="241">
        <f>E61/E64</f>
        <v>1.5656316869049388E-2</v>
      </c>
      <c r="G61" s="246">
        <f>VLOOKUP(A61,[10]進出口值表查詢結果!$A$1:$C$50,2,0)</f>
        <v>13641602</v>
      </c>
      <c r="H61" s="241">
        <f>G61/G64</f>
        <v>2.1549262906113902E-2</v>
      </c>
      <c r="I61" s="243">
        <f t="shared" si="1"/>
        <v>2270.950890627601</v>
      </c>
    </row>
    <row r="62" spans="1:9" s="226" customFormat="1">
      <c r="A62" s="37" t="s">
        <v>337</v>
      </c>
      <c r="B62" s="245">
        <f>VLOOKUP(A62,[9]進出口值表查詢結果!$A$2:$C$38,3,0)</f>
        <v>483</v>
      </c>
      <c r="C62" s="245">
        <f>VLOOKUP(A62,[9]進出口值表查詢結果!$A$2:$C$38,2,0)</f>
        <v>1268251</v>
      </c>
      <c r="D62" s="239">
        <f t="shared" si="0"/>
        <v>2625.7784679089027</v>
      </c>
      <c r="E62" s="246">
        <f>VLOOKUP(A62,[10]進出口值表查詢結果!$A$1:$C$50,3,0)</f>
        <v>1589</v>
      </c>
      <c r="F62" s="241">
        <f>E62/E64</f>
        <v>4.1414828541567299E-3</v>
      </c>
      <c r="G62" s="246">
        <f>VLOOKUP(A62,[10]進出口值表查詢結果!$A$1:$C$50,2,0)</f>
        <v>4168863</v>
      </c>
      <c r="H62" s="241">
        <f>G62/G64</f>
        <v>6.5854380450749645E-3</v>
      </c>
      <c r="I62" s="243">
        <f t="shared" si="1"/>
        <v>2623.5764631843927</v>
      </c>
    </row>
    <row r="63" spans="1:9" s="226" customFormat="1">
      <c r="A63" s="37" t="s">
        <v>30</v>
      </c>
      <c r="B63" s="34">
        <f>B64-B48-B42-B13-B8</f>
        <v>504</v>
      </c>
      <c r="C63" s="34">
        <f>C64-C48-C42-C13-C8</f>
        <v>1339660</v>
      </c>
      <c r="D63" s="239">
        <f t="shared" si="0"/>
        <v>2658.0555555555557</v>
      </c>
      <c r="E63" s="247">
        <f>E64-E48-E42-E13-E8</f>
        <v>1629</v>
      </c>
      <c r="F63" s="248">
        <f>E63/$E$64</f>
        <v>4.2457366704979948E-3</v>
      </c>
      <c r="G63" s="247">
        <f>G64-G48-G42-G13-G8</f>
        <v>4374657</v>
      </c>
      <c r="H63" s="248">
        <f>G63/$G$64</f>
        <v>6.9105251580475324E-3</v>
      </c>
      <c r="I63" s="243">
        <f t="shared" si="1"/>
        <v>2685.4861878453039</v>
      </c>
    </row>
    <row r="64" spans="1:9" s="226" customFormat="1">
      <c r="A64" s="249" t="s">
        <v>401</v>
      </c>
      <c r="B64" s="245">
        <f>VLOOKUP(A64,[9]進出口值表查詢結果!$A$2:$C$38,3,0)</f>
        <v>66723</v>
      </c>
      <c r="C64" s="245">
        <f>VLOOKUP(A64,[9]進出口值表查詢結果!$A$2:$C$38,2,0)</f>
        <v>116784135</v>
      </c>
      <c r="D64" s="515">
        <f t="shared" ref="D64" si="2">C64/B64</f>
        <v>1750.2830358347196</v>
      </c>
      <c r="E64" s="246">
        <f>VLOOKUP(A64,[10]進出口值表查詢結果!$A$1:$C$50,3,0)</f>
        <v>383679</v>
      </c>
      <c r="F64" s="516">
        <f>E64/$E$64</f>
        <v>1</v>
      </c>
      <c r="G64" s="246">
        <f>VLOOKUP(A64,[10]進出口值表查詢結果!$A$1:$C$50,2,0)</f>
        <v>633042627</v>
      </c>
      <c r="H64" s="241">
        <f>G64/$G$64</f>
        <v>1</v>
      </c>
      <c r="I64" s="243">
        <f t="shared" si="1"/>
        <v>1649.9277442862392</v>
      </c>
    </row>
    <row r="65" spans="1:9" s="226" customFormat="1" ht="10.5" customHeight="1">
      <c r="A65" s="255"/>
      <c r="B65" s="256"/>
      <c r="C65" s="257"/>
      <c r="D65" s="258"/>
      <c r="E65" s="259"/>
      <c r="F65" s="260"/>
      <c r="G65" s="257"/>
      <c r="H65" s="260"/>
      <c r="I65" s="261"/>
    </row>
    <row r="66" spans="1:9" s="226" customFormat="1" ht="15" customHeight="1">
      <c r="A66" s="262" t="s">
        <v>120</v>
      </c>
      <c r="B66" s="263"/>
      <c r="C66" s="263"/>
      <c r="D66" s="263"/>
    </row>
    <row r="67" spans="1:9" s="226" customFormat="1">
      <c r="A67" s="5"/>
      <c r="B67" s="5"/>
      <c r="C67" s="5"/>
      <c r="D67" s="5"/>
      <c r="E67" s="5"/>
      <c r="F67" s="5"/>
      <c r="G67" s="5"/>
      <c r="H67" s="5"/>
      <c r="I67" s="5"/>
    </row>
  </sheetData>
  <phoneticPr fontId="3" type="noConversion"/>
  <pageMargins left="0.51181102362204722" right="0.51181102362204722" top="0.35433070866141736" bottom="0.35433070866141736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66"/>
  <sheetViews>
    <sheetView zoomScaleNormal="100" workbookViewId="0">
      <selection activeCell="B18" sqref="B18"/>
    </sheetView>
  </sheetViews>
  <sheetFormatPr defaultRowHeight="16.5"/>
  <cols>
    <col min="1" max="1" width="19.5" style="269" customWidth="1"/>
    <col min="2" max="2" width="12.125" style="269" customWidth="1"/>
    <col min="3" max="3" width="12.5" style="270" customWidth="1"/>
    <col min="4" max="4" width="13.75" style="271" customWidth="1"/>
    <col min="5" max="5" width="14.625" style="269" customWidth="1"/>
    <col min="6" max="6" width="15.125" style="270" customWidth="1"/>
    <col min="7" max="7" width="12.25" style="303" customWidth="1"/>
    <col min="8" max="8" width="12.5" style="269" customWidth="1"/>
    <col min="9" max="9" width="12.25" style="269" customWidth="1"/>
    <col min="10" max="10" width="11.625" style="269" customWidth="1"/>
    <col min="11" max="256" width="8.875" style="269"/>
    <col min="257" max="257" width="19.5" style="269" customWidth="1"/>
    <col min="258" max="259" width="12.125" style="269" customWidth="1"/>
    <col min="260" max="260" width="13.75" style="269" customWidth="1"/>
    <col min="261" max="261" width="14.625" style="269" customWidth="1"/>
    <col min="262" max="262" width="15.125" style="269" customWidth="1"/>
    <col min="263" max="263" width="12.25" style="269" customWidth="1"/>
    <col min="264" max="264" width="12.5" style="269" customWidth="1"/>
    <col min="265" max="265" width="12.25" style="269" customWidth="1"/>
    <col min="266" max="266" width="11.625" style="269" customWidth="1"/>
    <col min="267" max="512" width="8.875" style="269"/>
    <col min="513" max="513" width="19.5" style="269" customWidth="1"/>
    <col min="514" max="515" width="12.125" style="269" customWidth="1"/>
    <col min="516" max="516" width="13.75" style="269" customWidth="1"/>
    <col min="517" max="517" width="14.625" style="269" customWidth="1"/>
    <col min="518" max="518" width="15.125" style="269" customWidth="1"/>
    <col min="519" max="519" width="12.25" style="269" customWidth="1"/>
    <col min="520" max="520" width="12.5" style="269" customWidth="1"/>
    <col min="521" max="521" width="12.25" style="269" customWidth="1"/>
    <col min="522" max="522" width="11.625" style="269" customWidth="1"/>
    <col min="523" max="768" width="8.875" style="269"/>
    <col min="769" max="769" width="19.5" style="269" customWidth="1"/>
    <col min="770" max="771" width="12.125" style="269" customWidth="1"/>
    <col min="772" max="772" width="13.75" style="269" customWidth="1"/>
    <col min="773" max="773" width="14.625" style="269" customWidth="1"/>
    <col min="774" max="774" width="15.125" style="269" customWidth="1"/>
    <col min="775" max="775" width="12.25" style="269" customWidth="1"/>
    <col min="776" max="776" width="12.5" style="269" customWidth="1"/>
    <col min="777" max="777" width="12.25" style="269" customWidth="1"/>
    <col min="778" max="778" width="11.625" style="269" customWidth="1"/>
    <col min="779" max="1024" width="8.875" style="269"/>
    <col min="1025" max="1025" width="19.5" style="269" customWidth="1"/>
    <col min="1026" max="1027" width="12.125" style="269" customWidth="1"/>
    <col min="1028" max="1028" width="13.75" style="269" customWidth="1"/>
    <col min="1029" max="1029" width="14.625" style="269" customWidth="1"/>
    <col min="1030" max="1030" width="15.125" style="269" customWidth="1"/>
    <col min="1031" max="1031" width="12.25" style="269" customWidth="1"/>
    <col min="1032" max="1032" width="12.5" style="269" customWidth="1"/>
    <col min="1033" max="1033" width="12.25" style="269" customWidth="1"/>
    <col min="1034" max="1034" width="11.625" style="269" customWidth="1"/>
    <col min="1035" max="1280" width="8.875" style="269"/>
    <col min="1281" max="1281" width="19.5" style="269" customWidth="1"/>
    <col min="1282" max="1283" width="12.125" style="269" customWidth="1"/>
    <col min="1284" max="1284" width="13.75" style="269" customWidth="1"/>
    <col min="1285" max="1285" width="14.625" style="269" customWidth="1"/>
    <col min="1286" max="1286" width="15.125" style="269" customWidth="1"/>
    <col min="1287" max="1287" width="12.25" style="269" customWidth="1"/>
    <col min="1288" max="1288" width="12.5" style="269" customWidth="1"/>
    <col min="1289" max="1289" width="12.25" style="269" customWidth="1"/>
    <col min="1290" max="1290" width="11.625" style="269" customWidth="1"/>
    <col min="1291" max="1536" width="8.875" style="269"/>
    <col min="1537" max="1537" width="19.5" style="269" customWidth="1"/>
    <col min="1538" max="1539" width="12.125" style="269" customWidth="1"/>
    <col min="1540" max="1540" width="13.75" style="269" customWidth="1"/>
    <col min="1541" max="1541" width="14.625" style="269" customWidth="1"/>
    <col min="1542" max="1542" width="15.125" style="269" customWidth="1"/>
    <col min="1543" max="1543" width="12.25" style="269" customWidth="1"/>
    <col min="1544" max="1544" width="12.5" style="269" customWidth="1"/>
    <col min="1545" max="1545" width="12.25" style="269" customWidth="1"/>
    <col min="1546" max="1546" width="11.625" style="269" customWidth="1"/>
    <col min="1547" max="1792" width="8.875" style="269"/>
    <col min="1793" max="1793" width="19.5" style="269" customWidth="1"/>
    <col min="1794" max="1795" width="12.125" style="269" customWidth="1"/>
    <col min="1796" max="1796" width="13.75" style="269" customWidth="1"/>
    <col min="1797" max="1797" width="14.625" style="269" customWidth="1"/>
    <col min="1798" max="1798" width="15.125" style="269" customWidth="1"/>
    <col min="1799" max="1799" width="12.25" style="269" customWidth="1"/>
    <col min="1800" max="1800" width="12.5" style="269" customWidth="1"/>
    <col min="1801" max="1801" width="12.25" style="269" customWidth="1"/>
    <col min="1802" max="1802" width="11.625" style="269" customWidth="1"/>
    <col min="1803" max="2048" width="8.875" style="269"/>
    <col min="2049" max="2049" width="19.5" style="269" customWidth="1"/>
    <col min="2050" max="2051" width="12.125" style="269" customWidth="1"/>
    <col min="2052" max="2052" width="13.75" style="269" customWidth="1"/>
    <col min="2053" max="2053" width="14.625" style="269" customWidth="1"/>
    <col min="2054" max="2054" width="15.125" style="269" customWidth="1"/>
    <col min="2055" max="2055" width="12.25" style="269" customWidth="1"/>
    <col min="2056" max="2056" width="12.5" style="269" customWidth="1"/>
    <col min="2057" max="2057" width="12.25" style="269" customWidth="1"/>
    <col min="2058" max="2058" width="11.625" style="269" customWidth="1"/>
    <col min="2059" max="2304" width="8.875" style="269"/>
    <col min="2305" max="2305" width="19.5" style="269" customWidth="1"/>
    <col min="2306" max="2307" width="12.125" style="269" customWidth="1"/>
    <col min="2308" max="2308" width="13.75" style="269" customWidth="1"/>
    <col min="2309" max="2309" width="14.625" style="269" customWidth="1"/>
    <col min="2310" max="2310" width="15.125" style="269" customWidth="1"/>
    <col min="2311" max="2311" width="12.25" style="269" customWidth="1"/>
    <col min="2312" max="2312" width="12.5" style="269" customWidth="1"/>
    <col min="2313" max="2313" width="12.25" style="269" customWidth="1"/>
    <col min="2314" max="2314" width="11.625" style="269" customWidth="1"/>
    <col min="2315" max="2560" width="8.875" style="269"/>
    <col min="2561" max="2561" width="19.5" style="269" customWidth="1"/>
    <col min="2562" max="2563" width="12.125" style="269" customWidth="1"/>
    <col min="2564" max="2564" width="13.75" style="269" customWidth="1"/>
    <col min="2565" max="2565" width="14.625" style="269" customWidth="1"/>
    <col min="2566" max="2566" width="15.125" style="269" customWidth="1"/>
    <col min="2567" max="2567" width="12.25" style="269" customWidth="1"/>
    <col min="2568" max="2568" width="12.5" style="269" customWidth="1"/>
    <col min="2569" max="2569" width="12.25" style="269" customWidth="1"/>
    <col min="2570" max="2570" width="11.625" style="269" customWidth="1"/>
    <col min="2571" max="2816" width="8.875" style="269"/>
    <col min="2817" max="2817" width="19.5" style="269" customWidth="1"/>
    <col min="2818" max="2819" width="12.125" style="269" customWidth="1"/>
    <col min="2820" max="2820" width="13.75" style="269" customWidth="1"/>
    <col min="2821" max="2821" width="14.625" style="269" customWidth="1"/>
    <col min="2822" max="2822" width="15.125" style="269" customWidth="1"/>
    <col min="2823" max="2823" width="12.25" style="269" customWidth="1"/>
    <col min="2824" max="2824" width="12.5" style="269" customWidth="1"/>
    <col min="2825" max="2825" width="12.25" style="269" customWidth="1"/>
    <col min="2826" max="2826" width="11.625" style="269" customWidth="1"/>
    <col min="2827" max="3072" width="8.875" style="269"/>
    <col min="3073" max="3073" width="19.5" style="269" customWidth="1"/>
    <col min="3074" max="3075" width="12.125" style="269" customWidth="1"/>
    <col min="3076" max="3076" width="13.75" style="269" customWidth="1"/>
    <col min="3077" max="3077" width="14.625" style="269" customWidth="1"/>
    <col min="3078" max="3078" width="15.125" style="269" customWidth="1"/>
    <col min="3079" max="3079" width="12.25" style="269" customWidth="1"/>
    <col min="3080" max="3080" width="12.5" style="269" customWidth="1"/>
    <col min="3081" max="3081" width="12.25" style="269" customWidth="1"/>
    <col min="3082" max="3082" width="11.625" style="269" customWidth="1"/>
    <col min="3083" max="3328" width="8.875" style="269"/>
    <col min="3329" max="3329" width="19.5" style="269" customWidth="1"/>
    <col min="3330" max="3331" width="12.125" style="269" customWidth="1"/>
    <col min="3332" max="3332" width="13.75" style="269" customWidth="1"/>
    <col min="3333" max="3333" width="14.625" style="269" customWidth="1"/>
    <col min="3334" max="3334" width="15.125" style="269" customWidth="1"/>
    <col min="3335" max="3335" width="12.25" style="269" customWidth="1"/>
    <col min="3336" max="3336" width="12.5" style="269" customWidth="1"/>
    <col min="3337" max="3337" width="12.25" style="269" customWidth="1"/>
    <col min="3338" max="3338" width="11.625" style="269" customWidth="1"/>
    <col min="3339" max="3584" width="8.875" style="269"/>
    <col min="3585" max="3585" width="19.5" style="269" customWidth="1"/>
    <col min="3586" max="3587" width="12.125" style="269" customWidth="1"/>
    <col min="3588" max="3588" width="13.75" style="269" customWidth="1"/>
    <col min="3589" max="3589" width="14.625" style="269" customWidth="1"/>
    <col min="3590" max="3590" width="15.125" style="269" customWidth="1"/>
    <col min="3591" max="3591" width="12.25" style="269" customWidth="1"/>
    <col min="3592" max="3592" width="12.5" style="269" customWidth="1"/>
    <col min="3593" max="3593" width="12.25" style="269" customWidth="1"/>
    <col min="3594" max="3594" width="11.625" style="269" customWidth="1"/>
    <col min="3595" max="3840" width="8.875" style="269"/>
    <col min="3841" max="3841" width="19.5" style="269" customWidth="1"/>
    <col min="3842" max="3843" width="12.125" style="269" customWidth="1"/>
    <col min="3844" max="3844" width="13.75" style="269" customWidth="1"/>
    <col min="3845" max="3845" width="14.625" style="269" customWidth="1"/>
    <col min="3846" max="3846" width="15.125" style="269" customWidth="1"/>
    <col min="3847" max="3847" width="12.25" style="269" customWidth="1"/>
    <col min="3848" max="3848" width="12.5" style="269" customWidth="1"/>
    <col min="3849" max="3849" width="12.25" style="269" customWidth="1"/>
    <col min="3850" max="3850" width="11.625" style="269" customWidth="1"/>
    <col min="3851" max="4096" width="8.875" style="269"/>
    <col min="4097" max="4097" width="19.5" style="269" customWidth="1"/>
    <col min="4098" max="4099" width="12.125" style="269" customWidth="1"/>
    <col min="4100" max="4100" width="13.75" style="269" customWidth="1"/>
    <col min="4101" max="4101" width="14.625" style="269" customWidth="1"/>
    <col min="4102" max="4102" width="15.125" style="269" customWidth="1"/>
    <col min="4103" max="4103" width="12.25" style="269" customWidth="1"/>
    <col min="4104" max="4104" width="12.5" style="269" customWidth="1"/>
    <col min="4105" max="4105" width="12.25" style="269" customWidth="1"/>
    <col min="4106" max="4106" width="11.625" style="269" customWidth="1"/>
    <col min="4107" max="4352" width="8.875" style="269"/>
    <col min="4353" max="4353" width="19.5" style="269" customWidth="1"/>
    <col min="4354" max="4355" width="12.125" style="269" customWidth="1"/>
    <col min="4356" max="4356" width="13.75" style="269" customWidth="1"/>
    <col min="4357" max="4357" width="14.625" style="269" customWidth="1"/>
    <col min="4358" max="4358" width="15.125" style="269" customWidth="1"/>
    <col min="4359" max="4359" width="12.25" style="269" customWidth="1"/>
    <col min="4360" max="4360" width="12.5" style="269" customWidth="1"/>
    <col min="4361" max="4361" width="12.25" style="269" customWidth="1"/>
    <col min="4362" max="4362" width="11.625" style="269" customWidth="1"/>
    <col min="4363" max="4608" width="8.875" style="269"/>
    <col min="4609" max="4609" width="19.5" style="269" customWidth="1"/>
    <col min="4610" max="4611" width="12.125" style="269" customWidth="1"/>
    <col min="4612" max="4612" width="13.75" style="269" customWidth="1"/>
    <col min="4613" max="4613" width="14.625" style="269" customWidth="1"/>
    <col min="4614" max="4614" width="15.125" style="269" customWidth="1"/>
    <col min="4615" max="4615" width="12.25" style="269" customWidth="1"/>
    <col min="4616" max="4616" width="12.5" style="269" customWidth="1"/>
    <col min="4617" max="4617" width="12.25" style="269" customWidth="1"/>
    <col min="4618" max="4618" width="11.625" style="269" customWidth="1"/>
    <col min="4619" max="4864" width="8.875" style="269"/>
    <col min="4865" max="4865" width="19.5" style="269" customWidth="1"/>
    <col min="4866" max="4867" width="12.125" style="269" customWidth="1"/>
    <col min="4868" max="4868" width="13.75" style="269" customWidth="1"/>
    <col min="4869" max="4869" width="14.625" style="269" customWidth="1"/>
    <col min="4870" max="4870" width="15.125" style="269" customWidth="1"/>
    <col min="4871" max="4871" width="12.25" style="269" customWidth="1"/>
    <col min="4872" max="4872" width="12.5" style="269" customWidth="1"/>
    <col min="4873" max="4873" width="12.25" style="269" customWidth="1"/>
    <col min="4874" max="4874" width="11.625" style="269" customWidth="1"/>
    <col min="4875" max="5120" width="8.875" style="269"/>
    <col min="5121" max="5121" width="19.5" style="269" customWidth="1"/>
    <col min="5122" max="5123" width="12.125" style="269" customWidth="1"/>
    <col min="5124" max="5124" width="13.75" style="269" customWidth="1"/>
    <col min="5125" max="5125" width="14.625" style="269" customWidth="1"/>
    <col min="5126" max="5126" width="15.125" style="269" customWidth="1"/>
    <col min="5127" max="5127" width="12.25" style="269" customWidth="1"/>
    <col min="5128" max="5128" width="12.5" style="269" customWidth="1"/>
    <col min="5129" max="5129" width="12.25" style="269" customWidth="1"/>
    <col min="5130" max="5130" width="11.625" style="269" customWidth="1"/>
    <col min="5131" max="5376" width="8.875" style="269"/>
    <col min="5377" max="5377" width="19.5" style="269" customWidth="1"/>
    <col min="5378" max="5379" width="12.125" style="269" customWidth="1"/>
    <col min="5380" max="5380" width="13.75" style="269" customWidth="1"/>
    <col min="5381" max="5381" width="14.625" style="269" customWidth="1"/>
    <col min="5382" max="5382" width="15.125" style="269" customWidth="1"/>
    <col min="5383" max="5383" width="12.25" style="269" customWidth="1"/>
    <col min="5384" max="5384" width="12.5" style="269" customWidth="1"/>
    <col min="5385" max="5385" width="12.25" style="269" customWidth="1"/>
    <col min="5386" max="5386" width="11.625" style="269" customWidth="1"/>
    <col min="5387" max="5632" width="8.875" style="269"/>
    <col min="5633" max="5633" width="19.5" style="269" customWidth="1"/>
    <col min="5634" max="5635" width="12.125" style="269" customWidth="1"/>
    <col min="5636" max="5636" width="13.75" style="269" customWidth="1"/>
    <col min="5637" max="5637" width="14.625" style="269" customWidth="1"/>
    <col min="5638" max="5638" width="15.125" style="269" customWidth="1"/>
    <col min="5639" max="5639" width="12.25" style="269" customWidth="1"/>
    <col min="5640" max="5640" width="12.5" style="269" customWidth="1"/>
    <col min="5641" max="5641" width="12.25" style="269" customWidth="1"/>
    <col min="5642" max="5642" width="11.625" style="269" customWidth="1"/>
    <col min="5643" max="5888" width="8.875" style="269"/>
    <col min="5889" max="5889" width="19.5" style="269" customWidth="1"/>
    <col min="5890" max="5891" width="12.125" style="269" customWidth="1"/>
    <col min="5892" max="5892" width="13.75" style="269" customWidth="1"/>
    <col min="5893" max="5893" width="14.625" style="269" customWidth="1"/>
    <col min="5894" max="5894" width="15.125" style="269" customWidth="1"/>
    <col min="5895" max="5895" width="12.25" style="269" customWidth="1"/>
    <col min="5896" max="5896" width="12.5" style="269" customWidth="1"/>
    <col min="5897" max="5897" width="12.25" style="269" customWidth="1"/>
    <col min="5898" max="5898" width="11.625" style="269" customWidth="1"/>
    <col min="5899" max="6144" width="8.875" style="269"/>
    <col min="6145" max="6145" width="19.5" style="269" customWidth="1"/>
    <col min="6146" max="6147" width="12.125" style="269" customWidth="1"/>
    <col min="6148" max="6148" width="13.75" style="269" customWidth="1"/>
    <col min="6149" max="6149" width="14.625" style="269" customWidth="1"/>
    <col min="6150" max="6150" width="15.125" style="269" customWidth="1"/>
    <col min="6151" max="6151" width="12.25" style="269" customWidth="1"/>
    <col min="6152" max="6152" width="12.5" style="269" customWidth="1"/>
    <col min="6153" max="6153" width="12.25" style="269" customWidth="1"/>
    <col min="6154" max="6154" width="11.625" style="269" customWidth="1"/>
    <col min="6155" max="6400" width="8.875" style="269"/>
    <col min="6401" max="6401" width="19.5" style="269" customWidth="1"/>
    <col min="6402" max="6403" width="12.125" style="269" customWidth="1"/>
    <col min="6404" max="6404" width="13.75" style="269" customWidth="1"/>
    <col min="6405" max="6405" width="14.625" style="269" customWidth="1"/>
    <col min="6406" max="6406" width="15.125" style="269" customWidth="1"/>
    <col min="6407" max="6407" width="12.25" style="269" customWidth="1"/>
    <col min="6408" max="6408" width="12.5" style="269" customWidth="1"/>
    <col min="6409" max="6409" width="12.25" style="269" customWidth="1"/>
    <col min="6410" max="6410" width="11.625" style="269" customWidth="1"/>
    <col min="6411" max="6656" width="8.875" style="269"/>
    <col min="6657" max="6657" width="19.5" style="269" customWidth="1"/>
    <col min="6658" max="6659" width="12.125" style="269" customWidth="1"/>
    <col min="6660" max="6660" width="13.75" style="269" customWidth="1"/>
    <col min="6661" max="6661" width="14.625" style="269" customWidth="1"/>
    <col min="6662" max="6662" width="15.125" style="269" customWidth="1"/>
    <col min="6663" max="6663" width="12.25" style="269" customWidth="1"/>
    <col min="6664" max="6664" width="12.5" style="269" customWidth="1"/>
    <col min="6665" max="6665" width="12.25" style="269" customWidth="1"/>
    <col min="6666" max="6666" width="11.625" style="269" customWidth="1"/>
    <col min="6667" max="6912" width="8.875" style="269"/>
    <col min="6913" max="6913" width="19.5" style="269" customWidth="1"/>
    <col min="6914" max="6915" width="12.125" style="269" customWidth="1"/>
    <col min="6916" max="6916" width="13.75" style="269" customWidth="1"/>
    <col min="6917" max="6917" width="14.625" style="269" customWidth="1"/>
    <col min="6918" max="6918" width="15.125" style="269" customWidth="1"/>
    <col min="6919" max="6919" width="12.25" style="269" customWidth="1"/>
    <col min="6920" max="6920" width="12.5" style="269" customWidth="1"/>
    <col min="6921" max="6921" width="12.25" style="269" customWidth="1"/>
    <col min="6922" max="6922" width="11.625" style="269" customWidth="1"/>
    <col min="6923" max="7168" width="8.875" style="269"/>
    <col min="7169" max="7169" width="19.5" style="269" customWidth="1"/>
    <col min="7170" max="7171" width="12.125" style="269" customWidth="1"/>
    <col min="7172" max="7172" width="13.75" style="269" customWidth="1"/>
    <col min="7173" max="7173" width="14.625" style="269" customWidth="1"/>
    <col min="7174" max="7174" width="15.125" style="269" customWidth="1"/>
    <col min="7175" max="7175" width="12.25" style="269" customWidth="1"/>
    <col min="7176" max="7176" width="12.5" style="269" customWidth="1"/>
    <col min="7177" max="7177" width="12.25" style="269" customWidth="1"/>
    <col min="7178" max="7178" width="11.625" style="269" customWidth="1"/>
    <col min="7179" max="7424" width="8.875" style="269"/>
    <col min="7425" max="7425" width="19.5" style="269" customWidth="1"/>
    <col min="7426" max="7427" width="12.125" style="269" customWidth="1"/>
    <col min="7428" max="7428" width="13.75" style="269" customWidth="1"/>
    <col min="7429" max="7429" width="14.625" style="269" customWidth="1"/>
    <col min="7430" max="7430" width="15.125" style="269" customWidth="1"/>
    <col min="7431" max="7431" width="12.25" style="269" customWidth="1"/>
    <col min="7432" max="7432" width="12.5" style="269" customWidth="1"/>
    <col min="7433" max="7433" width="12.25" style="269" customWidth="1"/>
    <col min="7434" max="7434" width="11.625" style="269" customWidth="1"/>
    <col min="7435" max="7680" width="8.875" style="269"/>
    <col min="7681" max="7681" width="19.5" style="269" customWidth="1"/>
    <col min="7682" max="7683" width="12.125" style="269" customWidth="1"/>
    <col min="7684" max="7684" width="13.75" style="269" customWidth="1"/>
    <col min="7685" max="7685" width="14.625" style="269" customWidth="1"/>
    <col min="7686" max="7686" width="15.125" style="269" customWidth="1"/>
    <col min="7687" max="7687" width="12.25" style="269" customWidth="1"/>
    <col min="7688" max="7688" width="12.5" style="269" customWidth="1"/>
    <col min="7689" max="7689" width="12.25" style="269" customWidth="1"/>
    <col min="7690" max="7690" width="11.625" style="269" customWidth="1"/>
    <col min="7691" max="7936" width="8.875" style="269"/>
    <col min="7937" max="7937" width="19.5" style="269" customWidth="1"/>
    <col min="7938" max="7939" width="12.125" style="269" customWidth="1"/>
    <col min="7940" max="7940" width="13.75" style="269" customWidth="1"/>
    <col min="7941" max="7941" width="14.625" style="269" customWidth="1"/>
    <col min="7942" max="7942" width="15.125" style="269" customWidth="1"/>
    <col min="7943" max="7943" width="12.25" style="269" customWidth="1"/>
    <col min="7944" max="7944" width="12.5" style="269" customWidth="1"/>
    <col min="7945" max="7945" width="12.25" style="269" customWidth="1"/>
    <col min="7946" max="7946" width="11.625" style="269" customWidth="1"/>
    <col min="7947" max="8192" width="8.875" style="269"/>
    <col min="8193" max="8193" width="19.5" style="269" customWidth="1"/>
    <col min="8194" max="8195" width="12.125" style="269" customWidth="1"/>
    <col min="8196" max="8196" width="13.75" style="269" customWidth="1"/>
    <col min="8197" max="8197" width="14.625" style="269" customWidth="1"/>
    <col min="8198" max="8198" width="15.125" style="269" customWidth="1"/>
    <col min="8199" max="8199" width="12.25" style="269" customWidth="1"/>
    <col min="8200" max="8200" width="12.5" style="269" customWidth="1"/>
    <col min="8201" max="8201" width="12.25" style="269" customWidth="1"/>
    <col min="8202" max="8202" width="11.625" style="269" customWidth="1"/>
    <col min="8203" max="8448" width="8.875" style="269"/>
    <col min="8449" max="8449" width="19.5" style="269" customWidth="1"/>
    <col min="8450" max="8451" width="12.125" style="269" customWidth="1"/>
    <col min="8452" max="8452" width="13.75" style="269" customWidth="1"/>
    <col min="8453" max="8453" width="14.625" style="269" customWidth="1"/>
    <col min="8454" max="8454" width="15.125" style="269" customWidth="1"/>
    <col min="8455" max="8455" width="12.25" style="269" customWidth="1"/>
    <col min="8456" max="8456" width="12.5" style="269" customWidth="1"/>
    <col min="8457" max="8457" width="12.25" style="269" customWidth="1"/>
    <col min="8458" max="8458" width="11.625" style="269" customWidth="1"/>
    <col min="8459" max="8704" width="8.875" style="269"/>
    <col min="8705" max="8705" width="19.5" style="269" customWidth="1"/>
    <col min="8706" max="8707" width="12.125" style="269" customWidth="1"/>
    <col min="8708" max="8708" width="13.75" style="269" customWidth="1"/>
    <col min="8709" max="8709" width="14.625" style="269" customWidth="1"/>
    <col min="8710" max="8710" width="15.125" style="269" customWidth="1"/>
    <col min="8711" max="8711" width="12.25" style="269" customWidth="1"/>
    <col min="8712" max="8712" width="12.5" style="269" customWidth="1"/>
    <col min="8713" max="8713" width="12.25" style="269" customWidth="1"/>
    <col min="8714" max="8714" width="11.625" style="269" customWidth="1"/>
    <col min="8715" max="8960" width="8.875" style="269"/>
    <col min="8961" max="8961" width="19.5" style="269" customWidth="1"/>
    <col min="8962" max="8963" width="12.125" style="269" customWidth="1"/>
    <col min="8964" max="8964" width="13.75" style="269" customWidth="1"/>
    <col min="8965" max="8965" width="14.625" style="269" customWidth="1"/>
    <col min="8966" max="8966" width="15.125" style="269" customWidth="1"/>
    <col min="8967" max="8967" width="12.25" style="269" customWidth="1"/>
    <col min="8968" max="8968" width="12.5" style="269" customWidth="1"/>
    <col min="8969" max="8969" width="12.25" style="269" customWidth="1"/>
    <col min="8970" max="8970" width="11.625" style="269" customWidth="1"/>
    <col min="8971" max="9216" width="8.875" style="269"/>
    <col min="9217" max="9217" width="19.5" style="269" customWidth="1"/>
    <col min="9218" max="9219" width="12.125" style="269" customWidth="1"/>
    <col min="9220" max="9220" width="13.75" style="269" customWidth="1"/>
    <col min="9221" max="9221" width="14.625" style="269" customWidth="1"/>
    <col min="9222" max="9222" width="15.125" style="269" customWidth="1"/>
    <col min="9223" max="9223" width="12.25" style="269" customWidth="1"/>
    <col min="9224" max="9224" width="12.5" style="269" customWidth="1"/>
    <col min="9225" max="9225" width="12.25" style="269" customWidth="1"/>
    <col min="9226" max="9226" width="11.625" style="269" customWidth="1"/>
    <col min="9227" max="9472" width="8.875" style="269"/>
    <col min="9473" max="9473" width="19.5" style="269" customWidth="1"/>
    <col min="9474" max="9475" width="12.125" style="269" customWidth="1"/>
    <col min="9476" max="9476" width="13.75" style="269" customWidth="1"/>
    <col min="9477" max="9477" width="14.625" style="269" customWidth="1"/>
    <col min="9478" max="9478" width="15.125" style="269" customWidth="1"/>
    <col min="9479" max="9479" width="12.25" style="269" customWidth="1"/>
    <col min="9480" max="9480" width="12.5" style="269" customWidth="1"/>
    <col min="9481" max="9481" width="12.25" style="269" customWidth="1"/>
    <col min="9482" max="9482" width="11.625" style="269" customWidth="1"/>
    <col min="9483" max="9728" width="8.875" style="269"/>
    <col min="9729" max="9729" width="19.5" style="269" customWidth="1"/>
    <col min="9730" max="9731" width="12.125" style="269" customWidth="1"/>
    <col min="9732" max="9732" width="13.75" style="269" customWidth="1"/>
    <col min="9733" max="9733" width="14.625" style="269" customWidth="1"/>
    <col min="9734" max="9734" width="15.125" style="269" customWidth="1"/>
    <col min="9735" max="9735" width="12.25" style="269" customWidth="1"/>
    <col min="9736" max="9736" width="12.5" style="269" customWidth="1"/>
    <col min="9737" max="9737" width="12.25" style="269" customWidth="1"/>
    <col min="9738" max="9738" width="11.625" style="269" customWidth="1"/>
    <col min="9739" max="9984" width="8.875" style="269"/>
    <col min="9985" max="9985" width="19.5" style="269" customWidth="1"/>
    <col min="9986" max="9987" width="12.125" style="269" customWidth="1"/>
    <col min="9988" max="9988" width="13.75" style="269" customWidth="1"/>
    <col min="9989" max="9989" width="14.625" style="269" customWidth="1"/>
    <col min="9990" max="9990" width="15.125" style="269" customWidth="1"/>
    <col min="9991" max="9991" width="12.25" style="269" customWidth="1"/>
    <col min="9992" max="9992" width="12.5" style="269" customWidth="1"/>
    <col min="9993" max="9993" width="12.25" style="269" customWidth="1"/>
    <col min="9994" max="9994" width="11.625" style="269" customWidth="1"/>
    <col min="9995" max="10240" width="8.875" style="269"/>
    <col min="10241" max="10241" width="19.5" style="269" customWidth="1"/>
    <col min="10242" max="10243" width="12.125" style="269" customWidth="1"/>
    <col min="10244" max="10244" width="13.75" style="269" customWidth="1"/>
    <col min="10245" max="10245" width="14.625" style="269" customWidth="1"/>
    <col min="10246" max="10246" width="15.125" style="269" customWidth="1"/>
    <col min="10247" max="10247" width="12.25" style="269" customWidth="1"/>
    <col min="10248" max="10248" width="12.5" style="269" customWidth="1"/>
    <col min="10249" max="10249" width="12.25" style="269" customWidth="1"/>
    <col min="10250" max="10250" width="11.625" style="269" customWidth="1"/>
    <col min="10251" max="10496" width="8.875" style="269"/>
    <col min="10497" max="10497" width="19.5" style="269" customWidth="1"/>
    <col min="10498" max="10499" width="12.125" style="269" customWidth="1"/>
    <col min="10500" max="10500" width="13.75" style="269" customWidth="1"/>
    <col min="10501" max="10501" width="14.625" style="269" customWidth="1"/>
    <col min="10502" max="10502" width="15.125" style="269" customWidth="1"/>
    <col min="10503" max="10503" width="12.25" style="269" customWidth="1"/>
    <col min="10504" max="10504" width="12.5" style="269" customWidth="1"/>
    <col min="10505" max="10505" width="12.25" style="269" customWidth="1"/>
    <col min="10506" max="10506" width="11.625" style="269" customWidth="1"/>
    <col min="10507" max="10752" width="8.875" style="269"/>
    <col min="10753" max="10753" width="19.5" style="269" customWidth="1"/>
    <col min="10754" max="10755" width="12.125" style="269" customWidth="1"/>
    <col min="10756" max="10756" width="13.75" style="269" customWidth="1"/>
    <col min="10757" max="10757" width="14.625" style="269" customWidth="1"/>
    <col min="10758" max="10758" width="15.125" style="269" customWidth="1"/>
    <col min="10759" max="10759" width="12.25" style="269" customWidth="1"/>
    <col min="10760" max="10760" width="12.5" style="269" customWidth="1"/>
    <col min="10761" max="10761" width="12.25" style="269" customWidth="1"/>
    <col min="10762" max="10762" width="11.625" style="269" customWidth="1"/>
    <col min="10763" max="11008" width="8.875" style="269"/>
    <col min="11009" max="11009" width="19.5" style="269" customWidth="1"/>
    <col min="11010" max="11011" width="12.125" style="269" customWidth="1"/>
    <col min="11012" max="11012" width="13.75" style="269" customWidth="1"/>
    <col min="11013" max="11013" width="14.625" style="269" customWidth="1"/>
    <col min="11014" max="11014" width="15.125" style="269" customWidth="1"/>
    <col min="11015" max="11015" width="12.25" style="269" customWidth="1"/>
    <col min="11016" max="11016" width="12.5" style="269" customWidth="1"/>
    <col min="11017" max="11017" width="12.25" style="269" customWidth="1"/>
    <col min="11018" max="11018" width="11.625" style="269" customWidth="1"/>
    <col min="11019" max="11264" width="8.875" style="269"/>
    <col min="11265" max="11265" width="19.5" style="269" customWidth="1"/>
    <col min="11266" max="11267" width="12.125" style="269" customWidth="1"/>
    <col min="11268" max="11268" width="13.75" style="269" customWidth="1"/>
    <col min="11269" max="11269" width="14.625" style="269" customWidth="1"/>
    <col min="11270" max="11270" width="15.125" style="269" customWidth="1"/>
    <col min="11271" max="11271" width="12.25" style="269" customWidth="1"/>
    <col min="11272" max="11272" width="12.5" style="269" customWidth="1"/>
    <col min="11273" max="11273" width="12.25" style="269" customWidth="1"/>
    <col min="11274" max="11274" width="11.625" style="269" customWidth="1"/>
    <col min="11275" max="11520" width="8.875" style="269"/>
    <col min="11521" max="11521" width="19.5" style="269" customWidth="1"/>
    <col min="11522" max="11523" width="12.125" style="269" customWidth="1"/>
    <col min="11524" max="11524" width="13.75" style="269" customWidth="1"/>
    <col min="11525" max="11525" width="14.625" style="269" customWidth="1"/>
    <col min="11526" max="11526" width="15.125" style="269" customWidth="1"/>
    <col min="11527" max="11527" width="12.25" style="269" customWidth="1"/>
    <col min="11528" max="11528" width="12.5" style="269" customWidth="1"/>
    <col min="11529" max="11529" width="12.25" style="269" customWidth="1"/>
    <col min="11530" max="11530" width="11.625" style="269" customWidth="1"/>
    <col min="11531" max="11776" width="8.875" style="269"/>
    <col min="11777" max="11777" width="19.5" style="269" customWidth="1"/>
    <col min="11778" max="11779" width="12.125" style="269" customWidth="1"/>
    <col min="11780" max="11780" width="13.75" style="269" customWidth="1"/>
    <col min="11781" max="11781" width="14.625" style="269" customWidth="1"/>
    <col min="11782" max="11782" width="15.125" style="269" customWidth="1"/>
    <col min="11783" max="11783" width="12.25" style="269" customWidth="1"/>
    <col min="11784" max="11784" width="12.5" style="269" customWidth="1"/>
    <col min="11785" max="11785" width="12.25" style="269" customWidth="1"/>
    <col min="11786" max="11786" width="11.625" style="269" customWidth="1"/>
    <col min="11787" max="12032" width="8.875" style="269"/>
    <col min="12033" max="12033" width="19.5" style="269" customWidth="1"/>
    <col min="12034" max="12035" width="12.125" style="269" customWidth="1"/>
    <col min="12036" max="12036" width="13.75" style="269" customWidth="1"/>
    <col min="12037" max="12037" width="14.625" style="269" customWidth="1"/>
    <col min="12038" max="12038" width="15.125" style="269" customWidth="1"/>
    <col min="12039" max="12039" width="12.25" style="269" customWidth="1"/>
    <col min="12040" max="12040" width="12.5" style="269" customWidth="1"/>
    <col min="12041" max="12041" width="12.25" style="269" customWidth="1"/>
    <col min="12042" max="12042" width="11.625" style="269" customWidth="1"/>
    <col min="12043" max="12288" width="8.875" style="269"/>
    <col min="12289" max="12289" width="19.5" style="269" customWidth="1"/>
    <col min="12290" max="12291" width="12.125" style="269" customWidth="1"/>
    <col min="12292" max="12292" width="13.75" style="269" customWidth="1"/>
    <col min="12293" max="12293" width="14.625" style="269" customWidth="1"/>
    <col min="12294" max="12294" width="15.125" style="269" customWidth="1"/>
    <col min="12295" max="12295" width="12.25" style="269" customWidth="1"/>
    <col min="12296" max="12296" width="12.5" style="269" customWidth="1"/>
    <col min="12297" max="12297" width="12.25" style="269" customWidth="1"/>
    <col min="12298" max="12298" width="11.625" style="269" customWidth="1"/>
    <col min="12299" max="12544" width="8.875" style="269"/>
    <col min="12545" max="12545" width="19.5" style="269" customWidth="1"/>
    <col min="12546" max="12547" width="12.125" style="269" customWidth="1"/>
    <col min="12548" max="12548" width="13.75" style="269" customWidth="1"/>
    <col min="12549" max="12549" width="14.625" style="269" customWidth="1"/>
    <col min="12550" max="12550" width="15.125" style="269" customWidth="1"/>
    <col min="12551" max="12551" width="12.25" style="269" customWidth="1"/>
    <col min="12552" max="12552" width="12.5" style="269" customWidth="1"/>
    <col min="12553" max="12553" width="12.25" style="269" customWidth="1"/>
    <col min="12554" max="12554" width="11.625" style="269" customWidth="1"/>
    <col min="12555" max="12800" width="8.875" style="269"/>
    <col min="12801" max="12801" width="19.5" style="269" customWidth="1"/>
    <col min="12802" max="12803" width="12.125" style="269" customWidth="1"/>
    <col min="12804" max="12804" width="13.75" style="269" customWidth="1"/>
    <col min="12805" max="12805" width="14.625" style="269" customWidth="1"/>
    <col min="12806" max="12806" width="15.125" style="269" customWidth="1"/>
    <col min="12807" max="12807" width="12.25" style="269" customWidth="1"/>
    <col min="12808" max="12808" width="12.5" style="269" customWidth="1"/>
    <col min="12809" max="12809" width="12.25" style="269" customWidth="1"/>
    <col min="12810" max="12810" width="11.625" style="269" customWidth="1"/>
    <col min="12811" max="13056" width="8.875" style="269"/>
    <col min="13057" max="13057" width="19.5" style="269" customWidth="1"/>
    <col min="13058" max="13059" width="12.125" style="269" customWidth="1"/>
    <col min="13060" max="13060" width="13.75" style="269" customWidth="1"/>
    <col min="13061" max="13061" width="14.625" style="269" customWidth="1"/>
    <col min="13062" max="13062" width="15.125" style="269" customWidth="1"/>
    <col min="13063" max="13063" width="12.25" style="269" customWidth="1"/>
    <col min="13064" max="13064" width="12.5" style="269" customWidth="1"/>
    <col min="13065" max="13065" width="12.25" style="269" customWidth="1"/>
    <col min="13066" max="13066" width="11.625" style="269" customWidth="1"/>
    <col min="13067" max="13312" width="8.875" style="269"/>
    <col min="13313" max="13313" width="19.5" style="269" customWidth="1"/>
    <col min="13314" max="13315" width="12.125" style="269" customWidth="1"/>
    <col min="13316" max="13316" width="13.75" style="269" customWidth="1"/>
    <col min="13317" max="13317" width="14.625" style="269" customWidth="1"/>
    <col min="13318" max="13318" width="15.125" style="269" customWidth="1"/>
    <col min="13319" max="13319" width="12.25" style="269" customWidth="1"/>
    <col min="13320" max="13320" width="12.5" style="269" customWidth="1"/>
    <col min="13321" max="13321" width="12.25" style="269" customWidth="1"/>
    <col min="13322" max="13322" width="11.625" style="269" customWidth="1"/>
    <col min="13323" max="13568" width="8.875" style="269"/>
    <col min="13569" max="13569" width="19.5" style="269" customWidth="1"/>
    <col min="13570" max="13571" width="12.125" style="269" customWidth="1"/>
    <col min="13572" max="13572" width="13.75" style="269" customWidth="1"/>
    <col min="13573" max="13573" width="14.625" style="269" customWidth="1"/>
    <col min="13574" max="13574" width="15.125" style="269" customWidth="1"/>
    <col min="13575" max="13575" width="12.25" style="269" customWidth="1"/>
    <col min="13576" max="13576" width="12.5" style="269" customWidth="1"/>
    <col min="13577" max="13577" width="12.25" style="269" customWidth="1"/>
    <col min="13578" max="13578" width="11.625" style="269" customWidth="1"/>
    <col min="13579" max="13824" width="8.875" style="269"/>
    <col min="13825" max="13825" width="19.5" style="269" customWidth="1"/>
    <col min="13826" max="13827" width="12.125" style="269" customWidth="1"/>
    <col min="13828" max="13828" width="13.75" style="269" customWidth="1"/>
    <col min="13829" max="13829" width="14.625" style="269" customWidth="1"/>
    <col min="13830" max="13830" width="15.125" style="269" customWidth="1"/>
    <col min="13831" max="13831" width="12.25" style="269" customWidth="1"/>
    <col min="13832" max="13832" width="12.5" style="269" customWidth="1"/>
    <col min="13833" max="13833" width="12.25" style="269" customWidth="1"/>
    <col min="13834" max="13834" width="11.625" style="269" customWidth="1"/>
    <col min="13835" max="14080" width="8.875" style="269"/>
    <col min="14081" max="14081" width="19.5" style="269" customWidth="1"/>
    <col min="14082" max="14083" width="12.125" style="269" customWidth="1"/>
    <col min="14084" max="14084" width="13.75" style="269" customWidth="1"/>
    <col min="14085" max="14085" width="14.625" style="269" customWidth="1"/>
    <col min="14086" max="14086" width="15.125" style="269" customWidth="1"/>
    <col min="14087" max="14087" width="12.25" style="269" customWidth="1"/>
    <col min="14088" max="14088" width="12.5" style="269" customWidth="1"/>
    <col min="14089" max="14089" width="12.25" style="269" customWidth="1"/>
    <col min="14090" max="14090" width="11.625" style="269" customWidth="1"/>
    <col min="14091" max="14336" width="8.875" style="269"/>
    <col min="14337" max="14337" width="19.5" style="269" customWidth="1"/>
    <col min="14338" max="14339" width="12.125" style="269" customWidth="1"/>
    <col min="14340" max="14340" width="13.75" style="269" customWidth="1"/>
    <col min="14341" max="14341" width="14.625" style="269" customWidth="1"/>
    <col min="14342" max="14342" width="15.125" style="269" customWidth="1"/>
    <col min="14343" max="14343" width="12.25" style="269" customWidth="1"/>
    <col min="14344" max="14344" width="12.5" style="269" customWidth="1"/>
    <col min="14345" max="14345" width="12.25" style="269" customWidth="1"/>
    <col min="14346" max="14346" width="11.625" style="269" customWidth="1"/>
    <col min="14347" max="14592" width="8.875" style="269"/>
    <col min="14593" max="14593" width="19.5" style="269" customWidth="1"/>
    <col min="14594" max="14595" width="12.125" style="269" customWidth="1"/>
    <col min="14596" max="14596" width="13.75" style="269" customWidth="1"/>
    <col min="14597" max="14597" width="14.625" style="269" customWidth="1"/>
    <col min="14598" max="14598" width="15.125" style="269" customWidth="1"/>
    <col min="14599" max="14599" width="12.25" style="269" customWidth="1"/>
    <col min="14600" max="14600" width="12.5" style="269" customWidth="1"/>
    <col min="14601" max="14601" width="12.25" style="269" customWidth="1"/>
    <col min="14602" max="14602" width="11.625" style="269" customWidth="1"/>
    <col min="14603" max="14848" width="8.875" style="269"/>
    <col min="14849" max="14849" width="19.5" style="269" customWidth="1"/>
    <col min="14850" max="14851" width="12.125" style="269" customWidth="1"/>
    <col min="14852" max="14852" width="13.75" style="269" customWidth="1"/>
    <col min="14853" max="14853" width="14.625" style="269" customWidth="1"/>
    <col min="14854" max="14854" width="15.125" style="269" customWidth="1"/>
    <col min="14855" max="14855" width="12.25" style="269" customWidth="1"/>
    <col min="14856" max="14856" width="12.5" style="269" customWidth="1"/>
    <col min="14857" max="14857" width="12.25" style="269" customWidth="1"/>
    <col min="14858" max="14858" width="11.625" style="269" customWidth="1"/>
    <col min="14859" max="15104" width="8.875" style="269"/>
    <col min="15105" max="15105" width="19.5" style="269" customWidth="1"/>
    <col min="15106" max="15107" width="12.125" style="269" customWidth="1"/>
    <col min="15108" max="15108" width="13.75" style="269" customWidth="1"/>
    <col min="15109" max="15109" width="14.625" style="269" customWidth="1"/>
    <col min="15110" max="15110" width="15.125" style="269" customWidth="1"/>
    <col min="15111" max="15111" width="12.25" style="269" customWidth="1"/>
    <col min="15112" max="15112" width="12.5" style="269" customWidth="1"/>
    <col min="15113" max="15113" width="12.25" style="269" customWidth="1"/>
    <col min="15114" max="15114" width="11.625" style="269" customWidth="1"/>
    <col min="15115" max="15360" width="8.875" style="269"/>
    <col min="15361" max="15361" width="19.5" style="269" customWidth="1"/>
    <col min="15362" max="15363" width="12.125" style="269" customWidth="1"/>
    <col min="15364" max="15364" width="13.75" style="269" customWidth="1"/>
    <col min="15365" max="15365" width="14.625" style="269" customWidth="1"/>
    <col min="15366" max="15366" width="15.125" style="269" customWidth="1"/>
    <col min="15367" max="15367" width="12.25" style="269" customWidth="1"/>
    <col min="15368" max="15368" width="12.5" style="269" customWidth="1"/>
    <col min="15369" max="15369" width="12.25" style="269" customWidth="1"/>
    <col min="15370" max="15370" width="11.625" style="269" customWidth="1"/>
    <col min="15371" max="15616" width="8.875" style="269"/>
    <col min="15617" max="15617" width="19.5" style="269" customWidth="1"/>
    <col min="15618" max="15619" width="12.125" style="269" customWidth="1"/>
    <col min="15620" max="15620" width="13.75" style="269" customWidth="1"/>
    <col min="15621" max="15621" width="14.625" style="269" customWidth="1"/>
    <col min="15622" max="15622" width="15.125" style="269" customWidth="1"/>
    <col min="15623" max="15623" width="12.25" style="269" customWidth="1"/>
    <col min="15624" max="15624" width="12.5" style="269" customWidth="1"/>
    <col min="15625" max="15625" width="12.25" style="269" customWidth="1"/>
    <col min="15626" max="15626" width="11.625" style="269" customWidth="1"/>
    <col min="15627" max="15872" width="8.875" style="269"/>
    <col min="15873" max="15873" width="19.5" style="269" customWidth="1"/>
    <col min="15874" max="15875" width="12.125" style="269" customWidth="1"/>
    <col min="15876" max="15876" width="13.75" style="269" customWidth="1"/>
    <col min="15877" max="15877" width="14.625" style="269" customWidth="1"/>
    <col min="15878" max="15878" width="15.125" style="269" customWidth="1"/>
    <col min="15879" max="15879" width="12.25" style="269" customWidth="1"/>
    <col min="15880" max="15880" width="12.5" style="269" customWidth="1"/>
    <col min="15881" max="15881" width="12.25" style="269" customWidth="1"/>
    <col min="15882" max="15882" width="11.625" style="269" customWidth="1"/>
    <col min="15883" max="16128" width="8.875" style="269"/>
    <col min="16129" max="16129" width="19.5" style="269" customWidth="1"/>
    <col min="16130" max="16131" width="12.125" style="269" customWidth="1"/>
    <col min="16132" max="16132" width="13.75" style="269" customWidth="1"/>
    <col min="16133" max="16133" width="14.625" style="269" customWidth="1"/>
    <col min="16134" max="16134" width="15.125" style="269" customWidth="1"/>
    <col min="16135" max="16135" width="12.25" style="269" customWidth="1"/>
    <col min="16136" max="16136" width="12.5" style="269" customWidth="1"/>
    <col min="16137" max="16137" width="12.25" style="269" customWidth="1"/>
    <col min="16138" max="16138" width="11.625" style="269" customWidth="1"/>
    <col min="16139" max="16384" width="8.875" style="269"/>
  </cols>
  <sheetData>
    <row r="1" spans="1:10" ht="19.5">
      <c r="A1" s="264" t="s">
        <v>497</v>
      </c>
      <c r="B1" s="265"/>
      <c r="C1" s="266"/>
      <c r="D1" s="267"/>
      <c r="E1" s="265"/>
      <c r="F1" s="266"/>
      <c r="G1" s="268"/>
    </row>
    <row r="2" spans="1:10">
      <c r="G2" s="272"/>
    </row>
    <row r="3" spans="1:10" ht="17.25">
      <c r="A3" s="273" t="s">
        <v>157</v>
      </c>
      <c r="B3" s="274"/>
      <c r="C3" s="274"/>
      <c r="D3" s="274"/>
      <c r="E3" s="275"/>
      <c r="F3" s="275"/>
      <c r="G3" s="275"/>
      <c r="H3" s="275"/>
      <c r="I3" s="275"/>
      <c r="J3" s="276"/>
    </row>
    <row r="4" spans="1:10" ht="17.25">
      <c r="A4" s="277" t="s">
        <v>158</v>
      </c>
      <c r="B4" s="278"/>
      <c r="C4" s="278"/>
      <c r="D4" s="278"/>
      <c r="E4" s="279"/>
      <c r="F4" s="279"/>
      <c r="G4" s="279"/>
      <c r="H4" s="279"/>
      <c r="I4" s="279"/>
      <c r="J4" s="280"/>
    </row>
    <row r="5" spans="1:10">
      <c r="A5" s="70" t="s">
        <v>489</v>
      </c>
      <c r="B5" s="8" t="s">
        <v>420</v>
      </c>
      <c r="C5" s="71" t="s">
        <v>421</v>
      </c>
      <c r="D5" s="72" t="s">
        <v>159</v>
      </c>
      <c r="E5" s="8" t="s">
        <v>420</v>
      </c>
      <c r="F5" s="71" t="s">
        <v>421</v>
      </c>
      <c r="G5" s="74" t="s">
        <v>160</v>
      </c>
      <c r="H5" s="8" t="s">
        <v>420</v>
      </c>
      <c r="I5" s="71" t="s">
        <v>421</v>
      </c>
      <c r="J5" s="203" t="s">
        <v>37</v>
      </c>
    </row>
    <row r="6" spans="1:10">
      <c r="A6" s="282"/>
      <c r="B6" s="281" t="s">
        <v>33</v>
      </c>
      <c r="C6" s="494" t="s">
        <v>416</v>
      </c>
      <c r="D6" s="498" t="s">
        <v>2</v>
      </c>
      <c r="E6" s="283" t="s">
        <v>34</v>
      </c>
      <c r="F6" s="499" t="s">
        <v>417</v>
      </c>
      <c r="G6" s="498" t="s">
        <v>2</v>
      </c>
      <c r="H6" s="284" t="s">
        <v>36</v>
      </c>
      <c r="I6" s="501" t="s">
        <v>418</v>
      </c>
      <c r="J6" s="498" t="s">
        <v>2</v>
      </c>
    </row>
    <row r="7" spans="1:10">
      <c r="A7" s="285" t="s">
        <v>5</v>
      </c>
      <c r="B7" s="286"/>
      <c r="C7" s="81"/>
      <c r="D7" s="206"/>
      <c r="E7" s="287"/>
      <c r="F7" s="81"/>
      <c r="G7" s="500"/>
      <c r="H7" s="288"/>
      <c r="I7" s="84"/>
      <c r="J7" s="207"/>
    </row>
    <row r="8" spans="1:10">
      <c r="A8" s="285" t="s">
        <v>6</v>
      </c>
      <c r="B8" s="289">
        <f>SUM(B9:B11)</f>
        <v>84723</v>
      </c>
      <c r="C8" s="495">
        <f>SUM(C9:C11)</f>
        <v>126928</v>
      </c>
      <c r="D8" s="504">
        <f>IF(C8,(B8-C8)/C8,0)</f>
        <v>-0.33251134501449642</v>
      </c>
      <c r="E8" s="290">
        <f>SUM(E9:E11)</f>
        <v>176863259</v>
      </c>
      <c r="F8" s="85">
        <f>SUM(F9:F11)</f>
        <v>215210582</v>
      </c>
      <c r="G8" s="503">
        <f>IF(F8,(E8-F8)/F8,0)</f>
        <v>-0.17818511823921371</v>
      </c>
      <c r="H8" s="87">
        <f>IF(B8,E8/B8,0)</f>
        <v>2087.54717137023</v>
      </c>
      <c r="I8" s="88">
        <f>IF(C8,F8/C8,0)</f>
        <v>1695.5327587293584</v>
      </c>
      <c r="J8" s="505">
        <f t="shared" ref="J8:J64" si="0">IF(I8,(H8-I8)/I8,0)</f>
        <v>0.23120426934991767</v>
      </c>
    </row>
    <row r="9" spans="1:10">
      <c r="A9" s="291" t="s">
        <v>163</v>
      </c>
      <c r="B9" s="292">
        <f>電動輔助自行車!E9</f>
        <v>75400</v>
      </c>
      <c r="C9" s="89">
        <f>VLOOKUP(A9,[11]進出口值表查詢結果!$A$2:$C$54,3,0)</f>
        <v>118290</v>
      </c>
      <c r="D9" s="504">
        <f t="shared" ref="D9:D64" si="1">IF(C9,(B9-C9)/C9,0)</f>
        <v>-0.36258348127483303</v>
      </c>
      <c r="E9" s="293">
        <f>電動輔助自行車!G9</f>
        <v>157570858</v>
      </c>
      <c r="F9" s="90">
        <f>VLOOKUP(A9,[11]進出口值表查詢結果!$A$2:$C$54,2,0)</f>
        <v>196969892</v>
      </c>
      <c r="G9" s="503">
        <f t="shared" ref="G9:G64" si="2">IF(F9,(E9-F9)/F9,0)</f>
        <v>-0.20002566686689355</v>
      </c>
      <c r="H9" s="87">
        <f t="shared" ref="H9:H11" si="3">IF(B9,E9/B9,0)</f>
        <v>2089.7991777188331</v>
      </c>
      <c r="I9" s="88">
        <f t="shared" ref="I9:I11" si="4">IF(C9,F9/C9,0)</f>
        <v>1665.1440696593118</v>
      </c>
      <c r="J9" s="505">
        <f t="shared" si="0"/>
        <v>0.25502604597234985</v>
      </c>
    </row>
    <row r="10" spans="1:10">
      <c r="A10" s="294" t="s">
        <v>7</v>
      </c>
      <c r="B10" s="292">
        <f>電動輔助自行車!E10</f>
        <v>8571</v>
      </c>
      <c r="C10" s="89">
        <f>VLOOKUP(A10,[11]進出口值表查詢結果!$A$2:$C$54,3,0)</f>
        <v>7318</v>
      </c>
      <c r="D10" s="504">
        <f t="shared" si="1"/>
        <v>0.17122164525826727</v>
      </c>
      <c r="E10" s="293">
        <f>電動輔助自行車!G10</f>
        <v>17749937</v>
      </c>
      <c r="F10" s="90">
        <f>VLOOKUP(A10,[11]進出口值表查詢結果!$A$2:$C$54,2,0)</f>
        <v>14959845</v>
      </c>
      <c r="G10" s="503">
        <f t="shared" si="2"/>
        <v>0.1865054083113829</v>
      </c>
      <c r="H10" s="87">
        <f t="shared" si="3"/>
        <v>2070.9295298098236</v>
      </c>
      <c r="I10" s="88">
        <f t="shared" si="4"/>
        <v>2044.2532112599072</v>
      </c>
      <c r="J10" s="505">
        <f t="shared" si="0"/>
        <v>1.3049419906976886E-2</v>
      </c>
    </row>
    <row r="11" spans="1:10">
      <c r="A11" s="294" t="s">
        <v>8</v>
      </c>
      <c r="B11" s="292">
        <f>電動輔助自行車!E11</f>
        <v>752</v>
      </c>
      <c r="C11" s="89">
        <f>VLOOKUP(A11,[11]進出口值表查詢結果!$A$2:$C$54,3,0)</f>
        <v>1320</v>
      </c>
      <c r="D11" s="504">
        <f t="shared" si="1"/>
        <v>-0.4303030303030303</v>
      </c>
      <c r="E11" s="293">
        <f>電動輔助自行車!G11</f>
        <v>1542464</v>
      </c>
      <c r="F11" s="90">
        <f>VLOOKUP(A11,[11]進出口值表查詢結果!$A$2:$C$54,2,0)</f>
        <v>3280845</v>
      </c>
      <c r="G11" s="503">
        <f t="shared" si="2"/>
        <v>-0.52985770434141199</v>
      </c>
      <c r="H11" s="87">
        <f t="shared" si="3"/>
        <v>2051.1489361702129</v>
      </c>
      <c r="I11" s="88">
        <f t="shared" si="4"/>
        <v>2485.4886363636365</v>
      </c>
      <c r="J11" s="505">
        <f t="shared" si="0"/>
        <v>-0.17475022570567006</v>
      </c>
    </row>
    <row r="12" spans="1:10">
      <c r="A12" s="294"/>
      <c r="B12" s="292"/>
      <c r="C12" s="496"/>
      <c r="D12" s="504"/>
      <c r="E12" s="293"/>
      <c r="F12" s="90"/>
      <c r="G12" s="503"/>
      <c r="H12" s="87"/>
      <c r="I12" s="88"/>
      <c r="J12" s="505"/>
    </row>
    <row r="13" spans="1:10">
      <c r="A13" s="295" t="s">
        <v>9</v>
      </c>
      <c r="B13" s="296">
        <f>SUM(B14:B40)</f>
        <v>241007</v>
      </c>
      <c r="C13" s="497">
        <f>SUM(C14:C40)</f>
        <v>236907</v>
      </c>
      <c r="D13" s="504">
        <f t="shared" si="1"/>
        <v>1.7306369165959637E-2</v>
      </c>
      <c r="E13" s="296">
        <f>SUM(E14:E40)</f>
        <v>355981972</v>
      </c>
      <c r="F13" s="91">
        <f>SUM(F14:F40)</f>
        <v>289171757</v>
      </c>
      <c r="G13" s="503">
        <f t="shared" si="2"/>
        <v>0.23103990408025912</v>
      </c>
      <c r="H13" s="87">
        <f t="shared" ref="H13:H18" si="5">IF(B13,E13/B13,0)</f>
        <v>1477.0607160787861</v>
      </c>
      <c r="I13" s="88">
        <f t="shared" ref="I13:I18" si="6">IF(C13,F13/C13,0)</f>
        <v>1220.61297049053</v>
      </c>
      <c r="J13" s="505">
        <f t="shared" si="0"/>
        <v>0.21009750984802086</v>
      </c>
    </row>
    <row r="14" spans="1:10">
      <c r="A14" s="449" t="s">
        <v>246</v>
      </c>
      <c r="B14" s="293">
        <f>電動輔助自行車!E14</f>
        <v>143785</v>
      </c>
      <c r="C14" s="89">
        <f>VLOOKUP(A14,[11]進出口值表查詢結果!$A$2:$C$54,3,0)</f>
        <v>144555</v>
      </c>
      <c r="D14" s="504">
        <f t="shared" si="1"/>
        <v>-5.3266922624606548E-3</v>
      </c>
      <c r="E14" s="293">
        <f>電動輔助自行車!G14</f>
        <v>225941995</v>
      </c>
      <c r="F14" s="90">
        <f>VLOOKUP(A14,[11]進出口值表查詢結果!$A$2:$C$54,2,0)</f>
        <v>192553384</v>
      </c>
      <c r="G14" s="503">
        <f t="shared" si="2"/>
        <v>0.17339924288217132</v>
      </c>
      <c r="H14" s="87">
        <f t="shared" si="5"/>
        <v>1571.3878012310047</v>
      </c>
      <c r="I14" s="88">
        <f t="shared" si="6"/>
        <v>1332.0423644979419</v>
      </c>
      <c r="J14" s="505">
        <f t="shared" si="0"/>
        <v>0.1796830514645637</v>
      </c>
    </row>
    <row r="15" spans="1:10">
      <c r="A15" s="449" t="s">
        <v>247</v>
      </c>
      <c r="B15" s="293">
        <f>電動輔助自行車!E15</f>
        <v>38715</v>
      </c>
      <c r="C15" s="89">
        <f>VLOOKUP(A15,[11]進出口值表查詢結果!$A$2:$C$54,3,0)</f>
        <v>50072</v>
      </c>
      <c r="D15" s="504">
        <f t="shared" si="1"/>
        <v>-0.22681338872024284</v>
      </c>
      <c r="E15" s="293">
        <f>電動輔助自行車!G15</f>
        <v>37795751</v>
      </c>
      <c r="F15" s="90">
        <f>VLOOKUP(A15,[11]進出口值表查詢結果!$A$2:$C$54,2,0)</f>
        <v>43709614</v>
      </c>
      <c r="G15" s="503">
        <f t="shared" si="2"/>
        <v>-0.13529890700933667</v>
      </c>
      <c r="H15" s="87">
        <f t="shared" si="5"/>
        <v>976.25599896680876</v>
      </c>
      <c r="I15" s="88">
        <f t="shared" si="6"/>
        <v>872.93525323534107</v>
      </c>
      <c r="J15" s="505">
        <f t="shared" si="0"/>
        <v>0.11836014795889185</v>
      </c>
    </row>
    <row r="16" spans="1:10">
      <c r="A16" s="450" t="s">
        <v>10</v>
      </c>
      <c r="B16" s="293">
        <f>電動輔助自行車!E16</f>
        <v>5019</v>
      </c>
      <c r="C16" s="89">
        <f>VLOOKUP(A16,[11]進出口值表查詢結果!$A$2:$C$54,3,0)</f>
        <v>2663</v>
      </c>
      <c r="D16" s="504">
        <f t="shared" si="1"/>
        <v>0.88471648516710477</v>
      </c>
      <c r="E16" s="293">
        <f>電動輔助自行車!G16</f>
        <v>7833937</v>
      </c>
      <c r="F16" s="90">
        <f>VLOOKUP(A16,[11]進出口值表查詢結果!$A$2:$C$54,2,0)</f>
        <v>4310304</v>
      </c>
      <c r="G16" s="503">
        <f t="shared" si="2"/>
        <v>0.81749059927095624</v>
      </c>
      <c r="H16" s="87">
        <f t="shared" si="5"/>
        <v>1560.8561466427575</v>
      </c>
      <c r="I16" s="88">
        <f t="shared" si="6"/>
        <v>1618.589560645888</v>
      </c>
      <c r="J16" s="505">
        <f t="shared" si="0"/>
        <v>-3.5668964762192314E-2</v>
      </c>
    </row>
    <row r="17" spans="1:10">
      <c r="A17" s="449" t="s">
        <v>248</v>
      </c>
      <c r="B17" s="293">
        <f>電動輔助自行車!E17</f>
        <v>13737</v>
      </c>
      <c r="C17" s="89">
        <f>VLOOKUP(A17,[11]進出口值表查詢結果!$A$2:$C$54,3,0)</f>
        <v>11267</v>
      </c>
      <c r="D17" s="504">
        <f t="shared" si="1"/>
        <v>0.21922428330522767</v>
      </c>
      <c r="E17" s="293">
        <f>電動輔助自行車!G17</f>
        <v>18131749</v>
      </c>
      <c r="F17" s="90">
        <f>VLOOKUP(A17,[11]進出口值表查詢結果!$A$2:$C$54,2,0)</f>
        <v>12236753</v>
      </c>
      <c r="G17" s="503">
        <f t="shared" si="2"/>
        <v>0.48174511653540769</v>
      </c>
      <c r="H17" s="87">
        <f t="shared" si="5"/>
        <v>1319.9205794569411</v>
      </c>
      <c r="I17" s="88">
        <f t="shared" si="6"/>
        <v>1086.07020502352</v>
      </c>
      <c r="J17" s="505">
        <f t="shared" si="0"/>
        <v>0.21531791715836351</v>
      </c>
    </row>
    <row r="18" spans="1:10">
      <c r="A18" s="450" t="s">
        <v>11</v>
      </c>
      <c r="B18" s="293">
        <f>電動輔助自行車!E18</f>
        <v>6280</v>
      </c>
      <c r="C18" s="89">
        <f>VLOOKUP(A18,[11]進出口值表查詢結果!$A$2:$C$54,3,0)</f>
        <v>10448</v>
      </c>
      <c r="D18" s="504">
        <f t="shared" si="1"/>
        <v>-0.39892802450229708</v>
      </c>
      <c r="E18" s="293">
        <f>電動輔助自行車!G18</f>
        <v>13627310</v>
      </c>
      <c r="F18" s="90">
        <f>VLOOKUP(A18,[11]進出口值表查詢結果!$A$2:$C$54,2,0)</f>
        <v>21478290</v>
      </c>
      <c r="G18" s="503">
        <f t="shared" si="2"/>
        <v>-0.36553096172926242</v>
      </c>
      <c r="H18" s="87">
        <f t="shared" si="5"/>
        <v>2169.9538216560509</v>
      </c>
      <c r="I18" s="88">
        <f t="shared" si="6"/>
        <v>2055.7321975497703</v>
      </c>
      <c r="J18" s="505">
        <f t="shared" si="0"/>
        <v>5.5562501887367194E-2</v>
      </c>
    </row>
    <row r="19" spans="1:10">
      <c r="A19" s="450" t="s">
        <v>12</v>
      </c>
      <c r="B19" s="293">
        <f>電動輔助自行車!E19</f>
        <v>6146</v>
      </c>
      <c r="C19" s="89">
        <f>VLOOKUP(A19,[11]進出口值表查詢結果!$A$2:$C$54,3,0)</f>
        <v>1316</v>
      </c>
      <c r="D19" s="504">
        <f t="shared" si="1"/>
        <v>3.6702127659574466</v>
      </c>
      <c r="E19" s="293">
        <f>電動輔助自行車!G19</f>
        <v>10642509</v>
      </c>
      <c r="F19" s="90">
        <f>VLOOKUP(A19,[11]進出口值表查詢結果!$A$2:$C$54,2,0)</f>
        <v>2252456</v>
      </c>
      <c r="G19" s="503">
        <f t="shared" si="2"/>
        <v>3.7248465674801197</v>
      </c>
      <c r="H19" s="87">
        <f>IF(B19,E19/B19,0)</f>
        <v>1731.615522290921</v>
      </c>
      <c r="I19" s="88">
        <f>IF(C19,F19/C19,0)</f>
        <v>1711.5927051671733</v>
      </c>
      <c r="J19" s="505">
        <f t="shared" si="0"/>
        <v>1.1698353856790975E-2</v>
      </c>
    </row>
    <row r="20" spans="1:10">
      <c r="A20" s="449" t="s">
        <v>250</v>
      </c>
      <c r="B20" s="293">
        <f>電動輔助自行車!E20</f>
        <v>5422</v>
      </c>
      <c r="C20" s="89">
        <f>VLOOKUP(A20,[11]進出口值表查詢結果!$A$2:$C$54,3,0)</f>
        <v>3346</v>
      </c>
      <c r="D20" s="504">
        <f t="shared" si="1"/>
        <v>0.62044231918708903</v>
      </c>
      <c r="E20" s="293">
        <f>電動輔助自行車!G20</f>
        <v>7840297</v>
      </c>
      <c r="F20" s="90">
        <f>VLOOKUP(A20,[11]進出口值表查詢結果!$A$2:$C$54,2,0)</f>
        <v>4736954</v>
      </c>
      <c r="G20" s="503">
        <f t="shared" si="2"/>
        <v>0.65513471315110938</v>
      </c>
      <c r="H20" s="87">
        <f t="shared" ref="H20:H33" si="7">IF(B20,E20/B20,0)</f>
        <v>1446.015676872003</v>
      </c>
      <c r="I20" s="88">
        <f t="shared" ref="I20:I33" si="8">IF(C20,F20/C20,0)</f>
        <v>1415.7065152420801</v>
      </c>
      <c r="J20" s="505">
        <f t="shared" si="0"/>
        <v>2.1409212505277084E-2</v>
      </c>
    </row>
    <row r="21" spans="1:10">
      <c r="A21" s="450" t="s">
        <v>13</v>
      </c>
      <c r="B21" s="293">
        <f>電動輔助自行車!E21</f>
        <v>57</v>
      </c>
      <c r="C21" s="89">
        <v>0</v>
      </c>
      <c r="D21" s="504">
        <f t="shared" si="1"/>
        <v>0</v>
      </c>
      <c r="E21" s="293">
        <f>電動輔助自行車!G21</f>
        <v>122172</v>
      </c>
      <c r="F21" s="90">
        <v>0</v>
      </c>
      <c r="G21" s="503">
        <f t="shared" si="2"/>
        <v>0</v>
      </c>
      <c r="H21" s="87">
        <f t="shared" si="7"/>
        <v>2143.3684210526317</v>
      </c>
      <c r="I21" s="88">
        <f t="shared" si="8"/>
        <v>0</v>
      </c>
      <c r="J21" s="505">
        <f t="shared" si="0"/>
        <v>0</v>
      </c>
    </row>
    <row r="22" spans="1:10">
      <c r="A22" s="449" t="s">
        <v>251</v>
      </c>
      <c r="B22" s="293">
        <f>電動輔助自行車!E22</f>
        <v>8240</v>
      </c>
      <c r="C22" s="89">
        <v>0</v>
      </c>
      <c r="D22" s="504">
        <f t="shared" si="1"/>
        <v>0</v>
      </c>
      <c r="E22" s="293">
        <f>電動輔助自行車!G22</f>
        <v>20402171</v>
      </c>
      <c r="F22" s="90">
        <v>0</v>
      </c>
      <c r="G22" s="503">
        <f t="shared" si="2"/>
        <v>0</v>
      </c>
      <c r="H22" s="87">
        <f t="shared" si="7"/>
        <v>2475.9916262135921</v>
      </c>
      <c r="I22" s="88">
        <f t="shared" si="8"/>
        <v>0</v>
      </c>
      <c r="J22" s="505">
        <f t="shared" si="0"/>
        <v>0</v>
      </c>
    </row>
    <row r="23" spans="1:10">
      <c r="A23" s="450" t="s">
        <v>14</v>
      </c>
      <c r="B23" s="293">
        <f>電動輔助自行車!E23</f>
        <v>0</v>
      </c>
      <c r="C23" s="89">
        <v>0</v>
      </c>
      <c r="D23" s="504">
        <f t="shared" si="1"/>
        <v>0</v>
      </c>
      <c r="E23" s="293">
        <f>電動輔助自行車!G23</f>
        <v>0</v>
      </c>
      <c r="F23" s="90">
        <v>0</v>
      </c>
      <c r="G23" s="503">
        <f t="shared" si="2"/>
        <v>0</v>
      </c>
      <c r="H23" s="87">
        <f t="shared" si="7"/>
        <v>0</v>
      </c>
      <c r="I23" s="88">
        <f t="shared" si="8"/>
        <v>0</v>
      </c>
      <c r="J23" s="505">
        <f t="shared" si="0"/>
        <v>0</v>
      </c>
    </row>
    <row r="24" spans="1:10">
      <c r="A24" s="450" t="s">
        <v>15</v>
      </c>
      <c r="B24" s="293">
        <f>電動輔助自行車!E24</f>
        <v>0</v>
      </c>
      <c r="C24" s="89">
        <v>0</v>
      </c>
      <c r="D24" s="504">
        <f t="shared" si="1"/>
        <v>0</v>
      </c>
      <c r="E24" s="293">
        <f>電動輔助自行車!G24</f>
        <v>0</v>
      </c>
      <c r="F24" s="90">
        <v>0</v>
      </c>
      <c r="G24" s="503">
        <f t="shared" si="2"/>
        <v>0</v>
      </c>
      <c r="H24" s="87">
        <f t="shared" si="7"/>
        <v>0</v>
      </c>
      <c r="I24" s="88">
        <f t="shared" si="8"/>
        <v>0</v>
      </c>
      <c r="J24" s="505">
        <f t="shared" si="0"/>
        <v>0</v>
      </c>
    </row>
    <row r="25" spans="1:10">
      <c r="A25" s="450" t="s">
        <v>16</v>
      </c>
      <c r="B25" s="293">
        <f>電動輔助自行車!E25</f>
        <v>2379</v>
      </c>
      <c r="C25" s="89">
        <f>VLOOKUP(A25,[11]進出口值表查詢結果!$A$2:$C$54,3,0)</f>
        <v>7</v>
      </c>
      <c r="D25" s="504">
        <f t="shared" si="1"/>
        <v>338.85714285714283</v>
      </c>
      <c r="E25" s="293">
        <f>電動輔助自行車!G25</f>
        <v>4749604</v>
      </c>
      <c r="F25" s="90">
        <f>VLOOKUP(A25,[11]進出口值表查詢結果!$A$2:$C$54,2,0)</f>
        <v>18604</v>
      </c>
      <c r="G25" s="503">
        <f t="shared" si="2"/>
        <v>254.30015050526768</v>
      </c>
      <c r="H25" s="87">
        <f t="shared" si="7"/>
        <v>1996.4707860445565</v>
      </c>
      <c r="I25" s="88">
        <f t="shared" si="8"/>
        <v>2657.7142857142858</v>
      </c>
      <c r="J25" s="505">
        <f t="shared" si="0"/>
        <v>-0.24880157480585385</v>
      </c>
    </row>
    <row r="26" spans="1:10">
      <c r="A26" s="449" t="s">
        <v>254</v>
      </c>
      <c r="B26" s="293">
        <f>電動輔助自行車!E26</f>
        <v>4809</v>
      </c>
      <c r="C26" s="89">
        <f>VLOOKUP(A26,[11]進出口值表查詢結果!$A$2:$C$54,3,0)</f>
        <v>3633</v>
      </c>
      <c r="D26" s="504">
        <f t="shared" si="1"/>
        <v>0.32369942196531792</v>
      </c>
      <c r="E26" s="293">
        <f>電動輔助自行車!G26</f>
        <v>2319220</v>
      </c>
      <c r="F26" s="90">
        <f>VLOOKUP(A26,[11]進出口值表查詢結果!$A$2:$C$54,2,0)</f>
        <v>1895318</v>
      </c>
      <c r="G26" s="503">
        <f t="shared" si="2"/>
        <v>0.22365745484398925</v>
      </c>
      <c r="H26" s="87">
        <f t="shared" si="7"/>
        <v>482.26658348929089</v>
      </c>
      <c r="I26" s="88">
        <f t="shared" si="8"/>
        <v>521.6950178915497</v>
      </c>
      <c r="J26" s="505">
        <f t="shared" si="0"/>
        <v>-7.557755594755404E-2</v>
      </c>
    </row>
    <row r="27" spans="1:10">
      <c r="A27" s="449" t="s">
        <v>256</v>
      </c>
      <c r="B27" s="293">
        <f>電動輔助自行車!E27</f>
        <v>401</v>
      </c>
      <c r="C27" s="89">
        <f>VLOOKUP(A27,[11]進出口值表查詢結果!$A$2:$C$54,3,0)</f>
        <v>1442</v>
      </c>
      <c r="D27" s="504">
        <f t="shared" si="1"/>
        <v>-0.72191400832177532</v>
      </c>
      <c r="E27" s="293">
        <f>電動輔助自行車!G27</f>
        <v>781830</v>
      </c>
      <c r="F27" s="90">
        <f>VLOOKUP(A27,[11]進出口值表查詢結果!$A$2:$C$54,2,0)</f>
        <v>1096608</v>
      </c>
      <c r="G27" s="503">
        <f t="shared" si="2"/>
        <v>-0.28704696664624002</v>
      </c>
      <c r="H27" s="87">
        <f t="shared" si="7"/>
        <v>1949.7007481296757</v>
      </c>
      <c r="I27" s="88">
        <f t="shared" si="8"/>
        <v>760.4771151178918</v>
      </c>
      <c r="J27" s="505">
        <f t="shared" si="0"/>
        <v>1.563786219691077</v>
      </c>
    </row>
    <row r="28" spans="1:10">
      <c r="A28" s="450" t="s">
        <v>257</v>
      </c>
      <c r="B28" s="293">
        <f>電動輔助自行車!E28</f>
        <v>1550</v>
      </c>
      <c r="C28" s="89">
        <f>VLOOKUP(A28,[11]進出口值表查詢結果!$A$2:$C$54,3,0)</f>
        <v>1860</v>
      </c>
      <c r="D28" s="504">
        <f t="shared" si="1"/>
        <v>-0.16666666666666666</v>
      </c>
      <c r="E28" s="293">
        <f>電動輔助自行車!G28</f>
        <v>2895243</v>
      </c>
      <c r="F28" s="90">
        <f>VLOOKUP(A28,[11]進出口值表查詢結果!$A$2:$C$54,2,0)</f>
        <v>2480080</v>
      </c>
      <c r="G28" s="503">
        <f t="shared" si="2"/>
        <v>0.16739903551498339</v>
      </c>
      <c r="H28" s="87">
        <f t="shared" si="7"/>
        <v>1867.8987096774194</v>
      </c>
      <c r="I28" s="88">
        <f t="shared" si="8"/>
        <v>1333.3763440860216</v>
      </c>
      <c r="J28" s="505">
        <f t="shared" si="0"/>
        <v>0.40087884261798001</v>
      </c>
    </row>
    <row r="29" spans="1:10">
      <c r="A29" s="460" t="s">
        <v>258</v>
      </c>
      <c r="B29" s="293">
        <f>電動輔助自行車!E29</f>
        <v>4381</v>
      </c>
      <c r="C29" s="89">
        <f>VLOOKUP(A29,[11]進出口值表查詢結果!$A$2:$C$54,3,0)</f>
        <v>5804</v>
      </c>
      <c r="D29" s="504">
        <f t="shared" si="1"/>
        <v>-0.24517574086836663</v>
      </c>
      <c r="E29" s="293">
        <f>電動輔助自行車!G29</f>
        <v>2741854</v>
      </c>
      <c r="F29" s="90">
        <f>VLOOKUP(A29,[11]進出口值表查詢結果!$A$2:$C$54,2,0)</f>
        <v>2032508</v>
      </c>
      <c r="G29" s="503">
        <f t="shared" si="2"/>
        <v>0.34900034833811233</v>
      </c>
      <c r="H29" s="87">
        <f t="shared" si="7"/>
        <v>625.85117553070074</v>
      </c>
      <c r="I29" s="88">
        <f t="shared" si="8"/>
        <v>350.19090282563747</v>
      </c>
      <c r="J29" s="505">
        <f t="shared" si="0"/>
        <v>0.78717142701538556</v>
      </c>
    </row>
    <row r="30" spans="1:10">
      <c r="A30" s="460" t="s">
        <v>259</v>
      </c>
      <c r="B30" s="293">
        <f>電動輔助自行車!E30</f>
        <v>86</v>
      </c>
      <c r="C30" s="89">
        <f>VLOOKUP(A30,[11]進出口值表查詢結果!$A$2:$C$54,3,0)</f>
        <v>15</v>
      </c>
      <c r="D30" s="504">
        <f t="shared" si="1"/>
        <v>4.7333333333333334</v>
      </c>
      <c r="E30" s="293">
        <f>電動輔助自行車!G30</f>
        <v>156330</v>
      </c>
      <c r="F30" s="90">
        <f>VLOOKUP(A30,[11]進出口值表查詢結果!$A$2:$C$54,2,0)</f>
        <v>35059</v>
      </c>
      <c r="G30" s="503">
        <f t="shared" si="2"/>
        <v>3.4590547363016628</v>
      </c>
      <c r="H30" s="87">
        <f t="shared" si="7"/>
        <v>1817.7906976744187</v>
      </c>
      <c r="I30" s="88">
        <f t="shared" si="8"/>
        <v>2337.2666666666669</v>
      </c>
      <c r="J30" s="505">
        <f t="shared" si="0"/>
        <v>-0.22225789483110536</v>
      </c>
    </row>
    <row r="31" spans="1:10">
      <c r="A31" s="460" t="s">
        <v>260</v>
      </c>
      <c r="B31" s="293">
        <f>電動輔助自行車!E31</f>
        <v>0</v>
      </c>
      <c r="C31" s="89">
        <v>0</v>
      </c>
      <c r="D31" s="504">
        <f t="shared" si="1"/>
        <v>0</v>
      </c>
      <c r="E31" s="293">
        <f>電動輔助自行車!G31</f>
        <v>0</v>
      </c>
      <c r="F31" s="90">
        <v>0</v>
      </c>
      <c r="G31" s="503">
        <f t="shared" si="2"/>
        <v>0</v>
      </c>
      <c r="H31" s="87">
        <f t="shared" si="7"/>
        <v>0</v>
      </c>
      <c r="I31" s="88">
        <f t="shared" si="8"/>
        <v>0</v>
      </c>
      <c r="J31" s="505">
        <f t="shared" si="0"/>
        <v>0</v>
      </c>
    </row>
    <row r="32" spans="1:10">
      <c r="A32" s="460" t="s">
        <v>262</v>
      </c>
      <c r="B32" s="293">
        <f>電動輔助自行車!E32</f>
        <v>0</v>
      </c>
      <c r="C32" s="89">
        <f>VLOOKUP(A32,[11]進出口值表查詢結果!$A$2:$C$54,3,0)</f>
        <v>479</v>
      </c>
      <c r="D32" s="504">
        <f t="shared" si="1"/>
        <v>-1</v>
      </c>
      <c r="E32" s="293">
        <f>電動輔助自行車!G32</f>
        <v>0</v>
      </c>
      <c r="F32" s="90">
        <f>VLOOKUP(A32,[11]進出口值表查詢結果!$A$2:$C$54,2,0)</f>
        <v>335825</v>
      </c>
      <c r="G32" s="503">
        <f t="shared" si="2"/>
        <v>-1</v>
      </c>
      <c r="H32" s="87">
        <f t="shared" si="7"/>
        <v>0</v>
      </c>
      <c r="I32" s="88">
        <f t="shared" si="8"/>
        <v>701.09603340292279</v>
      </c>
      <c r="J32" s="505">
        <f t="shared" si="0"/>
        <v>-1</v>
      </c>
    </row>
    <row r="33" spans="1:10">
      <c r="A33" s="460" t="s">
        <v>264</v>
      </c>
      <c r="B33" s="293">
        <f>電動輔助自行車!E33</f>
        <v>0</v>
      </c>
      <c r="C33" s="89">
        <v>0</v>
      </c>
      <c r="D33" s="504">
        <f t="shared" si="1"/>
        <v>0</v>
      </c>
      <c r="E33" s="293">
        <f>電動輔助自行車!G33</f>
        <v>0</v>
      </c>
      <c r="F33" s="90">
        <v>0</v>
      </c>
      <c r="G33" s="503">
        <f t="shared" si="2"/>
        <v>0</v>
      </c>
      <c r="H33" s="87">
        <f t="shared" si="7"/>
        <v>0</v>
      </c>
      <c r="I33" s="88">
        <f t="shared" si="8"/>
        <v>0</v>
      </c>
      <c r="J33" s="505">
        <f t="shared" si="0"/>
        <v>0</v>
      </c>
    </row>
    <row r="34" spans="1:10">
      <c r="A34" s="460" t="s">
        <v>265</v>
      </c>
      <c r="B34" s="293">
        <f>電動輔助自行車!E34</f>
        <v>0</v>
      </c>
      <c r="C34" s="89">
        <v>0</v>
      </c>
      <c r="D34" s="504">
        <f t="shared" si="1"/>
        <v>0</v>
      </c>
      <c r="E34" s="293">
        <f>電動輔助自行車!G34</f>
        <v>0</v>
      </c>
      <c r="F34" s="90">
        <v>0</v>
      </c>
      <c r="G34" s="503">
        <f t="shared" si="2"/>
        <v>0</v>
      </c>
      <c r="H34" s="87">
        <f t="shared" ref="H34:H63" si="9">IF(B34,E34/B34,0)</f>
        <v>0</v>
      </c>
      <c r="I34" s="88">
        <f t="shared" ref="I34:I64" si="10">IF(C34,F34/C34,0)</f>
        <v>0</v>
      </c>
      <c r="J34" s="505">
        <f t="shared" si="0"/>
        <v>0</v>
      </c>
    </row>
    <row r="35" spans="1:10">
      <c r="A35" s="461" t="s">
        <v>383</v>
      </c>
      <c r="B35" s="293">
        <f>電動輔助自行車!E35</f>
        <v>0</v>
      </c>
      <c r="C35" s="89">
        <v>0</v>
      </c>
      <c r="D35" s="504">
        <f t="shared" si="1"/>
        <v>0</v>
      </c>
      <c r="E35" s="293">
        <f>電動輔助自行車!G35</f>
        <v>0</v>
      </c>
      <c r="F35" s="90">
        <v>0</v>
      </c>
      <c r="G35" s="503">
        <f t="shared" si="2"/>
        <v>0</v>
      </c>
      <c r="H35" s="87">
        <f t="shared" si="9"/>
        <v>0</v>
      </c>
      <c r="I35" s="88">
        <f t="shared" si="10"/>
        <v>0</v>
      </c>
      <c r="J35" s="505">
        <f t="shared" si="0"/>
        <v>0</v>
      </c>
    </row>
    <row r="36" spans="1:10">
      <c r="A36" s="460" t="s">
        <v>268</v>
      </c>
      <c r="B36" s="293">
        <f>電動輔助自行車!E36</f>
        <v>0</v>
      </c>
      <c r="C36" s="89">
        <v>0</v>
      </c>
      <c r="D36" s="504">
        <f t="shared" si="1"/>
        <v>0</v>
      </c>
      <c r="E36" s="293">
        <f>電動輔助自行車!G36</f>
        <v>0</v>
      </c>
      <c r="F36" s="90">
        <v>0</v>
      </c>
      <c r="G36" s="503">
        <f t="shared" si="2"/>
        <v>0</v>
      </c>
      <c r="H36" s="87">
        <f t="shared" si="9"/>
        <v>0</v>
      </c>
      <c r="I36" s="88">
        <f t="shared" si="10"/>
        <v>0</v>
      </c>
      <c r="J36" s="505">
        <f t="shared" si="0"/>
        <v>0</v>
      </c>
    </row>
    <row r="37" spans="1:10">
      <c r="A37" s="460" t="s">
        <v>384</v>
      </c>
      <c r="B37" s="293">
        <f>電動輔助自行車!E37</f>
        <v>0</v>
      </c>
      <c r="C37" s="89">
        <v>0</v>
      </c>
      <c r="D37" s="504">
        <f t="shared" si="1"/>
        <v>0</v>
      </c>
      <c r="E37" s="293">
        <f>電動輔助自行車!G37</f>
        <v>0</v>
      </c>
      <c r="F37" s="90">
        <v>0</v>
      </c>
      <c r="G37" s="503">
        <f t="shared" si="2"/>
        <v>0</v>
      </c>
      <c r="H37" s="87">
        <f t="shared" si="9"/>
        <v>0</v>
      </c>
      <c r="I37" s="88">
        <f t="shared" si="10"/>
        <v>0</v>
      </c>
      <c r="J37" s="505">
        <f t="shared" si="0"/>
        <v>0</v>
      </c>
    </row>
    <row r="38" spans="1:10">
      <c r="A38" s="460" t="s">
        <v>270</v>
      </c>
      <c r="B38" s="293">
        <f>電動輔助自行車!E38</f>
        <v>0</v>
      </c>
      <c r="C38" s="89">
        <v>0</v>
      </c>
      <c r="D38" s="504">
        <f t="shared" si="1"/>
        <v>0</v>
      </c>
      <c r="E38" s="293">
        <f>電動輔助自行車!G38</f>
        <v>0</v>
      </c>
      <c r="F38" s="90">
        <v>0</v>
      </c>
      <c r="G38" s="503">
        <f t="shared" si="2"/>
        <v>0</v>
      </c>
      <c r="H38" s="87">
        <f t="shared" si="9"/>
        <v>0</v>
      </c>
      <c r="I38" s="88">
        <f t="shared" si="10"/>
        <v>0</v>
      </c>
      <c r="J38" s="505">
        <f t="shared" si="0"/>
        <v>0</v>
      </c>
    </row>
    <row r="39" spans="1:10">
      <c r="A39" s="460" t="s">
        <v>271</v>
      </c>
      <c r="B39" s="293">
        <f>電動輔助自行車!E39</f>
        <v>0</v>
      </c>
      <c r="C39" s="89">
        <v>0</v>
      </c>
      <c r="D39" s="504">
        <f t="shared" si="1"/>
        <v>0</v>
      </c>
      <c r="E39" s="293">
        <f>電動輔助自行車!G39</f>
        <v>0</v>
      </c>
      <c r="F39" s="90">
        <v>0</v>
      </c>
      <c r="G39" s="503">
        <f t="shared" si="2"/>
        <v>0</v>
      </c>
      <c r="H39" s="87">
        <f t="shared" si="9"/>
        <v>0</v>
      </c>
      <c r="I39" s="88">
        <f t="shared" si="10"/>
        <v>0</v>
      </c>
      <c r="J39" s="505">
        <f t="shared" si="0"/>
        <v>0</v>
      </c>
    </row>
    <row r="40" spans="1:10">
      <c r="A40" s="450" t="s">
        <v>272</v>
      </c>
      <c r="B40" s="293">
        <f>電動輔助自行車!E40</f>
        <v>0</v>
      </c>
      <c r="C40" s="89">
        <v>0</v>
      </c>
      <c r="D40" s="504">
        <f t="shared" si="1"/>
        <v>0</v>
      </c>
      <c r="E40" s="293">
        <f>電動輔助自行車!G40</f>
        <v>0</v>
      </c>
      <c r="F40" s="90">
        <v>0</v>
      </c>
      <c r="G40" s="503">
        <f t="shared" si="2"/>
        <v>0</v>
      </c>
      <c r="H40" s="87">
        <f t="shared" si="9"/>
        <v>0</v>
      </c>
      <c r="I40" s="88">
        <f t="shared" si="10"/>
        <v>0</v>
      </c>
      <c r="J40" s="505">
        <f t="shared" si="0"/>
        <v>0</v>
      </c>
    </row>
    <row r="41" spans="1:10">
      <c r="A41" s="291"/>
      <c r="B41" s="293"/>
      <c r="C41" s="496"/>
      <c r="D41" s="504"/>
      <c r="E41" s="293"/>
      <c r="F41" s="90"/>
      <c r="G41" s="503"/>
      <c r="H41" s="87"/>
      <c r="I41" s="88"/>
      <c r="J41" s="505"/>
    </row>
    <row r="42" spans="1:10">
      <c r="A42" s="297" t="s">
        <v>20</v>
      </c>
      <c r="B42" s="296">
        <f>SUM(B43:B46)</f>
        <v>8818</v>
      </c>
      <c r="C42" s="497">
        <f>SUM(C43:C46)</f>
        <v>6292</v>
      </c>
      <c r="D42" s="504">
        <f t="shared" si="1"/>
        <v>0.40146217418944691</v>
      </c>
      <c r="E42" s="296">
        <f>SUM(E43:E46)</f>
        <v>15594030</v>
      </c>
      <c r="F42" s="85">
        <f>SUM(F43:F46)</f>
        <v>11126376</v>
      </c>
      <c r="G42" s="503">
        <f t="shared" si="2"/>
        <v>0.40153721211650584</v>
      </c>
      <c r="H42" s="87">
        <f t="shared" si="9"/>
        <v>1768.4316171467453</v>
      </c>
      <c r="I42" s="88">
        <f t="shared" si="10"/>
        <v>1768.3369357914812</v>
      </c>
      <c r="J42" s="505">
        <f t="shared" si="0"/>
        <v>5.354259889490508E-5</v>
      </c>
    </row>
    <row r="43" spans="1:10">
      <c r="A43" s="291" t="s">
        <v>183</v>
      </c>
      <c r="B43" s="293">
        <f>電動輔助自行車!E43</f>
        <v>5708</v>
      </c>
      <c r="C43" s="89">
        <f>VLOOKUP(A43,[11]進出口值表查詢結果!$A$2:$C$54,3,0)</f>
        <v>4101</v>
      </c>
      <c r="D43" s="504">
        <f t="shared" si="1"/>
        <v>0.39185564496464276</v>
      </c>
      <c r="E43" s="293">
        <f>電動輔助自行車!G43</f>
        <v>10517079</v>
      </c>
      <c r="F43" s="90">
        <f>VLOOKUP(A43,[11]進出口值表查詢結果!$A$2:$C$54,2,0)</f>
        <v>7567855</v>
      </c>
      <c r="G43" s="503">
        <f t="shared" si="2"/>
        <v>0.3897040839180983</v>
      </c>
      <c r="H43" s="87">
        <f t="shared" si="9"/>
        <v>1842.5155921513665</v>
      </c>
      <c r="I43" s="88">
        <f t="shared" si="10"/>
        <v>1845.3682028773469</v>
      </c>
      <c r="J43" s="505">
        <f t="shared" si="0"/>
        <v>-1.5458219782548252E-3</v>
      </c>
    </row>
    <row r="44" spans="1:10">
      <c r="A44" s="291" t="s">
        <v>274</v>
      </c>
      <c r="B44" s="293">
        <f>電動輔助自行車!E44</f>
        <v>3078</v>
      </c>
      <c r="C44" s="89">
        <f>VLOOKUP(A44,[11]進出口值表查詢結果!$A$2:$C$54,3,0)</f>
        <v>2176</v>
      </c>
      <c r="D44" s="504">
        <f t="shared" si="1"/>
        <v>0.41452205882352944</v>
      </c>
      <c r="E44" s="293">
        <f>電動輔助自行車!G44</f>
        <v>5016663</v>
      </c>
      <c r="F44" s="90">
        <f>VLOOKUP(A44,[11]進出口值表查詢結果!$A$2:$C$54,2,0)</f>
        <v>3526959</v>
      </c>
      <c r="G44" s="503">
        <f t="shared" si="2"/>
        <v>0.42237633043083289</v>
      </c>
      <c r="H44" s="87">
        <f t="shared" si="9"/>
        <v>1629.8450292397661</v>
      </c>
      <c r="I44" s="88">
        <f t="shared" si="10"/>
        <v>1620.8451286764705</v>
      </c>
      <c r="J44" s="505">
        <f t="shared" si="0"/>
        <v>5.5525974715700289E-3</v>
      </c>
    </row>
    <row r="45" spans="1:10">
      <c r="A45" s="291" t="s">
        <v>275</v>
      </c>
      <c r="B45" s="293">
        <f>電動輔助自行車!E45</f>
        <v>32</v>
      </c>
      <c r="C45" s="89">
        <f>VLOOKUP(A45,[11]進出口值表查詢結果!$A$2:$C$54,3,0)</f>
        <v>15</v>
      </c>
      <c r="D45" s="504">
        <f t="shared" si="1"/>
        <v>1.1333333333333333</v>
      </c>
      <c r="E45" s="293">
        <f>電動輔助自行車!G45</f>
        <v>60288</v>
      </c>
      <c r="F45" s="90">
        <f>VLOOKUP(A45,[11]進出口值表查詢結果!$A$2:$C$54,2,0)</f>
        <v>31562</v>
      </c>
      <c r="G45" s="503">
        <f t="shared" si="2"/>
        <v>0.91014511120968256</v>
      </c>
      <c r="H45" s="87">
        <f t="shared" si="9"/>
        <v>1884</v>
      </c>
      <c r="I45" s="88">
        <f t="shared" si="10"/>
        <v>2104.1333333333332</v>
      </c>
      <c r="J45" s="505">
        <f t="shared" si="0"/>
        <v>-0.10461947912046127</v>
      </c>
    </row>
    <row r="46" spans="1:10">
      <c r="A46" s="294" t="s">
        <v>21</v>
      </c>
      <c r="B46" s="293">
        <f>電動輔助自行車!E46</f>
        <v>0</v>
      </c>
      <c r="C46" s="89">
        <v>0</v>
      </c>
      <c r="D46" s="504">
        <f t="shared" si="1"/>
        <v>0</v>
      </c>
      <c r="E46" s="293">
        <f>電動輔助自行車!G46</f>
        <v>0</v>
      </c>
      <c r="F46" s="90">
        <v>0</v>
      </c>
      <c r="G46" s="503">
        <f t="shared" si="2"/>
        <v>0</v>
      </c>
      <c r="H46" s="87">
        <f t="shared" si="9"/>
        <v>0</v>
      </c>
      <c r="I46" s="88">
        <f t="shared" si="10"/>
        <v>0</v>
      </c>
      <c r="J46" s="505">
        <f t="shared" si="0"/>
        <v>0</v>
      </c>
    </row>
    <row r="47" spans="1:10">
      <c r="A47" s="294"/>
      <c r="B47" s="293"/>
      <c r="C47" s="496"/>
      <c r="D47" s="504"/>
      <c r="E47" s="293"/>
      <c r="F47" s="90"/>
      <c r="G47" s="503"/>
      <c r="H47" s="87"/>
      <c r="I47" s="88"/>
      <c r="J47" s="505"/>
    </row>
    <row r="48" spans="1:10">
      <c r="A48" s="297" t="s">
        <v>22</v>
      </c>
      <c r="B48" s="296">
        <f>SUM(B49:B62)</f>
        <v>47502</v>
      </c>
      <c r="C48" s="497">
        <f>SUM(C49:C62)</f>
        <v>46352</v>
      </c>
      <c r="D48" s="504">
        <f t="shared" si="1"/>
        <v>2.4810148429409734E-2</v>
      </c>
      <c r="E48" s="296">
        <f>SUM(E49:E62)</f>
        <v>80228709</v>
      </c>
      <c r="F48" s="91">
        <f>SUM(F49:F62)</f>
        <v>80994156</v>
      </c>
      <c r="G48" s="503">
        <f t="shared" si="2"/>
        <v>-9.4506448094847737E-3</v>
      </c>
      <c r="H48" s="87">
        <f t="shared" si="9"/>
        <v>1688.9543387646836</v>
      </c>
      <c r="I48" s="88">
        <f t="shared" si="10"/>
        <v>1747.371332412841</v>
      </c>
      <c r="J48" s="505">
        <f t="shared" si="0"/>
        <v>-3.3431356326243958E-2</v>
      </c>
    </row>
    <row r="49" spans="1:10">
      <c r="A49" s="297" t="s">
        <v>162</v>
      </c>
      <c r="B49" s="293">
        <f>電動輔助自行車!E49</f>
        <v>25287</v>
      </c>
      <c r="C49" s="89">
        <f>VLOOKUP(A49,[11]進出口值表查詢結果!$A$2:$C$54,3,0)</f>
        <v>22782</v>
      </c>
      <c r="D49" s="504">
        <f t="shared" si="1"/>
        <v>0.10995522781143008</v>
      </c>
      <c r="E49" s="293">
        <f>電動輔助自行車!G49</f>
        <v>35038578</v>
      </c>
      <c r="F49" s="90">
        <f>VLOOKUP(A49,[11]進出口值表查詢結果!$A$2:$C$54,2,0)</f>
        <v>33702517</v>
      </c>
      <c r="G49" s="503">
        <f t="shared" si="2"/>
        <v>3.9642766147110022E-2</v>
      </c>
      <c r="H49" s="87">
        <f t="shared" si="9"/>
        <v>1385.6360185075334</v>
      </c>
      <c r="I49" s="88">
        <f t="shared" si="10"/>
        <v>1479.3484768677026</v>
      </c>
      <c r="J49" s="505">
        <f t="shared" si="0"/>
        <v>-6.3347115183159011E-2</v>
      </c>
    </row>
    <row r="50" spans="1:10">
      <c r="A50" s="449" t="s">
        <v>385</v>
      </c>
      <c r="B50" s="293">
        <f>電動輔助自行車!E50</f>
        <v>4745</v>
      </c>
      <c r="C50" s="89">
        <f>VLOOKUP(A50,[11]進出口值表查詢結果!$A$2:$C$54,3,0)</f>
        <v>4087</v>
      </c>
      <c r="D50" s="504">
        <f t="shared" si="1"/>
        <v>0.16099828725226328</v>
      </c>
      <c r="E50" s="293">
        <f>電動輔助自行車!G50</f>
        <v>5667098</v>
      </c>
      <c r="F50" s="90">
        <f>VLOOKUP(A50,[11]進出口值表查詢結果!$A$2:$C$54,2,0)</f>
        <v>4335969</v>
      </c>
      <c r="G50" s="503">
        <f t="shared" si="2"/>
        <v>0.30699689042979783</v>
      </c>
      <c r="H50" s="87">
        <f t="shared" si="9"/>
        <v>1194.3304531085353</v>
      </c>
      <c r="I50" s="88">
        <f t="shared" si="10"/>
        <v>1060.9172987521408</v>
      </c>
      <c r="J50" s="505">
        <f t="shared" si="0"/>
        <v>0.12575264303194605</v>
      </c>
    </row>
    <row r="51" spans="1:10">
      <c r="A51" s="449" t="s">
        <v>454</v>
      </c>
      <c r="B51" s="293">
        <f>電動輔助自行車!E51</f>
        <v>234</v>
      </c>
      <c r="C51" s="89">
        <f>VLOOKUP(A51,[11]進出口值表查詢結果!$A$2:$C$54,3,0)</f>
        <v>16</v>
      </c>
      <c r="D51" s="504">
        <f t="shared" si="1"/>
        <v>13.625</v>
      </c>
      <c r="E51" s="293">
        <f>電動輔助自行車!G51</f>
        <v>285808</v>
      </c>
      <c r="F51" s="90">
        <f>VLOOKUP(A51,[11]進出口值表查詢結果!$A$2:$C$54,2,0)</f>
        <v>14069</v>
      </c>
      <c r="G51" s="503">
        <f t="shared" si="2"/>
        <v>19.314734522709504</v>
      </c>
      <c r="H51" s="87">
        <f t="shared" si="9"/>
        <v>1221.4017094017095</v>
      </c>
      <c r="I51" s="88">
        <f t="shared" si="10"/>
        <v>879.3125</v>
      </c>
      <c r="J51" s="505">
        <f t="shared" si="0"/>
        <v>0.38904167676646184</v>
      </c>
    </row>
    <row r="52" spans="1:10">
      <c r="A52" s="449" t="s">
        <v>298</v>
      </c>
      <c r="B52" s="293">
        <f>電動輔助自行車!E52</f>
        <v>422</v>
      </c>
      <c r="C52" s="89">
        <f>VLOOKUP(A52,[11]進出口值表查詢結果!$A$2:$C$54,3,0)</f>
        <v>954</v>
      </c>
      <c r="D52" s="504">
        <f t="shared" si="1"/>
        <v>-0.55765199161425572</v>
      </c>
      <c r="E52" s="293">
        <f>電動輔助自行車!G52</f>
        <v>1112109</v>
      </c>
      <c r="F52" s="90">
        <f>VLOOKUP(A52,[11]進出口值表查詢結果!$A$2:$C$54,2,0)</f>
        <v>2386897</v>
      </c>
      <c r="G52" s="503">
        <f t="shared" si="2"/>
        <v>-0.53407750732436299</v>
      </c>
      <c r="H52" s="87">
        <f t="shared" si="9"/>
        <v>2635.329383886256</v>
      </c>
      <c r="I52" s="88">
        <f t="shared" si="10"/>
        <v>2501.988469601677</v>
      </c>
      <c r="J52" s="505">
        <f t="shared" si="0"/>
        <v>5.3293976333075255E-2</v>
      </c>
    </row>
    <row r="53" spans="1:10">
      <c r="A53" s="450" t="s">
        <v>23</v>
      </c>
      <c r="B53" s="293">
        <f>電動輔助自行車!E53</f>
        <v>4</v>
      </c>
      <c r="C53" s="89">
        <f>VLOOKUP(A53,[11]進出口值表查詢結果!$A$2:$C$54,3,0)</f>
        <v>108</v>
      </c>
      <c r="D53" s="504">
        <f t="shared" si="1"/>
        <v>-0.96296296296296291</v>
      </c>
      <c r="E53" s="293">
        <f>電動輔助自行車!G53</f>
        <v>12812</v>
      </c>
      <c r="F53" s="90">
        <f>VLOOKUP(A53,[11]進出口值表查詢結果!$A$2:$C$54,2,0)</f>
        <v>289824</v>
      </c>
      <c r="G53" s="503">
        <f t="shared" si="2"/>
        <v>-0.95579386110191011</v>
      </c>
      <c r="H53" s="87">
        <f t="shared" si="9"/>
        <v>3203</v>
      </c>
      <c r="I53" s="88">
        <f t="shared" si="10"/>
        <v>2683.5555555555557</v>
      </c>
      <c r="J53" s="505">
        <f t="shared" si="0"/>
        <v>0.19356575024842659</v>
      </c>
    </row>
    <row r="54" spans="1:10">
      <c r="A54" s="449" t="s">
        <v>304</v>
      </c>
      <c r="B54" s="293">
        <f>電動輔助自行車!E54</f>
        <v>733</v>
      </c>
      <c r="C54" s="89">
        <f>VLOOKUP(A54,[11]進出口值表查詢結果!$A$2:$C$54,3,0)</f>
        <v>1983</v>
      </c>
      <c r="D54" s="504">
        <f t="shared" si="1"/>
        <v>-0.63035804336863344</v>
      </c>
      <c r="E54" s="293">
        <f>電動輔助自行車!G54</f>
        <v>1929435</v>
      </c>
      <c r="F54" s="90">
        <f>VLOOKUP(A54,[11]進出口值表查詢結果!$A$2:$C$54,2,0)</f>
        <v>5074760</v>
      </c>
      <c r="G54" s="503">
        <f t="shared" si="2"/>
        <v>-0.61979778354050241</v>
      </c>
      <c r="H54" s="87">
        <f t="shared" si="9"/>
        <v>2632.244201909959</v>
      </c>
      <c r="I54" s="88">
        <f t="shared" si="10"/>
        <v>2559.1326273323248</v>
      </c>
      <c r="J54" s="505">
        <f t="shared" si="0"/>
        <v>2.8568888457276526E-2</v>
      </c>
    </row>
    <row r="55" spans="1:10">
      <c r="A55" s="450" t="s">
        <v>386</v>
      </c>
      <c r="B55" s="293">
        <f>電動輔助自行車!E55</f>
        <v>6724</v>
      </c>
      <c r="C55" s="89">
        <f>VLOOKUP(A55,[11]進出口值表查詢結果!$A$2:$C$54,3,0)</f>
        <v>8231</v>
      </c>
      <c r="D55" s="504">
        <f t="shared" si="1"/>
        <v>-0.18308832462641234</v>
      </c>
      <c r="E55" s="293">
        <f>電動輔助自行車!G55</f>
        <v>14537206</v>
      </c>
      <c r="F55" s="90">
        <f>VLOOKUP(A55,[11]進出口值表查詢結果!$A$2:$C$54,2,0)</f>
        <v>16530489</v>
      </c>
      <c r="G55" s="503">
        <f t="shared" si="2"/>
        <v>-0.12058221629136319</v>
      </c>
      <c r="H55" s="87">
        <f t="shared" si="9"/>
        <v>2161.9878048780488</v>
      </c>
      <c r="I55" s="88">
        <f t="shared" si="10"/>
        <v>2008.3208601627991</v>
      </c>
      <c r="J55" s="505">
        <f t="shared" si="0"/>
        <v>7.6515136482122215E-2</v>
      </c>
    </row>
    <row r="56" spans="1:10">
      <c r="A56" s="450" t="s">
        <v>24</v>
      </c>
      <c r="B56" s="293">
        <f>電動輔助自行車!E56</f>
        <v>76</v>
      </c>
      <c r="C56" s="89">
        <f>VLOOKUP(A56,[11]進出口值表查詢結果!$A$2:$C$54,3,0)</f>
        <v>293</v>
      </c>
      <c r="D56" s="504">
        <f t="shared" si="1"/>
        <v>-0.74061433447098979</v>
      </c>
      <c r="E56" s="293">
        <f>電動輔助自行車!G56</f>
        <v>219126</v>
      </c>
      <c r="F56" s="90">
        <f>VLOOKUP(A56,[11]進出口值表查詢結果!$A$2:$C$54,2,0)</f>
        <v>894755</v>
      </c>
      <c r="G56" s="503">
        <f t="shared" si="2"/>
        <v>-0.75509944062899903</v>
      </c>
      <c r="H56" s="87">
        <f t="shared" si="9"/>
        <v>2883.2368421052633</v>
      </c>
      <c r="I56" s="88">
        <f t="shared" si="10"/>
        <v>3053.7713310580207</v>
      </c>
      <c r="J56" s="505">
        <f t="shared" si="0"/>
        <v>-5.5843896109167193E-2</v>
      </c>
    </row>
    <row r="57" spans="1:10">
      <c r="A57" s="450" t="s">
        <v>240</v>
      </c>
      <c r="B57" s="293">
        <f>電動輔助自行車!E57</f>
        <v>218</v>
      </c>
      <c r="C57" s="89">
        <f>VLOOKUP(A57,[11]進出口值表查詢結果!$A$2:$C$54,3,0)</f>
        <v>4</v>
      </c>
      <c r="D57" s="504">
        <f t="shared" si="1"/>
        <v>53.5</v>
      </c>
      <c r="E57" s="293">
        <f>電動輔助自行車!G57</f>
        <v>305493</v>
      </c>
      <c r="F57" s="90">
        <f>VLOOKUP(A57,[11]進出口值表查詢結果!$A$2:$C$54,2,0)</f>
        <v>5325</v>
      </c>
      <c r="G57" s="503">
        <f t="shared" si="2"/>
        <v>56.369577464788733</v>
      </c>
      <c r="H57" s="87">
        <f t="shared" si="9"/>
        <v>1401.3440366972477</v>
      </c>
      <c r="I57" s="88">
        <f t="shared" si="10"/>
        <v>1331.25</v>
      </c>
      <c r="J57" s="505">
        <f t="shared" si="0"/>
        <v>5.2652797519059304E-2</v>
      </c>
    </row>
    <row r="58" spans="1:10">
      <c r="A58" s="294" t="s">
        <v>459</v>
      </c>
      <c r="B58" s="293">
        <f>電動輔助自行車!E58</f>
        <v>1463</v>
      </c>
      <c r="C58" s="89">
        <f>VLOOKUP(A58,[11]進出口值表查詢結果!$A$2:$C$54,3,0)</f>
        <v>1289</v>
      </c>
      <c r="D58" s="504">
        <f t="shared" si="1"/>
        <v>0.13498836307214895</v>
      </c>
      <c r="E58" s="293">
        <f>電動輔助自行車!G58</f>
        <v>3310579</v>
      </c>
      <c r="F58" s="90">
        <f>VLOOKUP(A58,[11]進出口值表查詢結果!$A$2:$C$54,2,0)</f>
        <v>2740700</v>
      </c>
      <c r="G58" s="503">
        <f t="shared" si="2"/>
        <v>0.20793191520414492</v>
      </c>
      <c r="H58" s="87">
        <f t="shared" si="9"/>
        <v>2262.8701298701299</v>
      </c>
      <c r="I58" s="88">
        <f t="shared" si="10"/>
        <v>2126.2218774243602</v>
      </c>
      <c r="J58" s="505">
        <f t="shared" si="0"/>
        <v>6.4268105740357254E-2</v>
      </c>
    </row>
    <row r="59" spans="1:10">
      <c r="A59" s="450" t="s">
        <v>278</v>
      </c>
      <c r="B59" s="293">
        <f>電動輔助自行車!E59</f>
        <v>0</v>
      </c>
      <c r="C59" s="89">
        <v>0</v>
      </c>
      <c r="D59" s="504">
        <f t="shared" si="1"/>
        <v>0</v>
      </c>
      <c r="E59" s="293">
        <f>電動輔助自行車!G59</f>
        <v>0</v>
      </c>
      <c r="F59" s="90">
        <v>0</v>
      </c>
      <c r="G59" s="503">
        <f t="shared" si="2"/>
        <v>0</v>
      </c>
      <c r="H59" s="87">
        <f t="shared" si="9"/>
        <v>0</v>
      </c>
      <c r="I59" s="88">
        <f t="shared" si="10"/>
        <v>0</v>
      </c>
      <c r="J59" s="505">
        <f t="shared" si="0"/>
        <v>0</v>
      </c>
    </row>
    <row r="60" spans="1:10">
      <c r="A60" s="450" t="s">
        <v>283</v>
      </c>
      <c r="B60" s="293">
        <f>電動輔助自行車!E60</f>
        <v>0</v>
      </c>
      <c r="C60" s="89">
        <v>0</v>
      </c>
      <c r="D60" s="504">
        <f t="shared" si="1"/>
        <v>0</v>
      </c>
      <c r="E60" s="293">
        <f>電動輔助自行車!G60</f>
        <v>0</v>
      </c>
      <c r="F60" s="90">
        <v>0</v>
      </c>
      <c r="G60" s="503">
        <f t="shared" si="2"/>
        <v>0</v>
      </c>
      <c r="H60" s="87">
        <f t="shared" si="9"/>
        <v>0</v>
      </c>
      <c r="I60" s="88">
        <f t="shared" si="10"/>
        <v>0</v>
      </c>
      <c r="J60" s="505">
        <f t="shared" si="0"/>
        <v>0</v>
      </c>
    </row>
    <row r="61" spans="1:10">
      <c r="A61" s="450" t="s">
        <v>289</v>
      </c>
      <c r="B61" s="293">
        <f>電動輔助自行車!E61</f>
        <v>6007</v>
      </c>
      <c r="C61" s="89">
        <f>VLOOKUP(A61,[11]進出口值表查詢結果!$A$2:$C$54,3,0)</f>
        <v>4992</v>
      </c>
      <c r="D61" s="504">
        <f t="shared" si="1"/>
        <v>0.20332532051282051</v>
      </c>
      <c r="E61" s="293">
        <f>電動輔助自行車!G61</f>
        <v>13641602</v>
      </c>
      <c r="F61" s="90">
        <f>VLOOKUP(A61,[11]進出口值表查詢結果!$A$2:$C$54,2,0)</f>
        <v>11040199</v>
      </c>
      <c r="G61" s="503">
        <f t="shared" si="2"/>
        <v>0.23563008239253658</v>
      </c>
      <c r="H61" s="87">
        <f t="shared" si="9"/>
        <v>2270.950890627601</v>
      </c>
      <c r="I61" s="88">
        <f t="shared" si="10"/>
        <v>2211.5783253205127</v>
      </c>
      <c r="J61" s="505">
        <f t="shared" si="0"/>
        <v>2.6846241269109797E-2</v>
      </c>
    </row>
    <row r="62" spans="1:10">
      <c r="A62" s="450" t="s">
        <v>337</v>
      </c>
      <c r="B62" s="293">
        <f>電動輔助自行車!E62</f>
        <v>1589</v>
      </c>
      <c r="C62" s="89">
        <f>VLOOKUP(A62,[11]進出口值表查詢結果!$A$2:$C$54,3,0)</f>
        <v>1613</v>
      </c>
      <c r="D62" s="504">
        <f t="shared" si="1"/>
        <v>-1.4879107253564786E-2</v>
      </c>
      <c r="E62" s="293">
        <f>電動輔助自行車!G62</f>
        <v>4168863</v>
      </c>
      <c r="F62" s="90">
        <f>VLOOKUP(A62,[11]進出口值表查詢結果!$A$2:$C$54,2,0)</f>
        <v>3978652</v>
      </c>
      <c r="G62" s="503">
        <f t="shared" si="2"/>
        <v>4.7807900766390223E-2</v>
      </c>
      <c r="H62" s="87">
        <f t="shared" si="9"/>
        <v>2623.5764631843927</v>
      </c>
      <c r="I62" s="88">
        <f t="shared" si="10"/>
        <v>2466.6162430254185</v>
      </c>
      <c r="J62" s="505">
        <f t="shared" si="0"/>
        <v>6.3633822489734038E-2</v>
      </c>
    </row>
    <row r="63" spans="1:10">
      <c r="A63" s="294" t="s">
        <v>30</v>
      </c>
      <c r="B63" s="293">
        <f>B64-B48-B42-B13-B8</f>
        <v>1629</v>
      </c>
      <c r="C63" s="90">
        <f>C64-C48-C42-C13-C8</f>
        <v>3453</v>
      </c>
      <c r="D63" s="504">
        <f t="shared" si="1"/>
        <v>-0.52823631624674194</v>
      </c>
      <c r="E63" s="293">
        <f>E64-E48-E42-E13-E8</f>
        <v>4374657</v>
      </c>
      <c r="F63" s="90">
        <f>F64-F48-F42-F13-F8</f>
        <v>8610253</v>
      </c>
      <c r="G63" s="503">
        <f t="shared" si="2"/>
        <v>-0.49192468560447644</v>
      </c>
      <c r="H63" s="87">
        <f t="shared" si="9"/>
        <v>2685.4861878453039</v>
      </c>
      <c r="I63" s="88">
        <f t="shared" si="10"/>
        <v>2493.5571966406023</v>
      </c>
      <c r="J63" s="505">
        <f t="shared" si="0"/>
        <v>7.6969957401929356E-2</v>
      </c>
    </row>
    <row r="64" spans="1:10">
      <c r="A64" s="295" t="s">
        <v>401</v>
      </c>
      <c r="B64" s="296">
        <f>電動輔助自行車!E64</f>
        <v>383679</v>
      </c>
      <c r="C64" s="89">
        <f>VLOOKUP(A64,[11]進出口值表查詢結果!$A$2:$C$54,3,0)</f>
        <v>419932</v>
      </c>
      <c r="D64" s="504">
        <f t="shared" si="1"/>
        <v>-8.6330644009030039E-2</v>
      </c>
      <c r="E64" s="293">
        <f>電動輔助自行車!G64</f>
        <v>633042627</v>
      </c>
      <c r="F64" s="90">
        <f>VLOOKUP(A64,[11]進出口值表查詢結果!$A$2:$C$54,2,0)</f>
        <v>605113124</v>
      </c>
      <c r="G64" s="503">
        <f t="shared" si="2"/>
        <v>4.6155837466185907E-2</v>
      </c>
      <c r="H64" s="87">
        <f t="shared" ref="H64" si="11">E64/B64</f>
        <v>1649.9277442862392</v>
      </c>
      <c r="I64" s="88">
        <f t="shared" si="10"/>
        <v>1440.9788346684702</v>
      </c>
      <c r="J64" s="505">
        <f t="shared" si="0"/>
        <v>0.14500484295166099</v>
      </c>
    </row>
    <row r="65" spans="1:7">
      <c r="A65" s="298"/>
      <c r="B65" s="299"/>
      <c r="C65" s="300"/>
      <c r="D65" s="301"/>
      <c r="E65" s="299"/>
      <c r="F65" s="300"/>
      <c r="G65" s="301"/>
    </row>
    <row r="66" spans="1:7" ht="13.5" customHeight="1">
      <c r="A66" s="302" t="s">
        <v>61</v>
      </c>
    </row>
  </sheetData>
  <phoneticPr fontId="3" type="noConversion"/>
  <conditionalFormatting sqref="D1:D5">
    <cfRule type="cellIs" dxfId="63" priority="3" operator="greaterThanOrEqual">
      <formula>0</formula>
    </cfRule>
    <cfRule type="cellIs" dxfId="62" priority="4" operator="lessThan">
      <formula>0</formula>
    </cfRule>
  </conditionalFormatting>
  <conditionalFormatting sqref="D7:D1048576">
    <cfRule type="cellIs" dxfId="61" priority="43" operator="greaterThanOrEqual">
      <formula>0</formula>
    </cfRule>
    <cfRule type="cellIs" dxfId="60" priority="44" operator="lessThan">
      <formula>0</formula>
    </cfRule>
  </conditionalFormatting>
  <conditionalFormatting sqref="G1:G5">
    <cfRule type="cellIs" dxfId="59" priority="1" operator="greaterThanOrEqual">
      <formula>0</formula>
    </cfRule>
    <cfRule type="cellIs" dxfId="58" priority="2" operator="lessThan">
      <formula>0</formula>
    </cfRule>
  </conditionalFormatting>
  <conditionalFormatting sqref="G7:G1048576 J7:J1048576">
    <cfRule type="cellIs" dxfId="57" priority="5" operator="greaterThanOrEqual">
      <formula>0</formula>
    </cfRule>
    <cfRule type="cellIs" dxfId="56" priority="6" operator="lessThan">
      <formula>0</formula>
    </cfRule>
  </conditionalFormatting>
  <conditionalFormatting sqref="J1:J4">
    <cfRule type="cellIs" dxfId="55" priority="39" operator="greaterThanOrEqual">
      <formula>0</formula>
    </cfRule>
    <cfRule type="cellIs" dxfId="54" priority="40" operator="lessThan">
      <formula>0</formula>
    </cfRule>
  </conditionalFormatting>
  <pageMargins left="0.51181102362204722" right="0.51181102362204722" top="0.55118110236220474" bottom="0.15748031496062992" header="0.31496062992125984" footer="0.31496062992125984"/>
  <pageSetup paperSize="9" scale="6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72"/>
  <sheetViews>
    <sheetView workbookViewId="0">
      <selection activeCell="C17" sqref="C17"/>
    </sheetView>
  </sheetViews>
  <sheetFormatPr defaultRowHeight="16.5"/>
  <cols>
    <col min="1" max="1" width="17.25" style="5" customWidth="1"/>
    <col min="2" max="2" width="10.5" style="96" bestFit="1" customWidth="1"/>
    <col min="3" max="3" width="14.375" style="5" customWidth="1"/>
    <col min="4" max="4" width="10.5" style="96" bestFit="1" customWidth="1"/>
    <col min="5" max="5" width="11.875" style="5" customWidth="1"/>
    <col min="6" max="6" width="8.875" style="96" customWidth="1"/>
    <col min="7" max="7" width="12.625" style="96" customWidth="1"/>
    <col min="8" max="8" width="9.125" style="5" customWidth="1"/>
    <col min="9" max="9" width="9.5" style="96" customWidth="1"/>
    <col min="10" max="256" width="8.875" style="5"/>
    <col min="257" max="257" width="16" style="5" customWidth="1"/>
    <col min="258" max="258" width="10" style="5" customWidth="1"/>
    <col min="259" max="259" width="14.375" style="5" customWidth="1"/>
    <col min="260" max="260" width="9.5" style="5" customWidth="1"/>
    <col min="261" max="261" width="11.625" style="5" customWidth="1"/>
    <col min="262" max="262" width="10" style="5" customWidth="1"/>
    <col min="263" max="263" width="12.625" style="5" customWidth="1"/>
    <col min="264" max="264" width="9.125" style="5" customWidth="1"/>
    <col min="265" max="265" width="9.5" style="5" customWidth="1"/>
    <col min="266" max="512" width="8.875" style="5"/>
    <col min="513" max="513" width="16" style="5" customWidth="1"/>
    <col min="514" max="514" width="10" style="5" customWidth="1"/>
    <col min="515" max="515" width="14.375" style="5" customWidth="1"/>
    <col min="516" max="516" width="9.5" style="5" customWidth="1"/>
    <col min="517" max="517" width="11.625" style="5" customWidth="1"/>
    <col min="518" max="518" width="10" style="5" customWidth="1"/>
    <col min="519" max="519" width="12.625" style="5" customWidth="1"/>
    <col min="520" max="520" width="9.125" style="5" customWidth="1"/>
    <col min="521" max="521" width="9.5" style="5" customWidth="1"/>
    <col min="522" max="768" width="8.875" style="5"/>
    <col min="769" max="769" width="16" style="5" customWidth="1"/>
    <col min="770" max="770" width="10" style="5" customWidth="1"/>
    <col min="771" max="771" width="14.375" style="5" customWidth="1"/>
    <col min="772" max="772" width="9.5" style="5" customWidth="1"/>
    <col min="773" max="773" width="11.625" style="5" customWidth="1"/>
    <col min="774" max="774" width="10" style="5" customWidth="1"/>
    <col min="775" max="775" width="12.625" style="5" customWidth="1"/>
    <col min="776" max="776" width="9.125" style="5" customWidth="1"/>
    <col min="777" max="777" width="9.5" style="5" customWidth="1"/>
    <col min="778" max="1024" width="8.875" style="5"/>
    <col min="1025" max="1025" width="16" style="5" customWidth="1"/>
    <col min="1026" max="1026" width="10" style="5" customWidth="1"/>
    <col min="1027" max="1027" width="14.375" style="5" customWidth="1"/>
    <col min="1028" max="1028" width="9.5" style="5" customWidth="1"/>
    <col min="1029" max="1029" width="11.625" style="5" customWidth="1"/>
    <col min="1030" max="1030" width="10" style="5" customWidth="1"/>
    <col min="1031" max="1031" width="12.625" style="5" customWidth="1"/>
    <col min="1032" max="1032" width="9.125" style="5" customWidth="1"/>
    <col min="1033" max="1033" width="9.5" style="5" customWidth="1"/>
    <col min="1034" max="1280" width="8.875" style="5"/>
    <col min="1281" max="1281" width="16" style="5" customWidth="1"/>
    <col min="1282" max="1282" width="10" style="5" customWidth="1"/>
    <col min="1283" max="1283" width="14.375" style="5" customWidth="1"/>
    <col min="1284" max="1284" width="9.5" style="5" customWidth="1"/>
    <col min="1285" max="1285" width="11.625" style="5" customWidth="1"/>
    <col min="1286" max="1286" width="10" style="5" customWidth="1"/>
    <col min="1287" max="1287" width="12.625" style="5" customWidth="1"/>
    <col min="1288" max="1288" width="9.125" style="5" customWidth="1"/>
    <col min="1289" max="1289" width="9.5" style="5" customWidth="1"/>
    <col min="1290" max="1536" width="8.875" style="5"/>
    <col min="1537" max="1537" width="16" style="5" customWidth="1"/>
    <col min="1538" max="1538" width="10" style="5" customWidth="1"/>
    <col min="1539" max="1539" width="14.375" style="5" customWidth="1"/>
    <col min="1540" max="1540" width="9.5" style="5" customWidth="1"/>
    <col min="1541" max="1541" width="11.625" style="5" customWidth="1"/>
    <col min="1542" max="1542" width="10" style="5" customWidth="1"/>
    <col min="1543" max="1543" width="12.625" style="5" customWidth="1"/>
    <col min="1544" max="1544" width="9.125" style="5" customWidth="1"/>
    <col min="1545" max="1545" width="9.5" style="5" customWidth="1"/>
    <col min="1546" max="1792" width="8.875" style="5"/>
    <col min="1793" max="1793" width="16" style="5" customWidth="1"/>
    <col min="1794" max="1794" width="10" style="5" customWidth="1"/>
    <col min="1795" max="1795" width="14.375" style="5" customWidth="1"/>
    <col min="1796" max="1796" width="9.5" style="5" customWidth="1"/>
    <col min="1797" max="1797" width="11.625" style="5" customWidth="1"/>
    <col min="1798" max="1798" width="10" style="5" customWidth="1"/>
    <col min="1799" max="1799" width="12.625" style="5" customWidth="1"/>
    <col min="1800" max="1800" width="9.125" style="5" customWidth="1"/>
    <col min="1801" max="1801" width="9.5" style="5" customWidth="1"/>
    <col min="1802" max="2048" width="8.875" style="5"/>
    <col min="2049" max="2049" width="16" style="5" customWidth="1"/>
    <col min="2050" max="2050" width="10" style="5" customWidth="1"/>
    <col min="2051" max="2051" width="14.375" style="5" customWidth="1"/>
    <col min="2052" max="2052" width="9.5" style="5" customWidth="1"/>
    <col min="2053" max="2053" width="11.625" style="5" customWidth="1"/>
    <col min="2054" max="2054" width="10" style="5" customWidth="1"/>
    <col min="2055" max="2055" width="12.625" style="5" customWidth="1"/>
    <col min="2056" max="2056" width="9.125" style="5" customWidth="1"/>
    <col min="2057" max="2057" width="9.5" style="5" customWidth="1"/>
    <col min="2058" max="2304" width="8.875" style="5"/>
    <col min="2305" max="2305" width="16" style="5" customWidth="1"/>
    <col min="2306" max="2306" width="10" style="5" customWidth="1"/>
    <col min="2307" max="2307" width="14.375" style="5" customWidth="1"/>
    <col min="2308" max="2308" width="9.5" style="5" customWidth="1"/>
    <col min="2309" max="2309" width="11.625" style="5" customWidth="1"/>
    <col min="2310" max="2310" width="10" style="5" customWidth="1"/>
    <col min="2311" max="2311" width="12.625" style="5" customWidth="1"/>
    <col min="2312" max="2312" width="9.125" style="5" customWidth="1"/>
    <col min="2313" max="2313" width="9.5" style="5" customWidth="1"/>
    <col min="2314" max="2560" width="8.875" style="5"/>
    <col min="2561" max="2561" width="16" style="5" customWidth="1"/>
    <col min="2562" max="2562" width="10" style="5" customWidth="1"/>
    <col min="2563" max="2563" width="14.375" style="5" customWidth="1"/>
    <col min="2564" max="2564" width="9.5" style="5" customWidth="1"/>
    <col min="2565" max="2565" width="11.625" style="5" customWidth="1"/>
    <col min="2566" max="2566" width="10" style="5" customWidth="1"/>
    <col min="2567" max="2567" width="12.625" style="5" customWidth="1"/>
    <col min="2568" max="2568" width="9.125" style="5" customWidth="1"/>
    <col min="2569" max="2569" width="9.5" style="5" customWidth="1"/>
    <col min="2570" max="2816" width="8.875" style="5"/>
    <col min="2817" max="2817" width="16" style="5" customWidth="1"/>
    <col min="2818" max="2818" width="10" style="5" customWidth="1"/>
    <col min="2819" max="2819" width="14.375" style="5" customWidth="1"/>
    <col min="2820" max="2820" width="9.5" style="5" customWidth="1"/>
    <col min="2821" max="2821" width="11.625" style="5" customWidth="1"/>
    <col min="2822" max="2822" width="10" style="5" customWidth="1"/>
    <col min="2823" max="2823" width="12.625" style="5" customWidth="1"/>
    <col min="2824" max="2824" width="9.125" style="5" customWidth="1"/>
    <col min="2825" max="2825" width="9.5" style="5" customWidth="1"/>
    <col min="2826" max="3072" width="8.875" style="5"/>
    <col min="3073" max="3073" width="16" style="5" customWidth="1"/>
    <col min="3074" max="3074" width="10" style="5" customWidth="1"/>
    <col min="3075" max="3075" width="14.375" style="5" customWidth="1"/>
    <col min="3076" max="3076" width="9.5" style="5" customWidth="1"/>
    <col min="3077" max="3077" width="11.625" style="5" customWidth="1"/>
    <col min="3078" max="3078" width="10" style="5" customWidth="1"/>
    <col min="3079" max="3079" width="12.625" style="5" customWidth="1"/>
    <col min="3080" max="3080" width="9.125" style="5" customWidth="1"/>
    <col min="3081" max="3081" width="9.5" style="5" customWidth="1"/>
    <col min="3082" max="3328" width="8.875" style="5"/>
    <col min="3329" max="3329" width="16" style="5" customWidth="1"/>
    <col min="3330" max="3330" width="10" style="5" customWidth="1"/>
    <col min="3331" max="3331" width="14.375" style="5" customWidth="1"/>
    <col min="3332" max="3332" width="9.5" style="5" customWidth="1"/>
    <col min="3333" max="3333" width="11.625" style="5" customWidth="1"/>
    <col min="3334" max="3334" width="10" style="5" customWidth="1"/>
    <col min="3335" max="3335" width="12.625" style="5" customWidth="1"/>
    <col min="3336" max="3336" width="9.125" style="5" customWidth="1"/>
    <col min="3337" max="3337" width="9.5" style="5" customWidth="1"/>
    <col min="3338" max="3584" width="8.875" style="5"/>
    <col min="3585" max="3585" width="16" style="5" customWidth="1"/>
    <col min="3586" max="3586" width="10" style="5" customWidth="1"/>
    <col min="3587" max="3587" width="14.375" style="5" customWidth="1"/>
    <col min="3588" max="3588" width="9.5" style="5" customWidth="1"/>
    <col min="3589" max="3589" width="11.625" style="5" customWidth="1"/>
    <col min="3590" max="3590" width="10" style="5" customWidth="1"/>
    <col min="3591" max="3591" width="12.625" style="5" customWidth="1"/>
    <col min="3592" max="3592" width="9.125" style="5" customWidth="1"/>
    <col min="3593" max="3593" width="9.5" style="5" customWidth="1"/>
    <col min="3594" max="3840" width="8.875" style="5"/>
    <col min="3841" max="3841" width="16" style="5" customWidth="1"/>
    <col min="3842" max="3842" width="10" style="5" customWidth="1"/>
    <col min="3843" max="3843" width="14.375" style="5" customWidth="1"/>
    <col min="3844" max="3844" width="9.5" style="5" customWidth="1"/>
    <col min="3845" max="3845" width="11.625" style="5" customWidth="1"/>
    <col min="3846" max="3846" width="10" style="5" customWidth="1"/>
    <col min="3847" max="3847" width="12.625" style="5" customWidth="1"/>
    <col min="3848" max="3848" width="9.125" style="5" customWidth="1"/>
    <col min="3849" max="3849" width="9.5" style="5" customWidth="1"/>
    <col min="3850" max="4096" width="8.875" style="5"/>
    <col min="4097" max="4097" width="16" style="5" customWidth="1"/>
    <col min="4098" max="4098" width="10" style="5" customWidth="1"/>
    <col min="4099" max="4099" width="14.375" style="5" customWidth="1"/>
    <col min="4100" max="4100" width="9.5" style="5" customWidth="1"/>
    <col min="4101" max="4101" width="11.625" style="5" customWidth="1"/>
    <col min="4102" max="4102" width="10" style="5" customWidth="1"/>
    <col min="4103" max="4103" width="12.625" style="5" customWidth="1"/>
    <col min="4104" max="4104" width="9.125" style="5" customWidth="1"/>
    <col min="4105" max="4105" width="9.5" style="5" customWidth="1"/>
    <col min="4106" max="4352" width="8.875" style="5"/>
    <col min="4353" max="4353" width="16" style="5" customWidth="1"/>
    <col min="4354" max="4354" width="10" style="5" customWidth="1"/>
    <col min="4355" max="4355" width="14.375" style="5" customWidth="1"/>
    <col min="4356" max="4356" width="9.5" style="5" customWidth="1"/>
    <col min="4357" max="4357" width="11.625" style="5" customWidth="1"/>
    <col min="4358" max="4358" width="10" style="5" customWidth="1"/>
    <col min="4359" max="4359" width="12.625" style="5" customWidth="1"/>
    <col min="4360" max="4360" width="9.125" style="5" customWidth="1"/>
    <col min="4361" max="4361" width="9.5" style="5" customWidth="1"/>
    <col min="4362" max="4608" width="8.875" style="5"/>
    <col min="4609" max="4609" width="16" style="5" customWidth="1"/>
    <col min="4610" max="4610" width="10" style="5" customWidth="1"/>
    <col min="4611" max="4611" width="14.375" style="5" customWidth="1"/>
    <col min="4612" max="4612" width="9.5" style="5" customWidth="1"/>
    <col min="4613" max="4613" width="11.625" style="5" customWidth="1"/>
    <col min="4614" max="4614" width="10" style="5" customWidth="1"/>
    <col min="4615" max="4615" width="12.625" style="5" customWidth="1"/>
    <col min="4616" max="4616" width="9.125" style="5" customWidth="1"/>
    <col min="4617" max="4617" width="9.5" style="5" customWidth="1"/>
    <col min="4618" max="4864" width="8.875" style="5"/>
    <col min="4865" max="4865" width="16" style="5" customWidth="1"/>
    <col min="4866" max="4866" width="10" style="5" customWidth="1"/>
    <col min="4867" max="4867" width="14.375" style="5" customWidth="1"/>
    <col min="4868" max="4868" width="9.5" style="5" customWidth="1"/>
    <col min="4869" max="4869" width="11.625" style="5" customWidth="1"/>
    <col min="4870" max="4870" width="10" style="5" customWidth="1"/>
    <col min="4871" max="4871" width="12.625" style="5" customWidth="1"/>
    <col min="4872" max="4872" width="9.125" style="5" customWidth="1"/>
    <col min="4873" max="4873" width="9.5" style="5" customWidth="1"/>
    <col min="4874" max="5120" width="8.875" style="5"/>
    <col min="5121" max="5121" width="16" style="5" customWidth="1"/>
    <col min="5122" max="5122" width="10" style="5" customWidth="1"/>
    <col min="5123" max="5123" width="14.375" style="5" customWidth="1"/>
    <col min="5124" max="5124" width="9.5" style="5" customWidth="1"/>
    <col min="5125" max="5125" width="11.625" style="5" customWidth="1"/>
    <col min="5126" max="5126" width="10" style="5" customWidth="1"/>
    <col min="5127" max="5127" width="12.625" style="5" customWidth="1"/>
    <col min="5128" max="5128" width="9.125" style="5" customWidth="1"/>
    <col min="5129" max="5129" width="9.5" style="5" customWidth="1"/>
    <col min="5130" max="5376" width="8.875" style="5"/>
    <col min="5377" max="5377" width="16" style="5" customWidth="1"/>
    <col min="5378" max="5378" width="10" style="5" customWidth="1"/>
    <col min="5379" max="5379" width="14.375" style="5" customWidth="1"/>
    <col min="5380" max="5380" width="9.5" style="5" customWidth="1"/>
    <col min="5381" max="5381" width="11.625" style="5" customWidth="1"/>
    <col min="5382" max="5382" width="10" style="5" customWidth="1"/>
    <col min="5383" max="5383" width="12.625" style="5" customWidth="1"/>
    <col min="5384" max="5384" width="9.125" style="5" customWidth="1"/>
    <col min="5385" max="5385" width="9.5" style="5" customWidth="1"/>
    <col min="5386" max="5632" width="8.875" style="5"/>
    <col min="5633" max="5633" width="16" style="5" customWidth="1"/>
    <col min="5634" max="5634" width="10" style="5" customWidth="1"/>
    <col min="5635" max="5635" width="14.375" style="5" customWidth="1"/>
    <col min="5636" max="5636" width="9.5" style="5" customWidth="1"/>
    <col min="5637" max="5637" width="11.625" style="5" customWidth="1"/>
    <col min="5638" max="5638" width="10" style="5" customWidth="1"/>
    <col min="5639" max="5639" width="12.625" style="5" customWidth="1"/>
    <col min="5640" max="5640" width="9.125" style="5" customWidth="1"/>
    <col min="5641" max="5641" width="9.5" style="5" customWidth="1"/>
    <col min="5642" max="5888" width="8.875" style="5"/>
    <col min="5889" max="5889" width="16" style="5" customWidth="1"/>
    <col min="5890" max="5890" width="10" style="5" customWidth="1"/>
    <col min="5891" max="5891" width="14.375" style="5" customWidth="1"/>
    <col min="5892" max="5892" width="9.5" style="5" customWidth="1"/>
    <col min="5893" max="5893" width="11.625" style="5" customWidth="1"/>
    <col min="5894" max="5894" width="10" style="5" customWidth="1"/>
    <col min="5895" max="5895" width="12.625" style="5" customWidth="1"/>
    <col min="5896" max="5896" width="9.125" style="5" customWidth="1"/>
    <col min="5897" max="5897" width="9.5" style="5" customWidth="1"/>
    <col min="5898" max="6144" width="8.875" style="5"/>
    <col min="6145" max="6145" width="16" style="5" customWidth="1"/>
    <col min="6146" max="6146" width="10" style="5" customWidth="1"/>
    <col min="6147" max="6147" width="14.375" style="5" customWidth="1"/>
    <col min="6148" max="6148" width="9.5" style="5" customWidth="1"/>
    <col min="6149" max="6149" width="11.625" style="5" customWidth="1"/>
    <col min="6150" max="6150" width="10" style="5" customWidth="1"/>
    <col min="6151" max="6151" width="12.625" style="5" customWidth="1"/>
    <col min="6152" max="6152" width="9.125" style="5" customWidth="1"/>
    <col min="6153" max="6153" width="9.5" style="5" customWidth="1"/>
    <col min="6154" max="6400" width="8.875" style="5"/>
    <col min="6401" max="6401" width="16" style="5" customWidth="1"/>
    <col min="6402" max="6402" width="10" style="5" customWidth="1"/>
    <col min="6403" max="6403" width="14.375" style="5" customWidth="1"/>
    <col min="6404" max="6404" width="9.5" style="5" customWidth="1"/>
    <col min="6405" max="6405" width="11.625" style="5" customWidth="1"/>
    <col min="6406" max="6406" width="10" style="5" customWidth="1"/>
    <col min="6407" max="6407" width="12.625" style="5" customWidth="1"/>
    <col min="6408" max="6408" width="9.125" style="5" customWidth="1"/>
    <col min="6409" max="6409" width="9.5" style="5" customWidth="1"/>
    <col min="6410" max="6656" width="8.875" style="5"/>
    <col min="6657" max="6657" width="16" style="5" customWidth="1"/>
    <col min="6658" max="6658" width="10" style="5" customWidth="1"/>
    <col min="6659" max="6659" width="14.375" style="5" customWidth="1"/>
    <col min="6660" max="6660" width="9.5" style="5" customWidth="1"/>
    <col min="6661" max="6661" width="11.625" style="5" customWidth="1"/>
    <col min="6662" max="6662" width="10" style="5" customWidth="1"/>
    <col min="6663" max="6663" width="12.625" style="5" customWidth="1"/>
    <col min="6664" max="6664" width="9.125" style="5" customWidth="1"/>
    <col min="6665" max="6665" width="9.5" style="5" customWidth="1"/>
    <col min="6666" max="6912" width="8.875" style="5"/>
    <col min="6913" max="6913" width="16" style="5" customWidth="1"/>
    <col min="6914" max="6914" width="10" style="5" customWidth="1"/>
    <col min="6915" max="6915" width="14.375" style="5" customWidth="1"/>
    <col min="6916" max="6916" width="9.5" style="5" customWidth="1"/>
    <col min="6917" max="6917" width="11.625" style="5" customWidth="1"/>
    <col min="6918" max="6918" width="10" style="5" customWidth="1"/>
    <col min="6919" max="6919" width="12.625" style="5" customWidth="1"/>
    <col min="6920" max="6920" width="9.125" style="5" customWidth="1"/>
    <col min="6921" max="6921" width="9.5" style="5" customWidth="1"/>
    <col min="6922" max="7168" width="8.875" style="5"/>
    <col min="7169" max="7169" width="16" style="5" customWidth="1"/>
    <col min="7170" max="7170" width="10" style="5" customWidth="1"/>
    <col min="7171" max="7171" width="14.375" style="5" customWidth="1"/>
    <col min="7172" max="7172" width="9.5" style="5" customWidth="1"/>
    <col min="7173" max="7173" width="11.625" style="5" customWidth="1"/>
    <col min="7174" max="7174" width="10" style="5" customWidth="1"/>
    <col min="7175" max="7175" width="12.625" style="5" customWidth="1"/>
    <col min="7176" max="7176" width="9.125" style="5" customWidth="1"/>
    <col min="7177" max="7177" width="9.5" style="5" customWidth="1"/>
    <col min="7178" max="7424" width="8.875" style="5"/>
    <col min="7425" max="7425" width="16" style="5" customWidth="1"/>
    <col min="7426" max="7426" width="10" style="5" customWidth="1"/>
    <col min="7427" max="7427" width="14.375" style="5" customWidth="1"/>
    <col min="7428" max="7428" width="9.5" style="5" customWidth="1"/>
    <col min="7429" max="7429" width="11.625" style="5" customWidth="1"/>
    <col min="7430" max="7430" width="10" style="5" customWidth="1"/>
    <col min="7431" max="7431" width="12.625" style="5" customWidth="1"/>
    <col min="7432" max="7432" width="9.125" style="5" customWidth="1"/>
    <col min="7433" max="7433" width="9.5" style="5" customWidth="1"/>
    <col min="7434" max="7680" width="8.875" style="5"/>
    <col min="7681" max="7681" width="16" style="5" customWidth="1"/>
    <col min="7682" max="7682" width="10" style="5" customWidth="1"/>
    <col min="7683" max="7683" width="14.375" style="5" customWidth="1"/>
    <col min="7684" max="7684" width="9.5" style="5" customWidth="1"/>
    <col min="7685" max="7685" width="11.625" style="5" customWidth="1"/>
    <col min="7686" max="7686" width="10" style="5" customWidth="1"/>
    <col min="7687" max="7687" width="12.625" style="5" customWidth="1"/>
    <col min="7688" max="7688" width="9.125" style="5" customWidth="1"/>
    <col min="7689" max="7689" width="9.5" style="5" customWidth="1"/>
    <col min="7690" max="7936" width="8.875" style="5"/>
    <col min="7937" max="7937" width="16" style="5" customWidth="1"/>
    <col min="7938" max="7938" width="10" style="5" customWidth="1"/>
    <col min="7939" max="7939" width="14.375" style="5" customWidth="1"/>
    <col min="7940" max="7940" width="9.5" style="5" customWidth="1"/>
    <col min="7941" max="7941" width="11.625" style="5" customWidth="1"/>
    <col min="7942" max="7942" width="10" style="5" customWidth="1"/>
    <col min="7943" max="7943" width="12.625" style="5" customWidth="1"/>
    <col min="7944" max="7944" width="9.125" style="5" customWidth="1"/>
    <col min="7945" max="7945" width="9.5" style="5" customWidth="1"/>
    <col min="7946" max="8192" width="8.875" style="5"/>
    <col min="8193" max="8193" width="16" style="5" customWidth="1"/>
    <col min="8194" max="8194" width="10" style="5" customWidth="1"/>
    <col min="8195" max="8195" width="14.375" style="5" customWidth="1"/>
    <col min="8196" max="8196" width="9.5" style="5" customWidth="1"/>
    <col min="8197" max="8197" width="11.625" style="5" customWidth="1"/>
    <col min="8198" max="8198" width="10" style="5" customWidth="1"/>
    <col min="8199" max="8199" width="12.625" style="5" customWidth="1"/>
    <col min="8200" max="8200" width="9.125" style="5" customWidth="1"/>
    <col min="8201" max="8201" width="9.5" style="5" customWidth="1"/>
    <col min="8202" max="8448" width="8.875" style="5"/>
    <col min="8449" max="8449" width="16" style="5" customWidth="1"/>
    <col min="8450" max="8450" width="10" style="5" customWidth="1"/>
    <col min="8451" max="8451" width="14.375" style="5" customWidth="1"/>
    <col min="8452" max="8452" width="9.5" style="5" customWidth="1"/>
    <col min="8453" max="8453" width="11.625" style="5" customWidth="1"/>
    <col min="8454" max="8454" width="10" style="5" customWidth="1"/>
    <col min="8455" max="8455" width="12.625" style="5" customWidth="1"/>
    <col min="8456" max="8456" width="9.125" style="5" customWidth="1"/>
    <col min="8457" max="8457" width="9.5" style="5" customWidth="1"/>
    <col min="8458" max="8704" width="8.875" style="5"/>
    <col min="8705" max="8705" width="16" style="5" customWidth="1"/>
    <col min="8706" max="8706" width="10" style="5" customWidth="1"/>
    <col min="8707" max="8707" width="14.375" style="5" customWidth="1"/>
    <col min="8708" max="8708" width="9.5" style="5" customWidth="1"/>
    <col min="8709" max="8709" width="11.625" style="5" customWidth="1"/>
    <col min="8710" max="8710" width="10" style="5" customWidth="1"/>
    <col min="8711" max="8711" width="12.625" style="5" customWidth="1"/>
    <col min="8712" max="8712" width="9.125" style="5" customWidth="1"/>
    <col min="8713" max="8713" width="9.5" style="5" customWidth="1"/>
    <col min="8714" max="8960" width="8.875" style="5"/>
    <col min="8961" max="8961" width="16" style="5" customWidth="1"/>
    <col min="8962" max="8962" width="10" style="5" customWidth="1"/>
    <col min="8963" max="8963" width="14.375" style="5" customWidth="1"/>
    <col min="8964" max="8964" width="9.5" style="5" customWidth="1"/>
    <col min="8965" max="8965" width="11.625" style="5" customWidth="1"/>
    <col min="8966" max="8966" width="10" style="5" customWidth="1"/>
    <col min="8967" max="8967" width="12.625" style="5" customWidth="1"/>
    <col min="8968" max="8968" width="9.125" style="5" customWidth="1"/>
    <col min="8969" max="8969" width="9.5" style="5" customWidth="1"/>
    <col min="8970" max="9216" width="8.875" style="5"/>
    <col min="9217" max="9217" width="16" style="5" customWidth="1"/>
    <col min="9218" max="9218" width="10" style="5" customWidth="1"/>
    <col min="9219" max="9219" width="14.375" style="5" customWidth="1"/>
    <col min="9220" max="9220" width="9.5" style="5" customWidth="1"/>
    <col min="9221" max="9221" width="11.625" style="5" customWidth="1"/>
    <col min="9222" max="9222" width="10" style="5" customWidth="1"/>
    <col min="9223" max="9223" width="12.625" style="5" customWidth="1"/>
    <col min="9224" max="9224" width="9.125" style="5" customWidth="1"/>
    <col min="9225" max="9225" width="9.5" style="5" customWidth="1"/>
    <col min="9226" max="9472" width="8.875" style="5"/>
    <col min="9473" max="9473" width="16" style="5" customWidth="1"/>
    <col min="9474" max="9474" width="10" style="5" customWidth="1"/>
    <col min="9475" max="9475" width="14.375" style="5" customWidth="1"/>
    <col min="9476" max="9476" width="9.5" style="5" customWidth="1"/>
    <col min="9477" max="9477" width="11.625" style="5" customWidth="1"/>
    <col min="9478" max="9478" width="10" style="5" customWidth="1"/>
    <col min="9479" max="9479" width="12.625" style="5" customWidth="1"/>
    <col min="9480" max="9480" width="9.125" style="5" customWidth="1"/>
    <col min="9481" max="9481" width="9.5" style="5" customWidth="1"/>
    <col min="9482" max="9728" width="8.875" style="5"/>
    <col min="9729" max="9729" width="16" style="5" customWidth="1"/>
    <col min="9730" max="9730" width="10" style="5" customWidth="1"/>
    <col min="9731" max="9731" width="14.375" style="5" customWidth="1"/>
    <col min="9732" max="9732" width="9.5" style="5" customWidth="1"/>
    <col min="9733" max="9733" width="11.625" style="5" customWidth="1"/>
    <col min="9734" max="9734" width="10" style="5" customWidth="1"/>
    <col min="9735" max="9735" width="12.625" style="5" customWidth="1"/>
    <col min="9736" max="9736" width="9.125" style="5" customWidth="1"/>
    <col min="9737" max="9737" width="9.5" style="5" customWidth="1"/>
    <col min="9738" max="9984" width="8.875" style="5"/>
    <col min="9985" max="9985" width="16" style="5" customWidth="1"/>
    <col min="9986" max="9986" width="10" style="5" customWidth="1"/>
    <col min="9987" max="9987" width="14.375" style="5" customWidth="1"/>
    <col min="9988" max="9988" width="9.5" style="5" customWidth="1"/>
    <col min="9989" max="9989" width="11.625" style="5" customWidth="1"/>
    <col min="9990" max="9990" width="10" style="5" customWidth="1"/>
    <col min="9991" max="9991" width="12.625" style="5" customWidth="1"/>
    <col min="9992" max="9992" width="9.125" style="5" customWidth="1"/>
    <col min="9993" max="9993" width="9.5" style="5" customWidth="1"/>
    <col min="9994" max="10240" width="8.875" style="5"/>
    <col min="10241" max="10241" width="16" style="5" customWidth="1"/>
    <col min="10242" max="10242" width="10" style="5" customWidth="1"/>
    <col min="10243" max="10243" width="14.375" style="5" customWidth="1"/>
    <col min="10244" max="10244" width="9.5" style="5" customWidth="1"/>
    <col min="10245" max="10245" width="11.625" style="5" customWidth="1"/>
    <col min="10246" max="10246" width="10" style="5" customWidth="1"/>
    <col min="10247" max="10247" width="12.625" style="5" customWidth="1"/>
    <col min="10248" max="10248" width="9.125" style="5" customWidth="1"/>
    <col min="10249" max="10249" width="9.5" style="5" customWidth="1"/>
    <col min="10250" max="10496" width="8.875" style="5"/>
    <col min="10497" max="10497" width="16" style="5" customWidth="1"/>
    <col min="10498" max="10498" width="10" style="5" customWidth="1"/>
    <col min="10499" max="10499" width="14.375" style="5" customWidth="1"/>
    <col min="10500" max="10500" width="9.5" style="5" customWidth="1"/>
    <col min="10501" max="10501" width="11.625" style="5" customWidth="1"/>
    <col min="10502" max="10502" width="10" style="5" customWidth="1"/>
    <col min="10503" max="10503" width="12.625" style="5" customWidth="1"/>
    <col min="10504" max="10504" width="9.125" style="5" customWidth="1"/>
    <col min="10505" max="10505" width="9.5" style="5" customWidth="1"/>
    <col min="10506" max="10752" width="8.875" style="5"/>
    <col min="10753" max="10753" width="16" style="5" customWidth="1"/>
    <col min="10754" max="10754" width="10" style="5" customWidth="1"/>
    <col min="10755" max="10755" width="14.375" style="5" customWidth="1"/>
    <col min="10756" max="10756" width="9.5" style="5" customWidth="1"/>
    <col min="10757" max="10757" width="11.625" style="5" customWidth="1"/>
    <col min="10758" max="10758" width="10" style="5" customWidth="1"/>
    <col min="10759" max="10759" width="12.625" style="5" customWidth="1"/>
    <col min="10760" max="10760" width="9.125" style="5" customWidth="1"/>
    <col min="10761" max="10761" width="9.5" style="5" customWidth="1"/>
    <col min="10762" max="11008" width="8.875" style="5"/>
    <col min="11009" max="11009" width="16" style="5" customWidth="1"/>
    <col min="11010" max="11010" width="10" style="5" customWidth="1"/>
    <col min="11011" max="11011" width="14.375" style="5" customWidth="1"/>
    <col min="11012" max="11012" width="9.5" style="5" customWidth="1"/>
    <col min="11013" max="11013" width="11.625" style="5" customWidth="1"/>
    <col min="11014" max="11014" width="10" style="5" customWidth="1"/>
    <col min="11015" max="11015" width="12.625" style="5" customWidth="1"/>
    <col min="11016" max="11016" width="9.125" style="5" customWidth="1"/>
    <col min="11017" max="11017" width="9.5" style="5" customWidth="1"/>
    <col min="11018" max="11264" width="8.875" style="5"/>
    <col min="11265" max="11265" width="16" style="5" customWidth="1"/>
    <col min="11266" max="11266" width="10" style="5" customWidth="1"/>
    <col min="11267" max="11267" width="14.375" style="5" customWidth="1"/>
    <col min="11268" max="11268" width="9.5" style="5" customWidth="1"/>
    <col min="11269" max="11269" width="11.625" style="5" customWidth="1"/>
    <col min="11270" max="11270" width="10" style="5" customWidth="1"/>
    <col min="11271" max="11271" width="12.625" style="5" customWidth="1"/>
    <col min="11272" max="11272" width="9.125" style="5" customWidth="1"/>
    <col min="11273" max="11273" width="9.5" style="5" customWidth="1"/>
    <col min="11274" max="11520" width="8.875" style="5"/>
    <col min="11521" max="11521" width="16" style="5" customWidth="1"/>
    <col min="11522" max="11522" width="10" style="5" customWidth="1"/>
    <col min="11523" max="11523" width="14.375" style="5" customWidth="1"/>
    <col min="11524" max="11524" width="9.5" style="5" customWidth="1"/>
    <col min="11525" max="11525" width="11.625" style="5" customWidth="1"/>
    <col min="11526" max="11526" width="10" style="5" customWidth="1"/>
    <col min="11527" max="11527" width="12.625" style="5" customWidth="1"/>
    <col min="11528" max="11528" width="9.125" style="5" customWidth="1"/>
    <col min="11529" max="11529" width="9.5" style="5" customWidth="1"/>
    <col min="11530" max="11776" width="8.875" style="5"/>
    <col min="11777" max="11777" width="16" style="5" customWidth="1"/>
    <col min="11778" max="11778" width="10" style="5" customWidth="1"/>
    <col min="11779" max="11779" width="14.375" style="5" customWidth="1"/>
    <col min="11780" max="11780" width="9.5" style="5" customWidth="1"/>
    <col min="11781" max="11781" width="11.625" style="5" customWidth="1"/>
    <col min="11782" max="11782" width="10" style="5" customWidth="1"/>
    <col min="11783" max="11783" width="12.625" style="5" customWidth="1"/>
    <col min="11784" max="11784" width="9.125" style="5" customWidth="1"/>
    <col min="11785" max="11785" width="9.5" style="5" customWidth="1"/>
    <col min="11786" max="12032" width="8.875" style="5"/>
    <col min="12033" max="12033" width="16" style="5" customWidth="1"/>
    <col min="12034" max="12034" width="10" style="5" customWidth="1"/>
    <col min="12035" max="12035" width="14.375" style="5" customWidth="1"/>
    <col min="12036" max="12036" width="9.5" style="5" customWidth="1"/>
    <col min="12037" max="12037" width="11.625" style="5" customWidth="1"/>
    <col min="12038" max="12038" width="10" style="5" customWidth="1"/>
    <col min="12039" max="12039" width="12.625" style="5" customWidth="1"/>
    <col min="12040" max="12040" width="9.125" style="5" customWidth="1"/>
    <col min="12041" max="12041" width="9.5" style="5" customWidth="1"/>
    <col min="12042" max="12288" width="8.875" style="5"/>
    <col min="12289" max="12289" width="16" style="5" customWidth="1"/>
    <col min="12290" max="12290" width="10" style="5" customWidth="1"/>
    <col min="12291" max="12291" width="14.375" style="5" customWidth="1"/>
    <col min="12292" max="12292" width="9.5" style="5" customWidth="1"/>
    <col min="12293" max="12293" width="11.625" style="5" customWidth="1"/>
    <col min="12294" max="12294" width="10" style="5" customWidth="1"/>
    <col min="12295" max="12295" width="12.625" style="5" customWidth="1"/>
    <col min="12296" max="12296" width="9.125" style="5" customWidth="1"/>
    <col min="12297" max="12297" width="9.5" style="5" customWidth="1"/>
    <col min="12298" max="12544" width="8.875" style="5"/>
    <col min="12545" max="12545" width="16" style="5" customWidth="1"/>
    <col min="12546" max="12546" width="10" style="5" customWidth="1"/>
    <col min="12547" max="12547" width="14.375" style="5" customWidth="1"/>
    <col min="12548" max="12548" width="9.5" style="5" customWidth="1"/>
    <col min="12549" max="12549" width="11.625" style="5" customWidth="1"/>
    <col min="12550" max="12550" width="10" style="5" customWidth="1"/>
    <col min="12551" max="12551" width="12.625" style="5" customWidth="1"/>
    <col min="12552" max="12552" width="9.125" style="5" customWidth="1"/>
    <col min="12553" max="12553" width="9.5" style="5" customWidth="1"/>
    <col min="12554" max="12800" width="8.875" style="5"/>
    <col min="12801" max="12801" width="16" style="5" customWidth="1"/>
    <col min="12802" max="12802" width="10" style="5" customWidth="1"/>
    <col min="12803" max="12803" width="14.375" style="5" customWidth="1"/>
    <col min="12804" max="12804" width="9.5" style="5" customWidth="1"/>
    <col min="12805" max="12805" width="11.625" style="5" customWidth="1"/>
    <col min="12806" max="12806" width="10" style="5" customWidth="1"/>
    <col min="12807" max="12807" width="12.625" style="5" customWidth="1"/>
    <col min="12808" max="12808" width="9.125" style="5" customWidth="1"/>
    <col min="12809" max="12809" width="9.5" style="5" customWidth="1"/>
    <col min="12810" max="13056" width="8.875" style="5"/>
    <col min="13057" max="13057" width="16" style="5" customWidth="1"/>
    <col min="13058" max="13058" width="10" style="5" customWidth="1"/>
    <col min="13059" max="13059" width="14.375" style="5" customWidth="1"/>
    <col min="13060" max="13060" width="9.5" style="5" customWidth="1"/>
    <col min="13061" max="13061" width="11.625" style="5" customWidth="1"/>
    <col min="13062" max="13062" width="10" style="5" customWidth="1"/>
    <col min="13063" max="13063" width="12.625" style="5" customWidth="1"/>
    <col min="13064" max="13064" width="9.125" style="5" customWidth="1"/>
    <col min="13065" max="13065" width="9.5" style="5" customWidth="1"/>
    <col min="13066" max="13312" width="8.875" style="5"/>
    <col min="13313" max="13313" width="16" style="5" customWidth="1"/>
    <col min="13314" max="13314" width="10" style="5" customWidth="1"/>
    <col min="13315" max="13315" width="14.375" style="5" customWidth="1"/>
    <col min="13316" max="13316" width="9.5" style="5" customWidth="1"/>
    <col min="13317" max="13317" width="11.625" style="5" customWidth="1"/>
    <col min="13318" max="13318" width="10" style="5" customWidth="1"/>
    <col min="13319" max="13319" width="12.625" style="5" customWidth="1"/>
    <col min="13320" max="13320" width="9.125" style="5" customWidth="1"/>
    <col min="13321" max="13321" width="9.5" style="5" customWidth="1"/>
    <col min="13322" max="13568" width="8.875" style="5"/>
    <col min="13569" max="13569" width="16" style="5" customWidth="1"/>
    <col min="13570" max="13570" width="10" style="5" customWidth="1"/>
    <col min="13571" max="13571" width="14.375" style="5" customWidth="1"/>
    <col min="13572" max="13572" width="9.5" style="5" customWidth="1"/>
    <col min="13573" max="13573" width="11.625" style="5" customWidth="1"/>
    <col min="13574" max="13574" width="10" style="5" customWidth="1"/>
    <col min="13575" max="13575" width="12.625" style="5" customWidth="1"/>
    <col min="13576" max="13576" width="9.125" style="5" customWidth="1"/>
    <col min="13577" max="13577" width="9.5" style="5" customWidth="1"/>
    <col min="13578" max="13824" width="8.875" style="5"/>
    <col min="13825" max="13825" width="16" style="5" customWidth="1"/>
    <col min="13826" max="13826" width="10" style="5" customWidth="1"/>
    <col min="13827" max="13827" width="14.375" style="5" customWidth="1"/>
    <col min="13828" max="13828" width="9.5" style="5" customWidth="1"/>
    <col min="13829" max="13829" width="11.625" style="5" customWidth="1"/>
    <col min="13830" max="13830" width="10" style="5" customWidth="1"/>
    <col min="13831" max="13831" width="12.625" style="5" customWidth="1"/>
    <col min="13832" max="13832" width="9.125" style="5" customWidth="1"/>
    <col min="13833" max="13833" width="9.5" style="5" customWidth="1"/>
    <col min="13834" max="14080" width="8.875" style="5"/>
    <col min="14081" max="14081" width="16" style="5" customWidth="1"/>
    <col min="14082" max="14082" width="10" style="5" customWidth="1"/>
    <col min="14083" max="14083" width="14.375" style="5" customWidth="1"/>
    <col min="14084" max="14084" width="9.5" style="5" customWidth="1"/>
    <col min="14085" max="14085" width="11.625" style="5" customWidth="1"/>
    <col min="14086" max="14086" width="10" style="5" customWidth="1"/>
    <col min="14087" max="14087" width="12.625" style="5" customWidth="1"/>
    <col min="14088" max="14088" width="9.125" style="5" customWidth="1"/>
    <col min="14089" max="14089" width="9.5" style="5" customWidth="1"/>
    <col min="14090" max="14336" width="8.875" style="5"/>
    <col min="14337" max="14337" width="16" style="5" customWidth="1"/>
    <col min="14338" max="14338" width="10" style="5" customWidth="1"/>
    <col min="14339" max="14339" width="14.375" style="5" customWidth="1"/>
    <col min="14340" max="14340" width="9.5" style="5" customWidth="1"/>
    <col min="14341" max="14341" width="11.625" style="5" customWidth="1"/>
    <col min="14342" max="14342" width="10" style="5" customWidth="1"/>
    <col min="14343" max="14343" width="12.625" style="5" customWidth="1"/>
    <col min="14344" max="14344" width="9.125" style="5" customWidth="1"/>
    <col min="14345" max="14345" width="9.5" style="5" customWidth="1"/>
    <col min="14346" max="14592" width="8.875" style="5"/>
    <col min="14593" max="14593" width="16" style="5" customWidth="1"/>
    <col min="14594" max="14594" width="10" style="5" customWidth="1"/>
    <col min="14595" max="14595" width="14.375" style="5" customWidth="1"/>
    <col min="14596" max="14596" width="9.5" style="5" customWidth="1"/>
    <col min="14597" max="14597" width="11.625" style="5" customWidth="1"/>
    <col min="14598" max="14598" width="10" style="5" customWidth="1"/>
    <col min="14599" max="14599" width="12.625" style="5" customWidth="1"/>
    <col min="14600" max="14600" width="9.125" style="5" customWidth="1"/>
    <col min="14601" max="14601" width="9.5" style="5" customWidth="1"/>
    <col min="14602" max="14848" width="8.875" style="5"/>
    <col min="14849" max="14849" width="16" style="5" customWidth="1"/>
    <col min="14850" max="14850" width="10" style="5" customWidth="1"/>
    <col min="14851" max="14851" width="14.375" style="5" customWidth="1"/>
    <col min="14852" max="14852" width="9.5" style="5" customWidth="1"/>
    <col min="14853" max="14853" width="11.625" style="5" customWidth="1"/>
    <col min="14854" max="14854" width="10" style="5" customWidth="1"/>
    <col min="14855" max="14855" width="12.625" style="5" customWidth="1"/>
    <col min="14856" max="14856" width="9.125" style="5" customWidth="1"/>
    <col min="14857" max="14857" width="9.5" style="5" customWidth="1"/>
    <col min="14858" max="15104" width="8.875" style="5"/>
    <col min="15105" max="15105" width="16" style="5" customWidth="1"/>
    <col min="15106" max="15106" width="10" style="5" customWidth="1"/>
    <col min="15107" max="15107" width="14.375" style="5" customWidth="1"/>
    <col min="15108" max="15108" width="9.5" style="5" customWidth="1"/>
    <col min="15109" max="15109" width="11.625" style="5" customWidth="1"/>
    <col min="15110" max="15110" width="10" style="5" customWidth="1"/>
    <col min="15111" max="15111" width="12.625" style="5" customWidth="1"/>
    <col min="15112" max="15112" width="9.125" style="5" customWidth="1"/>
    <col min="15113" max="15113" width="9.5" style="5" customWidth="1"/>
    <col min="15114" max="15360" width="8.875" style="5"/>
    <col min="15361" max="15361" width="16" style="5" customWidth="1"/>
    <col min="15362" max="15362" width="10" style="5" customWidth="1"/>
    <col min="15363" max="15363" width="14.375" style="5" customWidth="1"/>
    <col min="15364" max="15364" width="9.5" style="5" customWidth="1"/>
    <col min="15365" max="15365" width="11.625" style="5" customWidth="1"/>
    <col min="15366" max="15366" width="10" style="5" customWidth="1"/>
    <col min="15367" max="15367" width="12.625" style="5" customWidth="1"/>
    <col min="15368" max="15368" width="9.125" style="5" customWidth="1"/>
    <col min="15369" max="15369" width="9.5" style="5" customWidth="1"/>
    <col min="15370" max="15616" width="8.875" style="5"/>
    <col min="15617" max="15617" width="16" style="5" customWidth="1"/>
    <col min="15618" max="15618" width="10" style="5" customWidth="1"/>
    <col min="15619" max="15619" width="14.375" style="5" customWidth="1"/>
    <col min="15620" max="15620" width="9.5" style="5" customWidth="1"/>
    <col min="15621" max="15621" width="11.625" style="5" customWidth="1"/>
    <col min="15622" max="15622" width="10" style="5" customWidth="1"/>
    <col min="15623" max="15623" width="12.625" style="5" customWidth="1"/>
    <col min="15624" max="15624" width="9.125" style="5" customWidth="1"/>
    <col min="15625" max="15625" width="9.5" style="5" customWidth="1"/>
    <col min="15626" max="15872" width="8.875" style="5"/>
    <col min="15873" max="15873" width="16" style="5" customWidth="1"/>
    <col min="15874" max="15874" width="10" style="5" customWidth="1"/>
    <col min="15875" max="15875" width="14.375" style="5" customWidth="1"/>
    <col min="15876" max="15876" width="9.5" style="5" customWidth="1"/>
    <col min="15877" max="15877" width="11.625" style="5" customWidth="1"/>
    <col min="15878" max="15878" width="10" style="5" customWidth="1"/>
    <col min="15879" max="15879" width="12.625" style="5" customWidth="1"/>
    <col min="15880" max="15880" width="9.125" style="5" customWidth="1"/>
    <col min="15881" max="15881" width="9.5" style="5" customWidth="1"/>
    <col min="15882" max="16128" width="8.875" style="5"/>
    <col min="16129" max="16129" width="16" style="5" customWidth="1"/>
    <col min="16130" max="16130" width="10" style="5" customWidth="1"/>
    <col min="16131" max="16131" width="14.375" style="5" customWidth="1"/>
    <col min="16132" max="16132" width="9.5" style="5" customWidth="1"/>
    <col min="16133" max="16133" width="11.625" style="5" customWidth="1"/>
    <col min="16134" max="16134" width="10" style="5" customWidth="1"/>
    <col min="16135" max="16135" width="12.625" style="5" customWidth="1"/>
    <col min="16136" max="16136" width="9.125" style="5" customWidth="1"/>
    <col min="16137" max="16137" width="9.5" style="5" customWidth="1"/>
    <col min="16138" max="16384" width="8.875" style="5"/>
  </cols>
  <sheetData>
    <row r="1" spans="1:9" s="181" customFormat="1" ht="19.5">
      <c r="A1" s="561" t="s">
        <v>493</v>
      </c>
      <c r="B1" s="561"/>
      <c r="C1" s="561"/>
      <c r="D1" s="561"/>
      <c r="E1" s="561"/>
      <c r="F1" s="561"/>
      <c r="G1" s="561"/>
      <c r="H1" s="561"/>
      <c r="I1" s="561"/>
    </row>
    <row r="3" spans="1:9" s="7" customFormat="1" ht="15.75">
      <c r="A3" s="112" t="s">
        <v>156</v>
      </c>
      <c r="B3" s="182"/>
      <c r="C3" s="63"/>
      <c r="D3" s="183"/>
      <c r="E3" s="63"/>
      <c r="F3" s="182"/>
      <c r="G3" s="182"/>
      <c r="H3" s="63"/>
      <c r="I3" s="183"/>
    </row>
    <row r="4" spans="1:9" s="13" customFormat="1">
      <c r="A4" s="8" t="s">
        <v>480</v>
      </c>
      <c r="B4" s="8" t="s">
        <v>481</v>
      </c>
      <c r="C4" s="8" t="s">
        <v>485</v>
      </c>
      <c r="D4" s="9" t="s">
        <v>1</v>
      </c>
      <c r="E4" s="10" t="s">
        <v>483</v>
      </c>
      <c r="F4" s="11" t="s">
        <v>2</v>
      </c>
      <c r="G4" s="8" t="s">
        <v>484</v>
      </c>
      <c r="H4" s="11" t="s">
        <v>2</v>
      </c>
      <c r="I4" s="184" t="s">
        <v>1</v>
      </c>
    </row>
    <row r="5" spans="1:9" s="13" customFormat="1">
      <c r="A5" s="14"/>
      <c r="B5" s="14" t="s">
        <v>3</v>
      </c>
      <c r="C5" s="8" t="s">
        <v>4</v>
      </c>
      <c r="D5" s="11" t="s">
        <v>4</v>
      </c>
      <c r="E5" s="11" t="s">
        <v>3</v>
      </c>
      <c r="F5" s="11"/>
      <c r="G5" s="8" t="s">
        <v>116</v>
      </c>
      <c r="H5" s="8"/>
      <c r="I5" s="185" t="s">
        <v>4</v>
      </c>
    </row>
    <row r="6" spans="1:9" ht="18.600000000000001" customHeight="1">
      <c r="A6" s="173" t="s">
        <v>5</v>
      </c>
      <c r="B6" s="186"/>
      <c r="C6" s="17"/>
      <c r="D6" s="187"/>
      <c r="E6" s="17"/>
      <c r="F6" s="187"/>
      <c r="G6" s="187"/>
      <c r="H6" s="17"/>
      <c r="I6" s="188"/>
    </row>
    <row r="7" spans="1:9">
      <c r="A7" s="20" t="s">
        <v>6</v>
      </c>
      <c r="B7" s="189">
        <f>SUM(B8:B10)</f>
        <v>3</v>
      </c>
      <c r="C7" s="22">
        <f>SUM(C8:C10)</f>
        <v>2833</v>
      </c>
      <c r="D7" s="190">
        <f>IF(B7,C7/B7,0)</f>
        <v>944.33333333333337</v>
      </c>
      <c r="E7" s="22">
        <f>SUM(E8:E10)</f>
        <v>4</v>
      </c>
      <c r="F7" s="191">
        <f>E7/$E$68</f>
        <v>6.8457983912373777E-4</v>
      </c>
      <c r="G7" s="192">
        <f>SUM(G8:G10)</f>
        <v>3424</v>
      </c>
      <c r="H7" s="24">
        <f>G7/$G$68</f>
        <v>9.4466352017935368E-4</v>
      </c>
      <c r="I7" s="193">
        <f>IF(E7,G7/E7,0)</f>
        <v>856</v>
      </c>
    </row>
    <row r="8" spans="1:9">
      <c r="A8" s="26" t="s">
        <v>380</v>
      </c>
      <c r="B8" s="194">
        <v>3</v>
      </c>
      <c r="C8" s="28">
        <v>2833</v>
      </c>
      <c r="D8" s="190">
        <f t="shared" ref="D8:D67" si="0">IF(B8,C8/B8,0)</f>
        <v>944.33333333333337</v>
      </c>
      <c r="E8" s="28">
        <f>VLOOKUP(A8,[12]進出口值表查詢結果!$A$2:$C$16,3,0)</f>
        <v>3</v>
      </c>
      <c r="F8" s="191">
        <f>E8/$E$68</f>
        <v>5.1343487934280333E-4</v>
      </c>
      <c r="G8" s="194">
        <f>VLOOKUP(A8,[12]進出口值表查詢結果!$A$2:$C$16,2,0)</f>
        <v>2833</v>
      </c>
      <c r="H8" s="24">
        <f>G8/$G$68</f>
        <v>7.8160974084933083E-4</v>
      </c>
      <c r="I8" s="193">
        <f t="shared" ref="I8:I67" si="1">IF(E8,G8/E8,0)</f>
        <v>944.33333333333337</v>
      </c>
    </row>
    <row r="9" spans="1:9">
      <c r="A9" s="30" t="s">
        <v>7</v>
      </c>
      <c r="B9" s="194">
        <v>0</v>
      </c>
      <c r="C9" s="194">
        <v>0</v>
      </c>
      <c r="D9" s="190">
        <f t="shared" si="0"/>
        <v>0</v>
      </c>
      <c r="E9" s="28">
        <f>VLOOKUP(A9,[12]進出口值表查詢結果!$A$2:$C$16,3,0)</f>
        <v>1</v>
      </c>
      <c r="F9" s="191">
        <f>E9/$E$68</f>
        <v>1.7114495978093444E-4</v>
      </c>
      <c r="G9" s="27">
        <f>VLOOKUP(A9,[12]進出口值表查詢結果!$A$2:$C$16,2,0)</f>
        <v>591</v>
      </c>
      <c r="H9" s="24">
        <f>G9/$G$68</f>
        <v>1.6305377933002277E-4</v>
      </c>
      <c r="I9" s="193">
        <f t="shared" si="1"/>
        <v>591</v>
      </c>
    </row>
    <row r="10" spans="1:9">
      <c r="A10" s="30" t="s">
        <v>8</v>
      </c>
      <c r="B10" s="194">
        <v>0</v>
      </c>
      <c r="C10" s="28">
        <v>0</v>
      </c>
      <c r="D10" s="190">
        <f t="shared" si="0"/>
        <v>0</v>
      </c>
      <c r="E10" s="28">
        <v>0</v>
      </c>
      <c r="F10" s="191">
        <f>E10/$E$68</f>
        <v>0</v>
      </c>
      <c r="G10" s="194">
        <v>0</v>
      </c>
      <c r="H10" s="24">
        <f>G10/$G$68</f>
        <v>0</v>
      </c>
      <c r="I10" s="193">
        <f t="shared" si="1"/>
        <v>0</v>
      </c>
    </row>
    <row r="11" spans="1:9">
      <c r="A11" s="31"/>
      <c r="B11" s="194"/>
      <c r="C11" s="28"/>
      <c r="D11" s="190"/>
      <c r="E11" s="27"/>
      <c r="F11" s="195"/>
      <c r="G11" s="194"/>
      <c r="H11" s="29"/>
      <c r="I11" s="193"/>
    </row>
    <row r="12" spans="1:9">
      <c r="A12" s="32" t="s">
        <v>9</v>
      </c>
      <c r="B12" s="196">
        <f>SUM(B13:B39)</f>
        <v>1000</v>
      </c>
      <c r="C12" s="33">
        <f>SUM(C13:C39)</f>
        <v>563433</v>
      </c>
      <c r="D12" s="190">
        <f t="shared" si="0"/>
        <v>563.43299999999999</v>
      </c>
      <c r="E12" s="33">
        <f>SUM(E13:E39)</f>
        <v>1078</v>
      </c>
      <c r="F12" s="191">
        <f t="shared" ref="F12:F13" si="2">E12/$E$68</f>
        <v>0.18449426664384733</v>
      </c>
      <c r="G12" s="196">
        <f>SUM(G13:G39)</f>
        <v>617033</v>
      </c>
      <c r="H12" s="24">
        <f>G12/$G$68</f>
        <v>0.17023614656741445</v>
      </c>
      <c r="I12" s="193">
        <f t="shared" si="1"/>
        <v>572.38682745825599</v>
      </c>
    </row>
    <row r="13" spans="1:9">
      <c r="A13" s="449" t="s">
        <v>201</v>
      </c>
      <c r="B13" s="194">
        <v>0</v>
      </c>
      <c r="C13" s="194">
        <v>0</v>
      </c>
      <c r="D13" s="190">
        <f t="shared" si="0"/>
        <v>0</v>
      </c>
      <c r="E13" s="28">
        <f>VLOOKUP(A13,[12]進出口值表查詢結果!$A$2:$C$16,3,0)</f>
        <v>30</v>
      </c>
      <c r="F13" s="191">
        <f t="shared" si="2"/>
        <v>5.1343487934280337E-3</v>
      </c>
      <c r="G13" s="27">
        <f>VLOOKUP(A13,[12]進出口值表查詢結果!$A$2:$C$16,2,0)</f>
        <v>13469</v>
      </c>
      <c r="H13" s="24">
        <f>G13/$G$68</f>
        <v>3.7160259793503837E-3</v>
      </c>
      <c r="I13" s="193">
        <f t="shared" si="1"/>
        <v>448.96666666666664</v>
      </c>
    </row>
    <row r="14" spans="1:9">
      <c r="A14" s="449" t="s">
        <v>202</v>
      </c>
      <c r="B14" s="194">
        <v>0</v>
      </c>
      <c r="C14" s="28">
        <v>0</v>
      </c>
      <c r="D14" s="190">
        <f t="shared" ref="D14:D39" si="3">IF(B14,C14/B14,0)</f>
        <v>0</v>
      </c>
      <c r="E14" s="28">
        <v>0</v>
      </c>
      <c r="F14" s="191">
        <f t="shared" ref="F14:F39" si="4">E14/$E$68</f>
        <v>0</v>
      </c>
      <c r="G14" s="194">
        <v>0</v>
      </c>
      <c r="H14" s="24">
        <f t="shared" ref="H14:H39" si="5">G14/$G$68</f>
        <v>0</v>
      </c>
      <c r="I14" s="193">
        <f t="shared" ref="I14:I39" si="6">IF(E14,G14/E14,0)</f>
        <v>0</v>
      </c>
    </row>
    <row r="15" spans="1:9">
      <c r="A15" s="450" t="s">
        <v>10</v>
      </c>
      <c r="B15" s="194">
        <v>0</v>
      </c>
      <c r="C15" s="28">
        <v>0</v>
      </c>
      <c r="D15" s="190">
        <f t="shared" si="3"/>
        <v>0</v>
      </c>
      <c r="E15" s="28">
        <f>VLOOKUP(A15,[12]進出口值表查詢結果!$A$2:$C$16,3,0)</f>
        <v>48</v>
      </c>
      <c r="F15" s="191">
        <f t="shared" si="4"/>
        <v>8.2149580694848533E-3</v>
      </c>
      <c r="G15" s="27">
        <f>VLOOKUP(A15,[12]進出口值表查詢結果!$A$2:$C$16,2,0)</f>
        <v>40131</v>
      </c>
      <c r="H15" s="24">
        <f t="shared" si="5"/>
        <v>1.1071930995419872E-2</v>
      </c>
      <c r="I15" s="193">
        <f t="shared" si="6"/>
        <v>836.0625</v>
      </c>
    </row>
    <row r="16" spans="1:9">
      <c r="A16" s="449" t="s">
        <v>203</v>
      </c>
      <c r="B16" s="194">
        <v>0</v>
      </c>
      <c r="C16" s="28">
        <v>0</v>
      </c>
      <c r="D16" s="190">
        <f t="shared" si="3"/>
        <v>0</v>
      </c>
      <c r="E16" s="28">
        <v>0</v>
      </c>
      <c r="F16" s="191">
        <f t="shared" si="4"/>
        <v>0</v>
      </c>
      <c r="G16" s="27">
        <v>0</v>
      </c>
      <c r="H16" s="24">
        <f t="shared" si="5"/>
        <v>0</v>
      </c>
      <c r="I16" s="193">
        <f t="shared" si="6"/>
        <v>0</v>
      </c>
    </row>
    <row r="17" spans="1:9">
      <c r="A17" s="450" t="s">
        <v>11</v>
      </c>
      <c r="B17" s="194">
        <v>0</v>
      </c>
      <c r="C17" s="28">
        <v>0</v>
      </c>
      <c r="D17" s="190">
        <f t="shared" si="3"/>
        <v>0</v>
      </c>
      <c r="E17" s="28">
        <v>0</v>
      </c>
      <c r="F17" s="191">
        <f t="shared" si="4"/>
        <v>0</v>
      </c>
      <c r="G17" s="27">
        <v>0</v>
      </c>
      <c r="H17" s="24">
        <f t="shared" si="5"/>
        <v>0</v>
      </c>
      <c r="I17" s="193">
        <f t="shared" si="6"/>
        <v>0</v>
      </c>
    </row>
    <row r="18" spans="1:9">
      <c r="A18" s="450" t="s">
        <v>12</v>
      </c>
      <c r="B18" s="194">
        <v>0</v>
      </c>
      <c r="C18" s="28">
        <v>0</v>
      </c>
      <c r="D18" s="190">
        <f t="shared" si="3"/>
        <v>0</v>
      </c>
      <c r="E18" s="28">
        <v>0</v>
      </c>
      <c r="F18" s="191">
        <f t="shared" si="4"/>
        <v>0</v>
      </c>
      <c r="G18" s="27">
        <v>0</v>
      </c>
      <c r="H18" s="24">
        <f t="shared" si="5"/>
        <v>0</v>
      </c>
      <c r="I18" s="193">
        <f t="shared" si="6"/>
        <v>0</v>
      </c>
    </row>
    <row r="19" spans="1:9">
      <c r="A19" s="449" t="s">
        <v>204</v>
      </c>
      <c r="B19" s="194">
        <v>0</v>
      </c>
      <c r="C19" s="28">
        <v>0</v>
      </c>
      <c r="D19" s="190">
        <f t="shared" si="3"/>
        <v>0</v>
      </c>
      <c r="E19" s="28">
        <v>0</v>
      </c>
      <c r="F19" s="191">
        <f t="shared" si="4"/>
        <v>0</v>
      </c>
      <c r="G19" s="27">
        <v>0</v>
      </c>
      <c r="H19" s="24">
        <f t="shared" si="5"/>
        <v>0</v>
      </c>
      <c r="I19" s="193">
        <f t="shared" si="6"/>
        <v>0</v>
      </c>
    </row>
    <row r="20" spans="1:9">
      <c r="A20" s="450" t="s">
        <v>13</v>
      </c>
      <c r="B20" s="194">
        <v>0</v>
      </c>
      <c r="C20" s="28">
        <v>0</v>
      </c>
      <c r="D20" s="190">
        <f t="shared" si="3"/>
        <v>0</v>
      </c>
      <c r="E20" s="28">
        <v>0</v>
      </c>
      <c r="F20" s="191">
        <f t="shared" si="4"/>
        <v>0</v>
      </c>
      <c r="G20" s="27">
        <v>0</v>
      </c>
      <c r="H20" s="24">
        <f t="shared" si="5"/>
        <v>0</v>
      </c>
      <c r="I20" s="193">
        <f t="shared" si="6"/>
        <v>0</v>
      </c>
    </row>
    <row r="21" spans="1:9">
      <c r="A21" s="449" t="s">
        <v>206</v>
      </c>
      <c r="B21" s="194">
        <v>0</v>
      </c>
      <c r="C21" s="28">
        <v>0</v>
      </c>
      <c r="D21" s="190">
        <f t="shared" si="3"/>
        <v>0</v>
      </c>
      <c r="E21" s="28">
        <v>0</v>
      </c>
      <c r="F21" s="191">
        <f t="shared" si="4"/>
        <v>0</v>
      </c>
      <c r="G21" s="27">
        <v>0</v>
      </c>
      <c r="H21" s="24">
        <f t="shared" si="5"/>
        <v>0</v>
      </c>
      <c r="I21" s="193">
        <f t="shared" si="6"/>
        <v>0</v>
      </c>
    </row>
    <row r="22" spans="1:9">
      <c r="A22" s="450" t="s">
        <v>14</v>
      </c>
      <c r="B22" s="194">
        <v>0</v>
      </c>
      <c r="C22" s="28">
        <v>0</v>
      </c>
      <c r="D22" s="190">
        <f t="shared" si="3"/>
        <v>0</v>
      </c>
      <c r="E22" s="28">
        <v>0</v>
      </c>
      <c r="F22" s="191">
        <f t="shared" si="4"/>
        <v>0</v>
      </c>
      <c r="G22" s="27">
        <v>0</v>
      </c>
      <c r="H22" s="24">
        <f t="shared" si="5"/>
        <v>0</v>
      </c>
      <c r="I22" s="193">
        <f t="shared" si="6"/>
        <v>0</v>
      </c>
    </row>
    <row r="23" spans="1:9">
      <c r="A23" s="450" t="s">
        <v>15</v>
      </c>
      <c r="B23" s="194">
        <v>0</v>
      </c>
      <c r="C23" s="28">
        <v>0</v>
      </c>
      <c r="D23" s="190">
        <f t="shared" si="3"/>
        <v>0</v>
      </c>
      <c r="E23" s="28">
        <v>0</v>
      </c>
      <c r="F23" s="191">
        <f t="shared" si="4"/>
        <v>0</v>
      </c>
      <c r="G23" s="27">
        <v>0</v>
      </c>
      <c r="H23" s="24">
        <f t="shared" si="5"/>
        <v>0</v>
      </c>
      <c r="I23" s="193">
        <f t="shared" si="6"/>
        <v>0</v>
      </c>
    </row>
    <row r="24" spans="1:9">
      <c r="A24" s="450" t="s">
        <v>16</v>
      </c>
      <c r="B24" s="194">
        <v>1000</v>
      </c>
      <c r="C24" s="28">
        <v>563433</v>
      </c>
      <c r="D24" s="190">
        <f t="shared" si="3"/>
        <v>563.43299999999999</v>
      </c>
      <c r="E24" s="28">
        <f>VLOOKUP(A24,[12]進出口值表查詢結果!$A$2:$C$16,3,0)</f>
        <v>1000</v>
      </c>
      <c r="F24" s="191">
        <f t="shared" si="4"/>
        <v>0.17114495978093444</v>
      </c>
      <c r="G24" s="27">
        <f>VLOOKUP(A24,[12]進出口值表查詢結果!$A$2:$C$16,2,0)</f>
        <v>563433</v>
      </c>
      <c r="H24" s="24">
        <f t="shared" si="5"/>
        <v>0.1554481895926442</v>
      </c>
      <c r="I24" s="193">
        <f t="shared" si="6"/>
        <v>563.43299999999999</v>
      </c>
    </row>
    <row r="25" spans="1:9">
      <c r="A25" s="449" t="s">
        <v>207</v>
      </c>
      <c r="B25" s="194">
        <v>0</v>
      </c>
      <c r="C25" s="28">
        <v>0</v>
      </c>
      <c r="D25" s="190">
        <f t="shared" si="3"/>
        <v>0</v>
      </c>
      <c r="E25" s="28">
        <v>0</v>
      </c>
      <c r="F25" s="191">
        <f t="shared" si="4"/>
        <v>0</v>
      </c>
      <c r="G25" s="27">
        <v>0</v>
      </c>
      <c r="H25" s="24">
        <f t="shared" si="5"/>
        <v>0</v>
      </c>
      <c r="I25" s="193">
        <f t="shared" si="6"/>
        <v>0</v>
      </c>
    </row>
    <row r="26" spans="1:9">
      <c r="A26" s="449" t="s">
        <v>208</v>
      </c>
      <c r="B26" s="194">
        <v>0</v>
      </c>
      <c r="C26" s="28">
        <v>0</v>
      </c>
      <c r="D26" s="190">
        <f t="shared" si="3"/>
        <v>0</v>
      </c>
      <c r="E26" s="28">
        <v>0</v>
      </c>
      <c r="F26" s="191">
        <f t="shared" si="4"/>
        <v>0</v>
      </c>
      <c r="G26" s="27">
        <v>0</v>
      </c>
      <c r="H26" s="24">
        <f t="shared" si="5"/>
        <v>0</v>
      </c>
      <c r="I26" s="193">
        <f t="shared" si="6"/>
        <v>0</v>
      </c>
    </row>
    <row r="27" spans="1:9">
      <c r="A27" s="294" t="s">
        <v>209</v>
      </c>
      <c r="B27" s="194">
        <v>0</v>
      </c>
      <c r="C27" s="28">
        <v>0</v>
      </c>
      <c r="D27" s="190">
        <f t="shared" si="3"/>
        <v>0</v>
      </c>
      <c r="E27" s="28">
        <v>0</v>
      </c>
      <c r="F27" s="191">
        <f t="shared" si="4"/>
        <v>0</v>
      </c>
      <c r="G27" s="27">
        <v>0</v>
      </c>
      <c r="H27" s="24">
        <f t="shared" si="5"/>
        <v>0</v>
      </c>
      <c r="I27" s="193">
        <f t="shared" si="6"/>
        <v>0</v>
      </c>
    </row>
    <row r="28" spans="1:9">
      <c r="A28" s="294" t="s">
        <v>210</v>
      </c>
      <c r="B28" s="194">
        <v>0</v>
      </c>
      <c r="C28" s="28">
        <v>0</v>
      </c>
      <c r="D28" s="190">
        <f t="shared" si="3"/>
        <v>0</v>
      </c>
      <c r="E28" s="28">
        <v>0</v>
      </c>
      <c r="F28" s="191">
        <f t="shared" si="4"/>
        <v>0</v>
      </c>
      <c r="G28" s="27">
        <v>0</v>
      </c>
      <c r="H28" s="24">
        <f t="shared" si="5"/>
        <v>0</v>
      </c>
      <c r="I28" s="193">
        <f t="shared" si="6"/>
        <v>0</v>
      </c>
    </row>
    <row r="29" spans="1:9">
      <c r="A29" s="450" t="s">
        <v>211</v>
      </c>
      <c r="B29" s="194">
        <v>0</v>
      </c>
      <c r="C29" s="28">
        <v>0</v>
      </c>
      <c r="D29" s="190">
        <f t="shared" si="3"/>
        <v>0</v>
      </c>
      <c r="E29" s="28">
        <v>0</v>
      </c>
      <c r="F29" s="191">
        <f t="shared" si="4"/>
        <v>0</v>
      </c>
      <c r="G29" s="27">
        <v>0</v>
      </c>
      <c r="H29" s="24">
        <f t="shared" si="5"/>
        <v>0</v>
      </c>
      <c r="I29" s="193">
        <f t="shared" si="6"/>
        <v>0</v>
      </c>
    </row>
    <row r="30" spans="1:9">
      <c r="A30" s="450" t="s">
        <v>212</v>
      </c>
      <c r="B30" s="194">
        <v>0</v>
      </c>
      <c r="C30" s="28">
        <v>0</v>
      </c>
      <c r="D30" s="190">
        <f t="shared" si="3"/>
        <v>0</v>
      </c>
      <c r="E30" s="28">
        <v>0</v>
      </c>
      <c r="F30" s="191">
        <f t="shared" si="4"/>
        <v>0</v>
      </c>
      <c r="G30" s="27">
        <v>0</v>
      </c>
      <c r="H30" s="24">
        <f t="shared" si="5"/>
        <v>0</v>
      </c>
      <c r="I30" s="193">
        <f t="shared" si="6"/>
        <v>0</v>
      </c>
    </row>
    <row r="31" spans="1:9">
      <c r="A31" s="450" t="s">
        <v>17</v>
      </c>
      <c r="B31" s="194">
        <v>0</v>
      </c>
      <c r="C31" s="28">
        <v>0</v>
      </c>
      <c r="D31" s="190">
        <f t="shared" si="3"/>
        <v>0</v>
      </c>
      <c r="E31" s="28">
        <v>0</v>
      </c>
      <c r="F31" s="191">
        <f t="shared" si="4"/>
        <v>0</v>
      </c>
      <c r="G31" s="27">
        <v>0</v>
      </c>
      <c r="H31" s="24">
        <f t="shared" si="5"/>
        <v>0</v>
      </c>
      <c r="I31" s="193">
        <f t="shared" si="6"/>
        <v>0</v>
      </c>
    </row>
    <row r="32" spans="1:9">
      <c r="A32" s="450" t="s">
        <v>18</v>
      </c>
      <c r="B32" s="194">
        <v>0</v>
      </c>
      <c r="C32" s="28">
        <v>0</v>
      </c>
      <c r="D32" s="190">
        <f t="shared" si="3"/>
        <v>0</v>
      </c>
      <c r="E32" s="28">
        <v>0</v>
      </c>
      <c r="F32" s="191">
        <f t="shared" si="4"/>
        <v>0</v>
      </c>
      <c r="G32" s="27">
        <v>0</v>
      </c>
      <c r="H32" s="24">
        <f t="shared" si="5"/>
        <v>0</v>
      </c>
      <c r="I32" s="193">
        <f t="shared" si="6"/>
        <v>0</v>
      </c>
    </row>
    <row r="33" spans="1:9">
      <c r="A33" s="450" t="s">
        <v>213</v>
      </c>
      <c r="B33" s="194">
        <v>0</v>
      </c>
      <c r="C33" s="28">
        <v>0</v>
      </c>
      <c r="D33" s="190">
        <f t="shared" si="3"/>
        <v>0</v>
      </c>
      <c r="E33" s="28">
        <v>0</v>
      </c>
      <c r="F33" s="191">
        <f t="shared" si="4"/>
        <v>0</v>
      </c>
      <c r="G33" s="27">
        <v>0</v>
      </c>
      <c r="H33" s="24">
        <f t="shared" si="5"/>
        <v>0</v>
      </c>
      <c r="I33" s="193">
        <f t="shared" si="6"/>
        <v>0</v>
      </c>
    </row>
    <row r="34" spans="1:9">
      <c r="A34" s="450" t="s">
        <v>214</v>
      </c>
      <c r="B34" s="194">
        <v>0</v>
      </c>
      <c r="C34" s="28">
        <v>0</v>
      </c>
      <c r="D34" s="190">
        <f t="shared" si="3"/>
        <v>0</v>
      </c>
      <c r="E34" s="28">
        <v>0</v>
      </c>
      <c r="F34" s="191">
        <f t="shared" si="4"/>
        <v>0</v>
      </c>
      <c r="G34" s="27">
        <v>0</v>
      </c>
      <c r="H34" s="24">
        <f t="shared" si="5"/>
        <v>0</v>
      </c>
      <c r="I34" s="193">
        <f t="shared" si="6"/>
        <v>0</v>
      </c>
    </row>
    <row r="35" spans="1:9">
      <c r="A35" s="450" t="s">
        <v>215</v>
      </c>
      <c r="B35" s="194">
        <v>0</v>
      </c>
      <c r="C35" s="28">
        <v>0</v>
      </c>
      <c r="D35" s="190">
        <f t="shared" si="3"/>
        <v>0</v>
      </c>
      <c r="E35" s="28">
        <v>0</v>
      </c>
      <c r="F35" s="191">
        <f t="shared" si="4"/>
        <v>0</v>
      </c>
      <c r="G35" s="27">
        <v>0</v>
      </c>
      <c r="H35" s="24">
        <f t="shared" si="5"/>
        <v>0</v>
      </c>
      <c r="I35" s="193">
        <f t="shared" si="6"/>
        <v>0</v>
      </c>
    </row>
    <row r="36" spans="1:9">
      <c r="A36" s="450" t="s">
        <v>381</v>
      </c>
      <c r="B36" s="194">
        <v>0</v>
      </c>
      <c r="C36" s="28">
        <v>0</v>
      </c>
      <c r="D36" s="190">
        <f t="shared" si="3"/>
        <v>0</v>
      </c>
      <c r="E36" s="28">
        <v>0</v>
      </c>
      <c r="F36" s="191">
        <f t="shared" si="4"/>
        <v>0</v>
      </c>
      <c r="G36" s="27">
        <v>0</v>
      </c>
      <c r="H36" s="24">
        <f t="shared" si="5"/>
        <v>0</v>
      </c>
      <c r="I36" s="193">
        <f t="shared" si="6"/>
        <v>0</v>
      </c>
    </row>
    <row r="37" spans="1:9">
      <c r="A37" s="450" t="s">
        <v>217</v>
      </c>
      <c r="B37" s="194">
        <v>0</v>
      </c>
      <c r="C37" s="28">
        <v>0</v>
      </c>
      <c r="D37" s="190">
        <f t="shared" si="3"/>
        <v>0</v>
      </c>
      <c r="E37" s="28">
        <v>0</v>
      </c>
      <c r="F37" s="191">
        <f t="shared" si="4"/>
        <v>0</v>
      </c>
      <c r="G37" s="27">
        <v>0</v>
      </c>
      <c r="H37" s="24">
        <f t="shared" si="5"/>
        <v>0</v>
      </c>
      <c r="I37" s="193">
        <f t="shared" si="6"/>
        <v>0</v>
      </c>
    </row>
    <row r="38" spans="1:9">
      <c r="A38" s="450" t="s">
        <v>218</v>
      </c>
      <c r="B38" s="194">
        <v>0</v>
      </c>
      <c r="C38" s="28">
        <v>0</v>
      </c>
      <c r="D38" s="190">
        <f t="shared" si="3"/>
        <v>0</v>
      </c>
      <c r="E38" s="28">
        <v>0</v>
      </c>
      <c r="F38" s="191">
        <f t="shared" si="4"/>
        <v>0</v>
      </c>
      <c r="G38" s="27">
        <v>0</v>
      </c>
      <c r="H38" s="24">
        <f t="shared" si="5"/>
        <v>0</v>
      </c>
      <c r="I38" s="193">
        <f t="shared" si="6"/>
        <v>0</v>
      </c>
    </row>
    <row r="39" spans="1:9">
      <c r="A39" s="450" t="s">
        <v>19</v>
      </c>
      <c r="B39" s="194">
        <v>0</v>
      </c>
      <c r="C39" s="28">
        <v>0</v>
      </c>
      <c r="D39" s="190">
        <f t="shared" si="3"/>
        <v>0</v>
      </c>
      <c r="E39" s="28">
        <v>0</v>
      </c>
      <c r="F39" s="191">
        <f t="shared" si="4"/>
        <v>0</v>
      </c>
      <c r="G39" s="27">
        <v>0</v>
      </c>
      <c r="H39" s="24">
        <f t="shared" si="5"/>
        <v>0</v>
      </c>
      <c r="I39" s="193">
        <f t="shared" si="6"/>
        <v>0</v>
      </c>
    </row>
    <row r="40" spans="1:9">
      <c r="A40" s="30"/>
      <c r="B40" s="194"/>
      <c r="C40" s="27"/>
      <c r="D40" s="190"/>
      <c r="E40" s="27"/>
      <c r="F40" s="195"/>
      <c r="G40" s="194"/>
      <c r="H40" s="24"/>
      <c r="I40" s="193"/>
    </row>
    <row r="41" spans="1:9" ht="15.6" customHeight="1">
      <c r="A41" s="36" t="s">
        <v>20</v>
      </c>
      <c r="B41" s="196">
        <f>SUM(B42:B45)</f>
        <v>0</v>
      </c>
      <c r="C41" s="33">
        <f>SUM(C42:C45)</f>
        <v>0</v>
      </c>
      <c r="D41" s="190">
        <f t="shared" si="0"/>
        <v>0</v>
      </c>
      <c r="E41" s="33">
        <f>SUM(E42:E45)</f>
        <v>0</v>
      </c>
      <c r="F41" s="191">
        <f>E41/$E$68</f>
        <v>0</v>
      </c>
      <c r="G41" s="196">
        <f>SUM(G42:G45)</f>
        <v>0</v>
      </c>
      <c r="H41" s="24">
        <f t="shared" ref="H41:H42" si="7">G41/$G$68</f>
        <v>0</v>
      </c>
      <c r="I41" s="193">
        <f t="shared" si="1"/>
        <v>0</v>
      </c>
    </row>
    <row r="42" spans="1:9">
      <c r="A42" s="449" t="s">
        <v>219</v>
      </c>
      <c r="B42" s="194">
        <v>0</v>
      </c>
      <c r="C42" s="28">
        <v>0</v>
      </c>
      <c r="D42" s="190">
        <f t="shared" si="0"/>
        <v>0</v>
      </c>
      <c r="E42" s="28">
        <v>0</v>
      </c>
      <c r="F42" s="191">
        <f>E42/$E$68</f>
        <v>0</v>
      </c>
      <c r="G42" s="27">
        <v>0</v>
      </c>
      <c r="H42" s="24">
        <f t="shared" si="7"/>
        <v>0</v>
      </c>
      <c r="I42" s="193">
        <f t="shared" si="1"/>
        <v>0</v>
      </c>
    </row>
    <row r="43" spans="1:9">
      <c r="A43" s="449" t="s">
        <v>220</v>
      </c>
      <c r="B43" s="194">
        <v>0</v>
      </c>
      <c r="C43" s="28">
        <v>0</v>
      </c>
      <c r="D43" s="190">
        <f t="shared" ref="D43:D45" si="8">IF(B43,C43/B43,0)</f>
        <v>0</v>
      </c>
      <c r="E43" s="28">
        <v>0</v>
      </c>
      <c r="F43" s="191">
        <f t="shared" ref="F43:F45" si="9">E43/$E$68</f>
        <v>0</v>
      </c>
      <c r="G43" s="27">
        <v>0</v>
      </c>
      <c r="H43" s="24">
        <f t="shared" ref="H43:H45" si="10">G43/$G$68</f>
        <v>0</v>
      </c>
      <c r="I43" s="193">
        <f t="shared" ref="I43:I45" si="11">IF(E43,G43/E43,0)</f>
        <v>0</v>
      </c>
    </row>
    <row r="44" spans="1:9">
      <c r="A44" s="449" t="s">
        <v>221</v>
      </c>
      <c r="B44" s="194">
        <v>0</v>
      </c>
      <c r="C44" s="28">
        <v>0</v>
      </c>
      <c r="D44" s="190">
        <f t="shared" si="8"/>
        <v>0</v>
      </c>
      <c r="E44" s="28">
        <v>0</v>
      </c>
      <c r="F44" s="191">
        <f t="shared" si="9"/>
        <v>0</v>
      </c>
      <c r="G44" s="27">
        <v>0</v>
      </c>
      <c r="H44" s="24">
        <f t="shared" si="10"/>
        <v>0</v>
      </c>
      <c r="I44" s="193">
        <f t="shared" si="11"/>
        <v>0</v>
      </c>
    </row>
    <row r="45" spans="1:9">
      <c r="A45" s="30" t="s">
        <v>21</v>
      </c>
      <c r="B45" s="194">
        <v>0</v>
      </c>
      <c r="C45" s="28">
        <v>0</v>
      </c>
      <c r="D45" s="190">
        <f t="shared" si="8"/>
        <v>0</v>
      </c>
      <c r="E45" s="28">
        <v>0</v>
      </c>
      <c r="F45" s="191">
        <f t="shared" si="9"/>
        <v>0</v>
      </c>
      <c r="G45" s="27">
        <v>0</v>
      </c>
      <c r="H45" s="24">
        <f t="shared" si="10"/>
        <v>0</v>
      </c>
      <c r="I45" s="193">
        <f t="shared" si="11"/>
        <v>0</v>
      </c>
    </row>
    <row r="46" spans="1:9" ht="16.899999999999999" customHeight="1">
      <c r="A46" s="30"/>
      <c r="B46" s="194"/>
      <c r="C46" s="27"/>
      <c r="D46" s="190"/>
      <c r="E46" s="27"/>
      <c r="F46" s="195"/>
      <c r="G46" s="194"/>
      <c r="H46" s="24"/>
      <c r="I46" s="193"/>
    </row>
    <row r="47" spans="1:9">
      <c r="A47" s="36" t="s">
        <v>22</v>
      </c>
      <c r="B47" s="196">
        <f>SUM(B48:B66)</f>
        <v>1712</v>
      </c>
      <c r="C47" s="33">
        <f>SUM(C48:C66)</f>
        <v>735265</v>
      </c>
      <c r="D47" s="190">
        <f t="shared" si="0"/>
        <v>429.47721962616822</v>
      </c>
      <c r="E47" s="33">
        <f>SUM(E48:E66)</f>
        <v>4757</v>
      </c>
      <c r="F47" s="191">
        <f>E47/$E$68</f>
        <v>0.81413657367790515</v>
      </c>
      <c r="G47" s="196">
        <f>SUM(G48:G66)</f>
        <v>3002798</v>
      </c>
      <c r="H47" s="24">
        <f>G47/$G$68</f>
        <v>0.82845611246130924</v>
      </c>
      <c r="I47" s="193">
        <f t="shared" si="1"/>
        <v>631.23775488753415</v>
      </c>
    </row>
    <row r="48" spans="1:9">
      <c r="A48" s="481" t="s">
        <v>162</v>
      </c>
      <c r="B48" s="194">
        <v>0</v>
      </c>
      <c r="C48" s="194">
        <v>0</v>
      </c>
      <c r="D48" s="190">
        <f t="shared" si="0"/>
        <v>0</v>
      </c>
      <c r="E48" s="28">
        <v>0</v>
      </c>
      <c r="F48" s="191">
        <f t="shared" ref="F48" si="12">E48/$E$68</f>
        <v>0</v>
      </c>
      <c r="G48" s="27">
        <v>0</v>
      </c>
      <c r="H48" s="24">
        <f>G48/$G$68</f>
        <v>0</v>
      </c>
      <c r="I48" s="193">
        <f t="shared" si="1"/>
        <v>0</v>
      </c>
    </row>
    <row r="49" spans="1:10">
      <c r="A49" s="449" t="s">
        <v>222</v>
      </c>
      <c r="B49" s="194">
        <v>0</v>
      </c>
      <c r="C49" s="27">
        <v>0</v>
      </c>
      <c r="D49" s="190">
        <f t="shared" ref="D49:D66" si="13">IF(B49,C49/B49,0)</f>
        <v>0</v>
      </c>
      <c r="E49" s="28">
        <f>VLOOKUP(A49,[12]進出口值表查詢結果!$A$2:$C$16,3,0)</f>
        <v>725</v>
      </c>
      <c r="F49" s="191">
        <f t="shared" ref="F49:F66" si="14">E49/$E$68</f>
        <v>0.12408009584117748</v>
      </c>
      <c r="G49" s="27">
        <f>VLOOKUP(A49,[12]進出口值表查詢結果!$A$2:$C$16,2,0)</f>
        <v>552837</v>
      </c>
      <c r="H49" s="24">
        <f t="shared" ref="H49:H66" si="15">G49/$G$68</f>
        <v>0.15252480914293029</v>
      </c>
      <c r="I49" s="193">
        <f t="shared" ref="I49:I66" si="16">IF(E49,G49/E49,0)</f>
        <v>762.53379310344826</v>
      </c>
    </row>
    <row r="50" spans="1:10">
      <c r="A50" s="291" t="s">
        <v>223</v>
      </c>
      <c r="B50" s="194">
        <v>0</v>
      </c>
      <c r="C50" s="27">
        <v>0</v>
      </c>
      <c r="D50" s="190">
        <f t="shared" si="13"/>
        <v>0</v>
      </c>
      <c r="E50" s="28">
        <v>0</v>
      </c>
      <c r="F50" s="191">
        <f t="shared" si="14"/>
        <v>0</v>
      </c>
      <c r="G50" s="27">
        <v>0</v>
      </c>
      <c r="H50" s="24">
        <f t="shared" si="15"/>
        <v>0</v>
      </c>
      <c r="I50" s="193">
        <f t="shared" si="16"/>
        <v>0</v>
      </c>
      <c r="J50" s="482"/>
    </row>
    <row r="51" spans="1:10">
      <c r="A51" s="449" t="s">
        <v>224</v>
      </c>
      <c r="B51" s="194">
        <v>0</v>
      </c>
      <c r="C51" s="27">
        <v>0</v>
      </c>
      <c r="D51" s="190">
        <f t="shared" si="13"/>
        <v>0</v>
      </c>
      <c r="E51" s="28">
        <v>0</v>
      </c>
      <c r="F51" s="191">
        <f t="shared" si="14"/>
        <v>0</v>
      </c>
      <c r="G51" s="27">
        <v>0</v>
      </c>
      <c r="H51" s="24">
        <f t="shared" si="15"/>
        <v>0</v>
      </c>
      <c r="I51" s="193">
        <f t="shared" si="16"/>
        <v>0</v>
      </c>
    </row>
    <row r="52" spans="1:10">
      <c r="A52" s="450" t="s">
        <v>23</v>
      </c>
      <c r="B52" s="194">
        <v>0</v>
      </c>
      <c r="C52" s="27">
        <v>0</v>
      </c>
      <c r="D52" s="190">
        <f t="shared" si="13"/>
        <v>0</v>
      </c>
      <c r="E52" s="28">
        <v>0</v>
      </c>
      <c r="F52" s="191">
        <f t="shared" si="14"/>
        <v>0</v>
      </c>
      <c r="G52" s="27">
        <v>0</v>
      </c>
      <c r="H52" s="24">
        <f t="shared" si="15"/>
        <v>0</v>
      </c>
      <c r="I52" s="193">
        <f t="shared" si="16"/>
        <v>0</v>
      </c>
    </row>
    <row r="53" spans="1:10">
      <c r="A53" s="449" t="s">
        <v>225</v>
      </c>
      <c r="B53" s="194">
        <v>0</v>
      </c>
      <c r="C53" s="27">
        <v>0</v>
      </c>
      <c r="D53" s="190">
        <f t="shared" si="13"/>
        <v>0</v>
      </c>
      <c r="E53" s="28">
        <v>0</v>
      </c>
      <c r="F53" s="191">
        <f t="shared" si="14"/>
        <v>0</v>
      </c>
      <c r="G53" s="27">
        <v>0</v>
      </c>
      <c r="H53" s="24">
        <f t="shared" si="15"/>
        <v>0</v>
      </c>
      <c r="I53" s="193">
        <f t="shared" si="16"/>
        <v>0</v>
      </c>
    </row>
    <row r="54" spans="1:10">
      <c r="A54" s="450" t="s">
        <v>226</v>
      </c>
      <c r="B54" s="194">
        <v>0</v>
      </c>
      <c r="C54" s="27">
        <v>0</v>
      </c>
      <c r="D54" s="190">
        <f t="shared" si="13"/>
        <v>0</v>
      </c>
      <c r="E54" s="28">
        <f>VLOOKUP(A54,[12]進出口值表查詢結果!$A$2:$C$16,3,0)</f>
        <v>31</v>
      </c>
      <c r="F54" s="191">
        <f t="shared" si="14"/>
        <v>5.305493753208968E-3</v>
      </c>
      <c r="G54" s="27">
        <f>VLOOKUP(A54,[12]進出口值表查詢結果!$A$2:$C$16,2,0)</f>
        <v>14557</v>
      </c>
      <c r="H54" s="24">
        <f t="shared" si="15"/>
        <v>4.0161994343606454E-3</v>
      </c>
      <c r="I54" s="193">
        <f t="shared" si="16"/>
        <v>469.58064516129031</v>
      </c>
    </row>
    <row r="55" spans="1:10">
      <c r="A55" s="450" t="s">
        <v>24</v>
      </c>
      <c r="B55" s="194">
        <v>0</v>
      </c>
      <c r="C55" s="27">
        <v>0</v>
      </c>
      <c r="D55" s="190">
        <f t="shared" si="13"/>
        <v>0</v>
      </c>
      <c r="E55" s="28">
        <v>0</v>
      </c>
      <c r="F55" s="191">
        <f t="shared" si="14"/>
        <v>0</v>
      </c>
      <c r="G55" s="27">
        <v>0</v>
      </c>
      <c r="H55" s="24">
        <f t="shared" si="15"/>
        <v>0</v>
      </c>
      <c r="I55" s="193">
        <f t="shared" si="16"/>
        <v>0</v>
      </c>
    </row>
    <row r="56" spans="1:10">
      <c r="A56" s="450" t="s">
        <v>227</v>
      </c>
      <c r="B56" s="194">
        <v>1544</v>
      </c>
      <c r="C56" s="194">
        <v>574991</v>
      </c>
      <c r="D56" s="190">
        <f t="shared" si="13"/>
        <v>372.40349740932641</v>
      </c>
      <c r="E56" s="28">
        <f>VLOOKUP(A56,[12]進出口值表查詢結果!$A$2:$C$16,3,0)</f>
        <v>2122</v>
      </c>
      <c r="F56" s="191">
        <f t="shared" si="14"/>
        <v>0.36316960465514292</v>
      </c>
      <c r="G56" s="27">
        <f>VLOOKUP(A56,[12]進出口值表查詢結果!$A$2:$C$16,2,0)</f>
        <v>1172081</v>
      </c>
      <c r="H56" s="24">
        <f t="shared" si="15"/>
        <v>0.32337095893555401</v>
      </c>
      <c r="I56" s="193">
        <f t="shared" si="16"/>
        <v>552.34731385485395</v>
      </c>
    </row>
    <row r="57" spans="1:10">
      <c r="A57" s="452" t="s">
        <v>455</v>
      </c>
      <c r="B57" s="194">
        <v>168</v>
      </c>
      <c r="C57" s="27">
        <v>160274</v>
      </c>
      <c r="D57" s="190">
        <f t="shared" si="13"/>
        <v>954.01190476190482</v>
      </c>
      <c r="E57" s="28">
        <f>VLOOKUP(A57,[12]進出口值表查詢結果!$A$2:$C$16,3,0)</f>
        <v>1318</v>
      </c>
      <c r="F57" s="191">
        <f t="shared" si="14"/>
        <v>0.22556905699127161</v>
      </c>
      <c r="G57" s="27">
        <f>VLOOKUP(A57,[12]進出口值表查詢結果!$A$2:$C$16,2,0)</f>
        <v>949815</v>
      </c>
      <c r="H57" s="24">
        <f t="shared" si="15"/>
        <v>0.26204894317148153</v>
      </c>
      <c r="I57" s="193">
        <f t="shared" si="16"/>
        <v>720.64871016691961</v>
      </c>
    </row>
    <row r="58" spans="1:10">
      <c r="A58" s="294" t="s">
        <v>382</v>
      </c>
      <c r="B58" s="194">
        <v>0</v>
      </c>
      <c r="C58" s="194">
        <v>0</v>
      </c>
      <c r="D58" s="190">
        <f t="shared" si="13"/>
        <v>0</v>
      </c>
      <c r="E58" s="28">
        <f>VLOOKUP(A58,[12]進出口值表查詢結果!$A$2:$C$16,3,0)</f>
        <v>136</v>
      </c>
      <c r="F58" s="191">
        <f t="shared" si="14"/>
        <v>2.3275714530207086E-2</v>
      </c>
      <c r="G58" s="27">
        <f>VLOOKUP(A58,[12]進出口值表查詢結果!$A$2:$C$16,2,0)</f>
        <v>137217</v>
      </c>
      <c r="H58" s="24">
        <f t="shared" si="15"/>
        <v>3.785744575013153E-2</v>
      </c>
      <c r="I58" s="193">
        <f t="shared" si="16"/>
        <v>1008.9485294117648</v>
      </c>
    </row>
    <row r="59" spans="1:10">
      <c r="A59" s="450" t="s">
        <v>25</v>
      </c>
      <c r="B59" s="194">
        <v>0</v>
      </c>
      <c r="C59" s="27">
        <v>0</v>
      </c>
      <c r="D59" s="190">
        <f t="shared" si="13"/>
        <v>0</v>
      </c>
      <c r="E59" s="28">
        <f>VLOOKUP(A59,[12]進出口值表查詢結果!$A$2:$C$16,3,0)</f>
        <v>420</v>
      </c>
      <c r="F59" s="191">
        <f t="shared" si="14"/>
        <v>7.1880883107992469E-2</v>
      </c>
      <c r="G59" s="27">
        <f>VLOOKUP(A59,[12]進出口值表查詢結果!$A$2:$C$16,2,0)</f>
        <v>176030</v>
      </c>
      <c r="H59" s="24">
        <f t="shared" si="15"/>
        <v>4.8565747505015078E-2</v>
      </c>
      <c r="I59" s="193">
        <f t="shared" si="16"/>
        <v>419.11904761904759</v>
      </c>
    </row>
    <row r="60" spans="1:10">
      <c r="A60" s="450" t="s">
        <v>26</v>
      </c>
      <c r="B60" s="194">
        <v>0</v>
      </c>
      <c r="C60" s="27">
        <v>0</v>
      </c>
      <c r="D60" s="190">
        <f t="shared" si="13"/>
        <v>0</v>
      </c>
      <c r="E60" s="28">
        <v>0</v>
      </c>
      <c r="F60" s="191">
        <f t="shared" si="14"/>
        <v>0</v>
      </c>
      <c r="G60" s="27">
        <v>0</v>
      </c>
      <c r="H60" s="24">
        <f t="shared" si="15"/>
        <v>0</v>
      </c>
      <c r="I60" s="193">
        <f t="shared" si="16"/>
        <v>0</v>
      </c>
    </row>
    <row r="61" spans="1:10">
      <c r="A61" s="450" t="s">
        <v>27</v>
      </c>
      <c r="B61" s="194">
        <v>0</v>
      </c>
      <c r="C61" s="27">
        <v>0</v>
      </c>
      <c r="D61" s="190">
        <f t="shared" si="13"/>
        <v>0</v>
      </c>
      <c r="E61" s="28">
        <v>0</v>
      </c>
      <c r="F61" s="191">
        <f t="shared" si="14"/>
        <v>0</v>
      </c>
      <c r="G61" s="27">
        <v>0</v>
      </c>
      <c r="H61" s="24">
        <f t="shared" si="15"/>
        <v>0</v>
      </c>
      <c r="I61" s="193">
        <f t="shared" si="16"/>
        <v>0</v>
      </c>
    </row>
    <row r="62" spans="1:10">
      <c r="A62" s="294" t="s">
        <v>228</v>
      </c>
      <c r="B62" s="194">
        <v>0</v>
      </c>
      <c r="C62" s="27">
        <v>0</v>
      </c>
      <c r="D62" s="190">
        <f t="shared" si="13"/>
        <v>0</v>
      </c>
      <c r="E62" s="28">
        <v>0</v>
      </c>
      <c r="F62" s="191">
        <f t="shared" si="14"/>
        <v>0</v>
      </c>
      <c r="G62" s="27">
        <v>0</v>
      </c>
      <c r="H62" s="24">
        <f t="shared" si="15"/>
        <v>0</v>
      </c>
      <c r="I62" s="193">
        <f t="shared" si="16"/>
        <v>0</v>
      </c>
    </row>
    <row r="63" spans="1:10">
      <c r="A63" s="450" t="s">
        <v>28</v>
      </c>
      <c r="B63" s="194">
        <v>0</v>
      </c>
      <c r="C63" s="27">
        <v>0</v>
      </c>
      <c r="D63" s="190">
        <f t="shared" si="13"/>
        <v>0</v>
      </c>
      <c r="E63" s="28">
        <v>0</v>
      </c>
      <c r="F63" s="191">
        <f t="shared" si="14"/>
        <v>0</v>
      </c>
      <c r="G63" s="27">
        <v>0</v>
      </c>
      <c r="H63" s="24">
        <f t="shared" si="15"/>
        <v>0</v>
      </c>
      <c r="I63" s="193">
        <f t="shared" si="16"/>
        <v>0</v>
      </c>
    </row>
    <row r="64" spans="1:10" ht="15.75" customHeight="1">
      <c r="A64" s="294" t="s">
        <v>229</v>
      </c>
      <c r="B64" s="194">
        <v>0</v>
      </c>
      <c r="C64" s="27">
        <v>0</v>
      </c>
      <c r="D64" s="190">
        <f t="shared" si="13"/>
        <v>0</v>
      </c>
      <c r="E64" s="28">
        <v>0</v>
      </c>
      <c r="F64" s="191">
        <f t="shared" si="14"/>
        <v>0</v>
      </c>
      <c r="G64" s="27">
        <v>0</v>
      </c>
      <c r="H64" s="24">
        <f t="shared" si="15"/>
        <v>0</v>
      </c>
      <c r="I64" s="193">
        <f t="shared" si="16"/>
        <v>0</v>
      </c>
    </row>
    <row r="65" spans="1:9">
      <c r="A65" s="450" t="s">
        <v>29</v>
      </c>
      <c r="B65" s="194">
        <v>0</v>
      </c>
      <c r="C65" s="27">
        <v>0</v>
      </c>
      <c r="D65" s="190">
        <f t="shared" si="13"/>
        <v>0</v>
      </c>
      <c r="E65" s="28">
        <v>0</v>
      </c>
      <c r="F65" s="191">
        <f t="shared" si="14"/>
        <v>0</v>
      </c>
      <c r="G65" s="27">
        <v>0</v>
      </c>
      <c r="H65" s="24">
        <f t="shared" si="15"/>
        <v>0</v>
      </c>
      <c r="I65" s="193">
        <f t="shared" si="16"/>
        <v>0</v>
      </c>
    </row>
    <row r="66" spans="1:9">
      <c r="A66" s="294" t="s">
        <v>230</v>
      </c>
      <c r="B66" s="194">
        <v>0</v>
      </c>
      <c r="C66" s="27">
        <v>0</v>
      </c>
      <c r="D66" s="190">
        <f t="shared" si="13"/>
        <v>0</v>
      </c>
      <c r="E66" s="28">
        <f>VLOOKUP(A66,[12]進出口值表查詢結果!$A$2:$C$16,3,0)</f>
        <v>5</v>
      </c>
      <c r="F66" s="191">
        <f t="shared" si="14"/>
        <v>8.5572479890467222E-4</v>
      </c>
      <c r="G66" s="27">
        <f>VLOOKUP(A66,[12]進出口值表查詢結果!$A$2:$C$16,2,0)</f>
        <v>261</v>
      </c>
      <c r="H66" s="24">
        <f t="shared" si="15"/>
        <v>7.2008521836101436E-5</v>
      </c>
      <c r="I66" s="193">
        <f t="shared" si="16"/>
        <v>52.2</v>
      </c>
    </row>
    <row r="67" spans="1:9">
      <c r="A67" s="30" t="s">
        <v>30</v>
      </c>
      <c r="B67" s="194">
        <f>B68-B7-B12-B41-B47</f>
        <v>0</v>
      </c>
      <c r="C67" s="27">
        <f>C68-C47-C41-C12-C7</f>
        <v>0</v>
      </c>
      <c r="D67" s="190">
        <f t="shared" si="0"/>
        <v>0</v>
      </c>
      <c r="E67" s="27">
        <f>E68-E47-E41-E12-E7</f>
        <v>4</v>
      </c>
      <c r="F67" s="191">
        <f t="shared" ref="F67:F68" si="17">E67/$E$68</f>
        <v>6.8457983912373777E-4</v>
      </c>
      <c r="G67" s="194">
        <f>G68-G47-G41-G12-G7</f>
        <v>1316</v>
      </c>
      <c r="H67" s="24">
        <f t="shared" ref="H67:H68" si="18">G67/$G$68</f>
        <v>3.630774510969712E-4</v>
      </c>
      <c r="I67" s="193">
        <f t="shared" si="1"/>
        <v>329</v>
      </c>
    </row>
    <row r="68" spans="1:9">
      <c r="A68" s="32" t="s">
        <v>400</v>
      </c>
      <c r="B68" s="194">
        <v>2715</v>
      </c>
      <c r="C68" s="194">
        <v>1301531</v>
      </c>
      <c r="D68" s="190">
        <f t="shared" ref="D68" si="19">C68/B68</f>
        <v>479.38526703499082</v>
      </c>
      <c r="E68" s="28">
        <f>VLOOKUP(A68,[12]進出口值表查詢結果!$A$2:$C$16,3,0)</f>
        <v>5843</v>
      </c>
      <c r="F68" s="191">
        <f t="shared" si="17"/>
        <v>1</v>
      </c>
      <c r="G68" s="27">
        <f>VLOOKUP(A68,[12]進出口值表查詢結果!$A$2:$C$16,2,0)</f>
        <v>3624571</v>
      </c>
      <c r="H68" s="24">
        <f t="shared" si="18"/>
        <v>1</v>
      </c>
      <c r="I68" s="193">
        <f t="shared" ref="I68" si="20">G68/E68</f>
        <v>620.32705801814132</v>
      </c>
    </row>
    <row r="69" spans="1:9" ht="6.75" customHeight="1">
      <c r="A69" s="38"/>
      <c r="B69" s="197"/>
      <c r="C69" s="39"/>
      <c r="D69" s="198"/>
      <c r="E69" s="39"/>
      <c r="F69" s="199"/>
      <c r="G69" s="197"/>
      <c r="H69" s="41"/>
      <c r="I69" s="198"/>
    </row>
    <row r="70" spans="1:9">
      <c r="A70" s="55" t="s">
        <v>57</v>
      </c>
      <c r="B70" s="200"/>
      <c r="C70" s="39"/>
      <c r="D70" s="200"/>
      <c r="E70" s="13"/>
      <c r="F70" s="200"/>
      <c r="G70" s="200"/>
      <c r="H70" s="13"/>
      <c r="I70" s="200"/>
    </row>
    <row r="71" spans="1:9" s="13" customFormat="1">
      <c r="A71" s="5"/>
      <c r="B71" s="96"/>
      <c r="C71" s="39"/>
      <c r="D71" s="96"/>
      <c r="E71" s="5"/>
      <c r="F71" s="96"/>
      <c r="G71" s="96"/>
      <c r="H71" s="5"/>
      <c r="I71" s="96"/>
    </row>
    <row r="72" spans="1:9">
      <c r="C72" s="39"/>
    </row>
  </sheetData>
  <mergeCells count="1">
    <mergeCell ref="A1:I1"/>
  </mergeCells>
  <phoneticPr fontId="3" type="noConversion"/>
  <pageMargins left="0.70866141732283472" right="0.51181102362204722" top="0.35433070866141736" bottom="0.15748031496062992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具名範圍</vt:lpstr>
      </vt:variant>
      <vt:variant>
        <vt:i4>3</vt:i4>
      </vt:variant>
    </vt:vector>
  </HeadingPairs>
  <TitlesOfParts>
    <vt:vector size="18" baseType="lpstr">
      <vt:lpstr>整車出口</vt:lpstr>
      <vt:lpstr>整車同期比較</vt:lpstr>
      <vt:lpstr>整車出口全球總表更新至8月(記得隱藏)</vt:lpstr>
      <vt:lpstr>整車出口比較</vt:lpstr>
      <vt:lpstr>出口地區</vt:lpstr>
      <vt:lpstr>整車進口</vt:lpstr>
      <vt:lpstr>電動輔助自行車</vt:lpstr>
      <vt:lpstr>電動輔助自行車比較</vt:lpstr>
      <vt:lpstr>折疊車</vt:lpstr>
      <vt:lpstr>折疊車比較</vt:lpstr>
      <vt:lpstr>電輔折疊同期比較 </vt:lpstr>
      <vt:lpstr>零件</vt:lpstr>
      <vt:lpstr>零件出口比較</vt:lpstr>
      <vt:lpstr>零件進口比較</vt:lpstr>
      <vt:lpstr>零件出進口國別 </vt:lpstr>
      <vt:lpstr>出口地區!Print_Area</vt:lpstr>
      <vt:lpstr>'電輔折疊同期比較 '!Print_Area</vt:lpstr>
      <vt:lpstr>整車同期比較!Print_Area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</dc:creator>
  <cp:lastModifiedBy>Yu-mei</cp:lastModifiedBy>
  <cp:lastPrinted>2021-03-02T01:57:04Z</cp:lastPrinted>
  <dcterms:created xsi:type="dcterms:W3CDTF">2018-05-28T02:49:39Z</dcterms:created>
  <dcterms:modified xsi:type="dcterms:W3CDTF">2023-07-24T03:08:24Z</dcterms:modified>
</cp:coreProperties>
</file>